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585" firstSheet="1" activeTab="1"/>
  </bookViews>
  <sheets>
    <sheet name="Nombres" sheetId="1" state="hidden" r:id="rId1"/>
    <sheet name="INDICE" sheetId="2" r:id="rId2"/>
    <sheet name="Cuenta de Resultados" sheetId="3" r:id="rId3"/>
    <sheet name="Balance" sheetId="4" r:id="rId4"/>
    <sheet name="España" sheetId="5" r:id="rId5"/>
    <sheet name="Mexico" sheetId="6" r:id="rId6"/>
    <sheet name="Turquia" sheetId="7" r:id="rId7"/>
    <sheet name="AdS" sheetId="8" r:id="rId8"/>
    <sheet name="Argentina" sheetId="9" r:id="rId9"/>
    <sheet name="Chile" sheetId="10" r:id="rId10"/>
    <sheet name="Colombia" sheetId="11" r:id="rId11"/>
    <sheet name="Peru" sheetId="12" r:id="rId12"/>
    <sheet name="Resto de Negocios" sheetId="13" r:id="rId13"/>
    <sheet name="Centro Corporativo" sheetId="14" r:id="rId14"/>
    <sheet name="Corporate &amp; Investment Banking" sheetId="15" r:id="rId15"/>
    <sheet name="Eficiencia" sheetId="16" r:id="rId16"/>
    <sheet name="Mora,cobertura,coste de riesgo" sheetId="17" r:id="rId17"/>
    <sheet name="APRs" sheetId="18" r:id="rId18"/>
    <sheet name="Empleados, oficinas y cajeros" sheetId="19" r:id="rId19"/>
    <sheet name="Diferenciales" sheetId="20" r:id="rId20"/>
    <sheet name="Tipos de Cambio" sheetId="21" r:id="rId21"/>
    <sheet name="Inversion" sheetId="22" r:id="rId22"/>
    <sheet name="Recursos" sheetId="23" r:id="rId23"/>
    <sheet name="Hoja1" sheetId="24" state="hidden" r:id="rId24"/>
    <sheet name="Hoja2" sheetId="25" state="hidden" r:id="rId25"/>
    <sheet name="Hoja3" sheetId="26" state="hidden" r:id="rId26"/>
    <sheet name="ALCO" sheetId="27" r:id="rId27"/>
    <sheet name="Hoja4" sheetId="28" state="hidden" r:id="rId28"/>
  </sheets>
  <definedNames/>
  <calcPr fullCalcOnLoad="1"/>
</workbook>
</file>

<file path=xl/sharedStrings.xml><?xml version="1.0" encoding="utf-8"?>
<sst xmlns="http://schemas.openxmlformats.org/spreadsheetml/2006/main" count="670" uniqueCount="556">
  <si>
    <t>IDIOMA/LANGUAGE</t>
  </si>
  <si>
    <t>1er Trim.</t>
  </si>
  <si>
    <t>2º Trim.</t>
  </si>
  <si>
    <t>3er Trim.</t>
  </si>
  <si>
    <t>4º Trim.</t>
  </si>
  <si>
    <t>Resultado Atribuido</t>
  </si>
  <si>
    <t>Total</t>
  </si>
  <si>
    <t>Argentina</t>
  </si>
  <si>
    <t>Chile</t>
  </si>
  <si>
    <t>Colombia</t>
  </si>
  <si>
    <t>Perú</t>
  </si>
  <si>
    <t>Otros</t>
  </si>
  <si>
    <t>Orden</t>
  </si>
  <si>
    <t>Castellano</t>
  </si>
  <si>
    <t>Inglés</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</si>
  <si>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</si>
  <si>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</si>
  <si>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</si>
  <si>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</si>
  <si>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</si>
  <si>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</si>
  <si>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</si>
  <si>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</si>
  <si>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</si>
  <si>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</si>
  <si>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</si>
  <si>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</si>
  <si>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</si>
  <si>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</si>
  <si>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</si>
  <si>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</si>
  <si>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</si>
  <si>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</si>
  <si>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</si>
  <si>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</si>
  <si>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</si>
  <si>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</si>
  <si>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</si>
  <si>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</si>
  <si>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</si>
  <si>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</si>
  <si>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</si>
  <si>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</si>
  <si>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</si>
  <si>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</si>
  <si>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</si>
  <si>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</si>
  <si>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</si>
  <si>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</si>
  <si>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</si>
  <si>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</si>
  <si>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</si>
  <si>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</si>
  <si>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</si>
  <si>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</si>
  <si>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</si>
  <si>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</si>
  <si>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</si>
  <si>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</si>
  <si>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</si>
  <si>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</si>
  <si>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</si>
  <si>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</si>
  <si>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</si>
  <si>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</si>
  <si>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</si>
  <si>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</si>
  <si>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</si>
  <si>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</si>
  <si>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</si>
  <si>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</si>
  <si>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</si>
  <si>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</si>
  <si>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</si>
  <si>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</si>
  <si>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</si>
  <si>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</si>
  <si>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</si>
  <si>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</si>
  <si>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</si>
  <si>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</si>
  <si>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</si>
  <si>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</si>
  <si>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</si>
  <si>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</si>
  <si>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</si>
  <si>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</si>
  <si>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</si>
  <si>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</si>
  <si>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</si>
  <si>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</si>
  <si>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</si>
  <si>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</si>
  <si>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</si>
  <si>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</si>
  <si>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</si>
  <si>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</si>
  <si>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</si>
  <si>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</si>
  <si>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</si>
  <si>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</si>
  <si>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</si>
  <si>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</si>
  <si>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</si>
  <si>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</si>
  <si>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</si>
  <si>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</si>
  <si>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</si>
  <si>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</si>
  <si>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</si>
  <si>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</si>
  <si>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</si>
  <si>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</si>
  <si>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</si>
  <si>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</si>
  <si>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</si>
  <si>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</si>
  <si>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</si>
  <si>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</si>
  <si>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</si>
  <si>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</si>
  <si>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</si>
  <si>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</si>
  <si>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</si>
  <si>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</si>
  <si>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</si>
  <si>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</si>
  <si>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</si>
  <si>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</si>
  <si>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</si>
  <si>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</si>
  <si>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</si>
  <si>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</si>
  <si>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</si>
  <si>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</si>
  <si>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</si>
  <si>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</si>
  <si>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</si>
  <si>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</si>
  <si>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</si>
  <si>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</si>
  <si>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</si>
  <si>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</si>
  <si>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</si>
  <si>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</si>
  <si>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</si>
  <si>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</si>
  <si>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</si>
  <si>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</si>
  <si>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</si>
  <si>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</si>
  <si>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</si>
  <si>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</si>
  <si>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</si>
  <si>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</si>
  <si>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</si>
  <si>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</si>
  <si>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</si>
  <si>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</si>
  <si>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</si>
  <si>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</si>
  <si>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</si>
  <si>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</si>
  <si>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</si>
  <si>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</si>
  <si>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</si>
  <si>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</si>
  <si>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</si>
  <si>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</si>
  <si>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</si>
  <si>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</si>
  <si>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</si>
  <si>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</si>
  <si>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</si>
  <si>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</si>
  <si>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</si>
  <si>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</si>
  <si>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</si>
  <si>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</si>
  <si>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</si>
  <si>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</si>
  <si>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</si>
  <si>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</si>
  <si>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</si>
  <si>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</si>
  <si>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</si>
  <si>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</si>
  <si>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</si>
  <si>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</si>
  <si>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</si>
  <si>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</si>
  <si>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</si>
  <si>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</si>
  <si>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</si>
  <si>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</si>
  <si>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</si>
  <si>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</si>
  <si>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</si>
  <si>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</si>
  <si>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</si>
  <si>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</si>
  <si>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</si>
  <si>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</si>
  <si>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</si>
  <si>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</si>
  <si>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</si>
  <si>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</si>
  <si>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</si>
  <si>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</si>
  <si>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</si>
  <si>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</si>
  <si>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</si>
  <si>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</si>
  <si>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</si>
  <si>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</si>
  <si>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</si>
  <si>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</si>
  <si>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</si>
  <si>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</si>
  <si>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</si>
  <si>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</si>
  <si>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</si>
  <si>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</si>
  <si>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</si>
  <si>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</si>
  <si>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</si>
  <si>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</si>
  <si>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</si>
  <si>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</si>
  <si>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</si>
  <si>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</si>
  <si>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</si>
  <si>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</si>
  <si>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</si>
  <si>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</si>
  <si>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</si>
  <si>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</si>
  <si>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</si>
  <si>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</si>
  <si>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</si>
  <si>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</si>
  <si>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</si>
  <si>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</si>
  <si>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</si>
  <si>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</si>
  <si>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</si>
  <si>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</si>
  <si>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</si>
  <si>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</si>
  <si>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</si>
  <si>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</si>
  <si>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</si>
  <si>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</si>
  <si>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</si>
  <si>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</si>
  <si>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</si>
  <si>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</si>
  <si>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</si>
  <si>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</si>
  <si>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</si>
  <si>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</si>
  <si>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</si>
  <si>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</si>
  <si>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</si>
  <si>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</si>
  <si>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</si>
  <si>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</si>
  <si>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</si>
  <si>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</si>
  <si>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</si>
  <si>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</si>
  <si>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</si>
  <si>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</si>
  <si>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</si>
  <si>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</si>
  <si>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</si>
  <si>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</si>
  <si>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</si>
  <si>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</si>
  <si>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</si>
  <si>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</si>
  <si>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</si>
  <si>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</si>
  <si>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</si>
  <si>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</si>
  <si>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</si>
  <si>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</si>
  <si>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</si>
  <si>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</si>
  <si>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</si>
  <si>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</si>
  <si>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</si>
  <si>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</si>
  <si>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</si>
  <si>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</si>
  <si>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</si>
  <si>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</si>
  <si>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</si>
  <si>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</si>
  <si>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</si>
  <si>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</si>
  <si>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</si>
  <si>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</si>
  <si>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</si>
  <si>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</si>
  <si>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</si>
  <si>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</si>
  <si>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</si>
  <si>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</si>
  <si>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</si>
  <si>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</si>
  <si>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</si>
  <si>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</si>
  <si>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</si>
  <si>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</si>
  <si>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</si>
  <si>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</si>
  <si>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</si>
  <si>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</si>
  <si>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</si>
  <si>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</si>
  <si>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</si>
  <si>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</si>
  <si>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</si>
  <si>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</si>
  <si>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</si>
  <si>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</si>
  <si>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</si>
  <si>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</si>
  <si>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</si>
  <si>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</si>
  <si>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</si>
  <si>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</si>
  <si>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</si>
  <si>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</si>
  <si>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</si>
  <si>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</si>
  <si>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</si>
  <si>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</si>
  <si>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</si>
  <si>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</si>
  <si>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</si>
  <si>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</si>
  <si>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</si>
  <si>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</si>
  <si>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</si>
  <si>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</si>
  <si>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</si>
  <si>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</si>
  <si>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</si>
  <si>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</si>
  <si>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</si>
  <si>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</si>
  <si>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</si>
  <si>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</si>
  <si>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</si>
  <si>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</si>
  <si>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</si>
  <si>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</si>
  <si>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</si>
  <si>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</si>
  <si>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</si>
  <si>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</si>
  <si>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</si>
  <si>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</si>
  <si>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</si>
  <si>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</si>
  <si>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</si>
  <si>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</si>
  <si>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</si>
  <si>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</si>
  <si>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</si>
  <si>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</si>
  <si>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</si>
  <si>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</si>
  <si>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</si>
  <si>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</si>
  <si>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</si>
  <si>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</si>
  <si>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</si>
  <si>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</si>
  <si>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</si>
  <si>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</si>
  <si>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</si>
  <si>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</si>
  <si>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</si>
  <si>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</si>
  <si>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</si>
  <si>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</si>
  <si>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</si>
  <si>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</si>
  <si>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</si>
  <si>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</si>
  <si>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 Se incluyen los resultados de los dos primeros trimestres del 2018 de BBVA Chile y las plusvalías por su venta del tercer trimestre del 2018.</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</si>
  <si>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</si>
  <si>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</si>
  <si>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</si>
  <si>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</si>
  <si>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</si>
  <si>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</si>
  <si>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</si>
  <si>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</si>
  <si>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</si>
  <si>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</si>
  <si>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</si>
  <si>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</si>
  <si>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</si>
  <si>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</si>
  <si>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</si>
  <si>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</si>
  <si>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</si>
  <si>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Net capital gains of BBVA Chile sale on the 3rd Q of 2018.</t>
  </si>
  <si>
    <t>Coste del riesgo acumulado</t>
  </si>
  <si>
    <t>Cost of risk YTD</t>
  </si>
  <si>
    <t>-</t>
  </si>
  <si>
    <t>Cost of deposits</t>
  </si>
  <si>
    <t>Rentabilidad de los prestamos</t>
  </si>
  <si>
    <t>Coste de los depositos</t>
  </si>
  <si>
    <t>Lending Yield</t>
  </si>
  <si>
    <t>Resultado atribuido sin el deterioro del fondo de comercio de Estados Unidos (*)</t>
  </si>
  <si>
    <t>Net attributable profit excluding the goodwill impairment in the United States (*)</t>
  </si>
  <si>
    <t>(1)</t>
  </si>
  <si>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</si>
  <si>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 Plusvalías por la venta de BBVA Chile del tercer trimestre de 2018.</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</si>
  <si>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</si>
  <si>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Operaciones Corporativas (1)</t>
  </si>
  <si>
    <t>Corporate Operations (1)</t>
  </si>
  <si>
    <t>Resultado después de impuestos</t>
  </si>
  <si>
    <t>Result after Tax</t>
  </si>
  <si>
    <t>(1) Incluye el resultado neto de impuestos por la venta a Allianz de la mitad más una acción de la sociedad constituida para impulsar de forma conjunta el negocio de seguros de no vida en España, excluyendo el ramo de salud.</t>
  </si>
  <si>
    <t>(1) Include the net capital gain from the sale to Allianz the half plus one share of the company created to jointly develop the non-life insurance business in Spain, excluding the health insurance line.</t>
  </si>
  <si>
    <t>Resultado atribuido sin el deterioro del fondo de comercio de Estados Unidos y sin operaciones corporativas</t>
  </si>
  <si>
    <t>Net attributable profit/(loss) excluding the goodwill impairment in the United States and corporate operations</t>
  </si>
  <si>
    <t>Resto de Negocios</t>
  </si>
  <si>
    <t>Rest of Business</t>
  </si>
  <si>
    <t>Nota general: cifras sin considerar la clasificación de BBVA Paraguay como Activos y Pasivos No corrientes en Venta a 31-12-2020 y 31-12-2019 y a 31-12-2020 BBVA USA y el resto de sociedades del Grupo en Estados Unidos incluidas en el acuerdo de venta suscrito con PNC.</t>
  </si>
  <si>
    <t>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t>
  </si>
  <si>
    <t>Sociedades de la filial de Estados Unidos excluidas del acuerdo de venta</t>
  </si>
  <si>
    <t>Companies excluded from the sale agreement of the BBVA subsidiary in the United States</t>
  </si>
  <si>
    <t>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t>
  </si>
  <si>
    <t>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</si>
  <si>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t>
  </si>
  <si>
    <t>For informational purposes, we are providing below 8 quarters of historical information of the perimeter currently reported as USA that will remain with BBVA once the announced agreement with PNC has been closed.   </t>
  </si>
  <si>
    <t>A efectos informativos, facilitamos a continuación 8 trimestres de información histórica del perímetro actualmente reportado como EE.UU. que permanecerá en BBVA una vez cerrado el acuerdo anunciado con PNC. </t>
  </si>
  <si>
    <t>Corporate Center (for rest of business)</t>
  </si>
  <si>
    <t>Centro Corporativo (para resto de negocios)</t>
  </si>
  <si>
    <t>Nuevo Holding</t>
  </si>
  <si>
    <t>New Holding</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</si>
  <si>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t>
  </si>
  <si>
    <t>EEUU vendido</t>
  </si>
  <si>
    <t>USA sold</t>
  </si>
  <si>
    <t>Centro Corporativo (1)</t>
  </si>
  <si>
    <t>Corporate Center (1)</t>
  </si>
  <si>
    <t>(1) Incluye los APRs del negocio de EEUU vendido</t>
  </si>
  <si>
    <t>(1) Includes RWAs from the USA business sold.</t>
  </si>
  <si>
    <t>(1) Includes USA as discontinued operation, the goodwill impaiment in USA and the net capital gain from the sale to Allianz of the half plus one share of the company created to jointly develop the non-life insurance business in Spain, excluding the health insurance line.</t>
  </si>
  <si>
    <t>Grupo BBVA  (*)</t>
  </si>
  <si>
    <t>BBVA Group  (*)</t>
  </si>
  <si>
    <t>Grupo BBVA  (**)</t>
  </si>
  <si>
    <t>BBVA Group  (**)</t>
  </si>
  <si>
    <t>(**) Grupo BBVA no incluye el negocio vendido de EEUU vendido a PNC.</t>
  </si>
  <si>
    <t>(**) BBVA Group excludes  the US Business sold to PNC.</t>
  </si>
  <si>
    <t>(*) Grupo BBVA no incluye el negocio vendido de EEUU vendido a PNC.</t>
  </si>
  <si>
    <t>(*) BBVA Group excludes  the US Business sold to PNC.</t>
  </si>
  <si>
    <t>Resto de geografías</t>
  </si>
  <si>
    <t>Rest of geographies</t>
  </si>
  <si>
    <t>Corporate &amp; Investment Banking (*)</t>
  </si>
  <si>
    <t>(*) No incluye el negocio de CIB vendido a PNC.</t>
  </si>
  <si>
    <t>(*) Excludes  the CIB Business sold to PNC.</t>
  </si>
  <si>
    <t>Dotación de capital regulatorio</t>
  </si>
  <si>
    <t>Regulatory capital allocated</t>
  </si>
  <si>
    <t>No incluye Paraguay (***)</t>
  </si>
  <si>
    <t>Paraguay excluded  (***)</t>
  </si>
  <si>
    <t>Préstamos Hogares TL</t>
  </si>
  <si>
    <t>Retail Loans TL</t>
  </si>
  <si>
    <t>Préstamos Empresas TL</t>
  </si>
  <si>
    <t>Commercial Loans TL</t>
  </si>
  <si>
    <t>Total Préstamos TL</t>
  </si>
  <si>
    <t>Total Loans TL</t>
  </si>
  <si>
    <t>Total Préstamos FC</t>
  </si>
  <si>
    <t>Total Loans FC</t>
  </si>
  <si>
    <t>Depósitos Vista TL</t>
  </si>
  <si>
    <t>Demand Deposits TL</t>
  </si>
  <si>
    <t>Depósitos Plazo TL</t>
  </si>
  <si>
    <t>Total Time Deposits TL</t>
  </si>
  <si>
    <t>Total Depósitos TL</t>
  </si>
  <si>
    <t>Total Deposits TL</t>
  </si>
  <si>
    <t>Depósitos Vista FC</t>
  </si>
  <si>
    <t>Demand Deposits FC</t>
  </si>
  <si>
    <t>Depósitos Plazo FC</t>
  </si>
  <si>
    <t>Total Time Deposits FC</t>
  </si>
  <si>
    <t>Total Depósitos FC</t>
  </si>
  <si>
    <t>Total Deposits FC</t>
  </si>
  <si>
    <t>(TL Lira Turca FC Moneda Extranjera)</t>
  </si>
  <si>
    <t>(TL Turkish Lira FC Foreign Currency)</t>
  </si>
  <si>
    <t>Turquia solo Banco</t>
  </si>
  <si>
    <t>Turkey Bank only</t>
  </si>
  <si>
    <t xml:space="preserve"> (***) No incluye Paraguay</t>
  </si>
  <si>
    <t xml:space="preserve">(***) Paraguay excluded </t>
  </si>
  <si>
    <t>América del Sur  (incluye Paraguay)</t>
  </si>
  <si>
    <t>South America (Paraguay Included)</t>
  </si>
  <si>
    <t>Resultado Atribuido sin Operaciones Corporativas y Discontinuadas</t>
  </si>
  <si>
    <t>Net attributable profit/(loss) excluding Corporate &amp; discontinued operations</t>
  </si>
  <si>
    <t>Operaciones Corporativas y Discontinuadas</t>
  </si>
  <si>
    <t>Corporate &amp; discontinued operations</t>
  </si>
  <si>
    <t>Operaciones interrumpidas y corporativas, y costes netos asociados al proceso de reestructuración.(1)</t>
  </si>
  <si>
    <t>Discontinued &amp; corporate operations, and net cost related to the restructuring process. (1)</t>
  </si>
  <si>
    <t> Beneficio Atribuido (sin operaciones interrumpidas y corporativas, y costes netos asociados al proceso de reestructuración).</t>
  </si>
  <si>
    <t> Net Attributable Profit (ex discontinued &amp; corporate operations, and net cost related to the restructuring process).</t>
  </si>
  <si>
    <t>(1) Includes USA as discontinued operation, the goodwill impaiment in USA, the net capital gain from the sale to Allianz of the half plus one share of the company created to jointly develop the non-life insurance business in Spain, excluding the health insurance line and net cost related to the reestructuring process.</t>
  </si>
  <si>
    <t>Resultado atribuido excluyendo impactos no recurrentes</t>
  </si>
  <si>
    <t>Net attributable profit excluding non recurring impacts</t>
  </si>
  <si>
    <t>Resultado después de impuestos de operaciones interrumpidas (1)</t>
  </si>
  <si>
    <t>Profit/(loss) after tax form discontinued operations (1)</t>
  </si>
  <si>
    <t>Operaciones Corporativas (2)</t>
  </si>
  <si>
    <t>Corporate Operations (2)</t>
  </si>
  <si>
    <t>Costes netos asociados al proceso de reestructuración</t>
  </si>
  <si>
    <t>Net cost related to the reestructuring process.</t>
  </si>
  <si>
    <t>(1) Includes USA as discontinued operation and the goodwill impaiment in USA for 2084 millions of euros registered in the 1stQ of 2020.</t>
  </si>
  <si>
    <t xml:space="preserve">(2) Includes the net capital gain from the sale to Allianz of the half plus one share of the company created to jointly develop the non-life insurance business in Spain, excluding the health insurance line </t>
  </si>
  <si>
    <t>Operaciones Corporativas e Interrumpidas</t>
  </si>
  <si>
    <t/>
  </si>
  <si>
    <t>Series trimestrales 2021-2022</t>
  </si>
  <si>
    <t>Quarterly series 2021-2022</t>
  </si>
  <si>
    <t>Fondos de inversión y carteras gestionadas</t>
  </si>
  <si>
    <t>Investment funds and managed portfolios</t>
  </si>
  <si>
    <t>Incluye fondos de inversión, carteras gestionadas , fondos de pensiones y otros recursos fuera de balance.(*)</t>
  </si>
  <si>
    <t xml:space="preserve">Includes investment funds, managed portfolios, pension funds and other off-balance sheet funds. (*) </t>
  </si>
  <si>
    <t xml:space="preserve">South America </t>
  </si>
  <si>
    <t>(1) Incluen los resultados generados por BBVA USA y el resto de sociedades de EEUU vendidas a PNC el 1 de junio de 2021</t>
  </si>
  <si>
    <t>(1) Includes the profit generated by BBVA USA and the rest of the US companies sold to PNC on 1st ofJjune of 2021.</t>
  </si>
  <si>
    <t>pe</t>
  </si>
  <si>
    <t>Nota general : Cifras considerando la clasificación de las sociedades incluidas en el acuerdo de venta suscrito con PNC como Activos y Pasivos No corrientes en Venta.</t>
  </si>
  <si>
    <t>General note: figures considering companies in the United States included in the sale agreement signed with PNC as Non-current Assets and Liabilities Held for Sale</t>
  </si>
  <si>
    <t>Operaciones Corporativas e Interrumpidas(1)</t>
  </si>
  <si>
    <t>Corporate &amp; discontinued operations(1)</t>
  </si>
  <si>
    <t>(1) En aplicación de la NIC 21 "Efectos de las variaciones en los tipos de cambio de la moneda extranjera", la conversión de la cuenta de resultados de Turquía y Argentina se hace empleando el tipo de cambio final.</t>
  </si>
  <si>
    <t>(1) Incluen los resultados generados por BBVA USA y el resto de sociedades de EEUU vendidas a PNC el 1 de junio de 2021 y la adquisición de la Socimi Tree.</t>
  </si>
  <si>
    <t>(1) Includes the profit generated by BBVA USA and the rest of the US companies sold to PNC on 1st ofJjune of 2021 and the acquisition of the Socimi Tree.</t>
  </si>
  <si>
    <t>Resultado de operaciones interrumpidas y otros (1)</t>
  </si>
  <si>
    <t>Discontinued operations and Others (1)</t>
  </si>
  <si>
    <t>(1) Incluen los resultados generados por BBVA USA y el resto de sociedades de EEUU vendidas a PNC el 1 de junio de 2021, los costes netos asociados al proceso de reestructuración y el impacto neto de la compra de oficinas en España. (más detalle en las áreas de España y Centro Corporativo)</t>
  </si>
  <si>
    <t>(1) Includes the profit generated by BBVA USA and the rest of the US companies sold to PNC on 1st of June of 2021, the net cost related to the reestructuring process. and net impact arisen form the purchase of offices in Spain. (for further detail in Spain and Corporate centre)</t>
  </si>
  <si>
    <t>(1)Adquisición de oficinas en España</t>
  </si>
  <si>
    <t>(1)Acquisition of branches in Spain.</t>
  </si>
  <si>
    <t>Impacto neto de la compra de oficinas en España</t>
  </si>
  <si>
    <t>Net impact arisen from the purchase of offices in Spain</t>
  </si>
  <si>
    <t>(*)El dato del trimestre en curso es provisional</t>
  </si>
  <si>
    <t>(*)The data for the current quarter is provisional</t>
  </si>
  <si>
    <r>
      <rPr>
        <sz val="8"/>
        <color indexed="56"/>
        <rFont val="Calibri"/>
        <family val="2"/>
      </rPr>
      <t>(1)</t>
    </r>
    <r>
      <rPr>
        <sz val="11"/>
        <color theme="1"/>
        <rFont val="Calibri"/>
        <family val="2"/>
      </rPr>
      <t xml:space="preserve"> En aplicación de la NIC 29 "Información en economías hiperinflacionarias", la conversión de la cuenta de resultados de Argentina Y Turquía se hace empleando el tipo de cambio final.</t>
    </r>
  </si>
  <si>
    <r>
      <rPr>
        <sz val="8"/>
        <color indexed="56"/>
        <rFont val="Calibri"/>
        <family val="2"/>
      </rPr>
      <t>(1)</t>
    </r>
    <r>
      <rPr>
        <sz val="11"/>
        <color theme="1"/>
        <rFont val="Calibri"/>
        <family val="2"/>
      </rPr>
      <t xml:space="preserve"> According to IAS 29 "Financial information in hyperinflationary economies", the year-end exchange rate is used for the conversion of the Argentina and Turkey income statement. </t>
    </r>
  </si>
  <si>
    <r>
      <t>(1) Incluye </t>
    </r>
    <r>
      <rPr>
        <sz val="12"/>
        <color indexed="56"/>
        <rFont val="Arial"/>
        <family val="2"/>
      </rPr>
      <t>EEUU como operación discontinuada, el deterioro del fondo de comercio de Estados Unidos, y el resultado neto de impuestos por la venta a Allianz de la mitad más una acción de la sociedad constituida para impulsar de forma conjunta el negocio de seguros de no vida en España, excluyendo el ramo de salud</t>
    </r>
  </si>
  <si>
    <r>
      <t>(1) Incluye </t>
    </r>
    <r>
      <rPr>
        <sz val="12"/>
        <color indexed="56"/>
        <rFont val="Arial"/>
        <family val="2"/>
      </rPr>
      <t>EEUU como operación discontinuada, el deterioro del fondo de comercio de Estados Unidos,  el resultado neto de impuestos por la venta a Allianz de la mitad más una acción de la sociedad constituida para impulsar de forma conjunta el negocio de seguros de no vida en España, excluyendo el ramo de salud y los costes netos asociados al proceso de reestructuración.</t>
    </r>
  </si>
  <si>
    <r>
      <t>(1) Incluye </t>
    </r>
    <r>
      <rPr>
        <sz val="12"/>
        <color indexed="56"/>
        <rFont val="Arial"/>
        <family val="2"/>
      </rPr>
      <t>EEUU como operación interrumpida y el deterioro del fondo de comercio de Estados Unidos registrado en el primer trimestre de 2020 por importe de 2084 millones de euros</t>
    </r>
  </si>
  <si>
    <r>
      <t>(2) Incluye el r</t>
    </r>
    <r>
      <rPr>
        <sz val="12"/>
        <color indexed="56"/>
        <rFont val="Arial"/>
        <family val="2"/>
      </rPr>
      <t xml:space="preserve">esultado neto de impuestos por la venta a Allianz de la mitad más una acción de la sociedad constituida para impulsar de forma conjunta el negocio de seguros de no vida en España, excluyendo el ramo de salud </t>
    </r>
  </si>
  <si>
    <r>
      <rPr>
        <sz val="8"/>
        <color indexed="56"/>
        <rFont val="Calibri"/>
        <family val="2"/>
      </rPr>
      <t>(1)</t>
    </r>
    <r>
      <rPr>
        <sz val="11"/>
        <color theme="1"/>
        <rFont val="Calibri"/>
        <family val="2"/>
      </rPr>
      <t xml:space="preserve"> According to IAS 21 "Effects of changes in foreign currency exchange rates", the translation of the income statement for Turkey and Argentina is made using the final exchange rate.</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</si>
</sst>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00"/>
    <numFmt numFmtId="167" formatCode="0.0%"/>
    <numFmt numFmtId="168" formatCode="#,##0.0000"/>
    <numFmt numFmtId="169" formatCode="dd\-mm\-yy;@"/>
    <numFmt numFmtId="170" formatCode="_-* #,##0\ _P_t_s_-;\-* #,##0\ _P_t_s_-;_-* &quot;-&quot;??\ _P_t_s_-;_-@_-"/>
    <numFmt numFmtId="171" formatCode="#,##0.0"/>
    <numFmt numFmtId="172" formatCode="0.00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000%"/>
    <numFmt numFmtId="178" formatCode="0.00000%"/>
    <numFmt numFmtId="179" formatCode="0.000000%"/>
    <numFmt numFmtId="180" formatCode="0.0000000%"/>
    <numFmt numFmtId="181" formatCode="0.000"/>
    <numFmt numFmtId="182" formatCode="0.0000000"/>
  </numFmts>
  <fonts count="117">
    <font>
      <sz val="11"/>
      <color theme="1"/>
      <name val="Calibri"/>
      <family val="2"/>
    </font>
    <font>
      <sz val="11"/>
      <color indexed="8"/>
      <name val="Calibri"/>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sz val="10"/>
      <name val="Arial"/>
      <family val="2"/>
    </font>
    <font>
      <vertAlign val="superscript"/>
      <sz val="10"/>
      <color indexed="21"/>
      <name val="Stag Sans Medium"/>
      <family val="2"/>
    </font>
    <font>
      <vertAlign val="superscript"/>
      <sz val="22"/>
      <color indexed="21"/>
      <name val="Stag Sans Medium"/>
      <family val="2"/>
    </font>
    <font>
      <b/>
      <sz val="16"/>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b/>
      <sz val="10"/>
      <name val="Arial"/>
      <family val="2"/>
    </font>
    <font>
      <sz val="10"/>
      <color indexed="18"/>
      <name val="Arial"/>
      <family val="2"/>
    </font>
    <font>
      <sz val="12"/>
      <name val="BBVA Office Book"/>
      <family val="2"/>
    </font>
    <font>
      <sz val="11"/>
      <name val="BBVA Office Book"/>
      <family val="2"/>
    </font>
    <font>
      <sz val="10"/>
      <name val="Baskerville BE Regular"/>
      <family val="0"/>
    </font>
    <font>
      <sz val="8"/>
      <name val="Arial"/>
      <family val="2"/>
    </font>
    <font>
      <sz val="8"/>
      <name val="Tahoma"/>
      <family val="2"/>
    </font>
    <font>
      <sz val="11"/>
      <name val="Lucida Sans Unicode"/>
      <family val="2"/>
    </font>
    <font>
      <sz val="8"/>
      <color indexed="56"/>
      <name val="Calibri"/>
      <family val="2"/>
    </font>
    <font>
      <sz val="12"/>
      <color indexed="56"/>
      <name val="Arial"/>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30"/>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3"/>
      <color indexed="30"/>
      <name val="Calibri"/>
      <family val="2"/>
    </font>
    <font>
      <b/>
      <sz val="11"/>
      <color indexed="56"/>
      <name val="Calibri"/>
      <family val="2"/>
    </font>
    <font>
      <vertAlign val="superscript"/>
      <sz val="26"/>
      <color indexed="40"/>
      <name val="BBVA Office Book"/>
      <family val="2"/>
    </font>
    <font>
      <vertAlign val="superscript"/>
      <sz val="22"/>
      <color indexed="9"/>
      <name val="BBVA Office Book"/>
      <family val="2"/>
    </font>
    <font>
      <sz val="14"/>
      <color indexed="56"/>
      <name val="BBVA Office Book"/>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10"/>
      <color indexed="9"/>
      <name val="BBVA Office Book"/>
      <family val="2"/>
    </font>
    <font>
      <sz val="8"/>
      <color indexed="9"/>
      <name val="BBVA Office Book"/>
      <family val="2"/>
    </font>
    <font>
      <sz val="10"/>
      <color indexed="48"/>
      <name val="Arial"/>
      <family val="2"/>
    </font>
    <font>
      <b/>
      <sz val="16"/>
      <color indexed="40"/>
      <name val="BBVA Office Book"/>
      <family val="2"/>
    </font>
    <font>
      <sz val="10"/>
      <color indexed="30"/>
      <name val="BBVA Office Book"/>
      <family val="2"/>
    </font>
    <font>
      <sz val="16"/>
      <color indexed="40"/>
      <name val="BBVA Office Book"/>
      <family val="2"/>
    </font>
    <font>
      <sz val="10"/>
      <color indexed="10"/>
      <name val="Arial"/>
      <family val="2"/>
    </font>
    <font>
      <sz val="11"/>
      <color indexed="40"/>
      <name val="BBVA Office Book"/>
      <family val="2"/>
    </font>
    <font>
      <sz val="11"/>
      <color indexed="9"/>
      <name val="BBVA Office Book"/>
      <family val="2"/>
    </font>
    <font>
      <sz val="11"/>
      <color indexed="30"/>
      <name val="Calibri"/>
      <family val="2"/>
    </font>
    <font>
      <sz val="16"/>
      <color indexed="56"/>
      <name val="BBVA Office Book"/>
      <family val="2"/>
    </font>
    <font>
      <sz val="12"/>
      <color indexed="56"/>
      <name val="BBVA Office Book"/>
      <family val="2"/>
    </font>
    <font>
      <sz val="12"/>
      <color indexed="30"/>
      <name val="BBVA Office Book"/>
      <family val="2"/>
    </font>
    <font>
      <sz val="11"/>
      <name val="Calibri"/>
      <family val="2"/>
    </font>
    <font>
      <sz val="12"/>
      <color indexed="63"/>
      <name val="Arial"/>
      <family val="2"/>
    </font>
    <font>
      <b/>
      <sz val="9"/>
      <color indexed="10"/>
      <name val="BBVA Office Book"/>
      <family val="2"/>
    </font>
    <font>
      <sz val="2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vertAlign val="superscript"/>
      <sz val="26"/>
      <color theme="1" tint="0.34999001026153564"/>
      <name val="BBVA Office Book"/>
      <family val="2"/>
    </font>
    <font>
      <vertAlign val="superscript"/>
      <sz val="22"/>
      <color theme="0"/>
      <name val="BBVA Office Book"/>
      <family val="2"/>
    </font>
    <font>
      <sz val="14"/>
      <color theme="1"/>
      <name val="BBVA Office Book"/>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10"/>
      <color theme="0"/>
      <name val="BBVA Office Book"/>
      <family val="2"/>
    </font>
    <font>
      <sz val="8"/>
      <color theme="0"/>
      <name val="BBVA Office Book"/>
      <family val="2"/>
    </font>
    <font>
      <sz val="10"/>
      <color theme="5"/>
      <name val="Arial"/>
      <family val="2"/>
    </font>
    <font>
      <b/>
      <sz val="16"/>
      <color theme="1" tint="0.34999001026153564"/>
      <name val="BBVA Office Book"/>
      <family val="2"/>
    </font>
    <font>
      <sz val="10"/>
      <color theme="3"/>
      <name val="BBVA Office Book"/>
      <family val="2"/>
    </font>
    <font>
      <sz val="16"/>
      <color theme="1" tint="0.34999001026153564"/>
      <name val="BBVA Office Book"/>
      <family val="2"/>
    </font>
    <font>
      <sz val="10"/>
      <color rgb="FFFF0000"/>
      <name val="Arial"/>
      <family val="2"/>
    </font>
    <font>
      <sz val="11"/>
      <color theme="1" tint="0.34999001026153564"/>
      <name val="BBVA Office Book"/>
      <family val="2"/>
    </font>
    <font>
      <sz val="11"/>
      <color theme="0"/>
      <name val="BBVA Office Book"/>
      <family val="2"/>
    </font>
    <font>
      <sz val="11"/>
      <color theme="3"/>
      <name val="Calibri"/>
      <family val="2"/>
    </font>
    <font>
      <sz val="16"/>
      <color theme="1"/>
      <name val="BBVA Office Book"/>
      <family val="2"/>
    </font>
    <font>
      <sz val="12"/>
      <color rgb="FF002060"/>
      <name val="BBVA Office Book"/>
      <family val="2"/>
    </font>
    <font>
      <sz val="12"/>
      <color theme="3"/>
      <name val="BBVA Office Book"/>
      <family val="2"/>
    </font>
    <font>
      <sz val="11"/>
      <color theme="4" tint="-0.4999699890613556"/>
      <name val="Calibri"/>
      <family val="2"/>
    </font>
    <font>
      <sz val="12"/>
      <color rgb="FF222222"/>
      <name val="Arial"/>
      <family val="2"/>
    </font>
    <font>
      <b/>
      <sz val="9"/>
      <color rgb="FFFF0000"/>
      <name val="BBVA Office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bgColor indexed="64"/>
      </patternFill>
    </fill>
    <fill>
      <patternFill patternType="solid">
        <fgColor rgb="FFA7CFE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style="thin"/>
      <bottom/>
    </border>
    <border>
      <left style="thin"/>
      <right/>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0" fontId="80" fillId="0" borderId="4" applyNumberFormat="0" applyFill="0" applyAlignment="0" applyProtection="0"/>
    <xf numFmtId="0" fontId="81" fillId="0" borderId="0" applyNumberFormat="0" applyFill="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82" fillId="29" borderId="1"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7" fillId="21" borderId="6"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7" applyNumberFormat="0" applyFill="0" applyAlignment="0" applyProtection="0"/>
    <xf numFmtId="0" fontId="81" fillId="0" borderId="8" applyNumberFormat="0" applyFill="0" applyAlignment="0" applyProtection="0"/>
    <xf numFmtId="0" fontId="92" fillId="0" borderId="9" applyNumberFormat="0" applyFill="0" applyAlignment="0" applyProtection="0"/>
  </cellStyleXfs>
  <cellXfs count="322">
    <xf numFmtId="0" fontId="0" fillId="0" borderId="0" xfId="0" applyFont="1" applyAlignment="1">
      <alignment/>
    </xf>
    <xf numFmtId="0" fontId="3" fillId="0" borderId="0" xfId="58" applyFont="1">
      <alignment/>
      <protection/>
    </xf>
    <xf numFmtId="0" fontId="4" fillId="0" borderId="0" xfId="58" applyFont="1">
      <alignment/>
      <protection/>
    </xf>
    <xf numFmtId="0" fontId="5" fillId="0" borderId="0" xfId="58" applyFont="1">
      <alignment/>
      <protection/>
    </xf>
    <xf numFmtId="0" fontId="93" fillId="33" borderId="0" xfId="55" applyFont="1" applyFill="1" applyAlignment="1" applyProtection="1">
      <alignment horizontal="center" vertical="top"/>
      <protection hidden="1"/>
    </xf>
    <xf numFmtId="0" fontId="7" fillId="0" borderId="0" xfId="58" applyFont="1" applyProtection="1">
      <alignment/>
      <protection locked="0"/>
    </xf>
    <xf numFmtId="0" fontId="8" fillId="0" borderId="0" xfId="55" applyFont="1" applyFill="1" applyAlignment="1" applyProtection="1">
      <alignment horizontal="left" indent="4"/>
      <protection hidden="1"/>
    </xf>
    <xf numFmtId="0" fontId="94" fillId="34" borderId="0" xfId="55" applyFont="1" applyFill="1" applyAlignment="1" applyProtection="1">
      <alignment horizontal="left" vertical="top"/>
      <protection hidden="1"/>
    </xf>
    <xf numFmtId="0" fontId="9" fillId="0" borderId="0" xfId="55" applyFont="1">
      <alignment/>
      <protection/>
    </xf>
    <xf numFmtId="0" fontId="3" fillId="0" borderId="0" xfId="58" applyFont="1" applyProtection="1">
      <alignment/>
      <protection hidden="1"/>
    </xf>
    <xf numFmtId="0" fontId="95" fillId="8" borderId="0" xfId="0" applyFont="1" applyFill="1" applyAlignment="1">
      <alignment/>
    </xf>
    <xf numFmtId="0" fontId="4" fillId="0" borderId="0" xfId="58" applyFont="1" quotePrefix="1">
      <alignment/>
      <protection/>
    </xf>
    <xf numFmtId="0" fontId="10" fillId="0" borderId="0" xfId="58" applyFont="1" quotePrefix="1">
      <alignment/>
      <protection/>
    </xf>
    <xf numFmtId="0" fontId="3" fillId="0" borderId="0" xfId="58" applyFont="1" applyProtection="1" quotePrefix="1">
      <alignment/>
      <protection hidden="1"/>
    </xf>
    <xf numFmtId="0" fontId="4" fillId="0" borderId="0" xfId="58" applyFont="1" applyFill="1">
      <alignment/>
      <protection/>
    </xf>
    <xf numFmtId="0" fontId="3" fillId="0" borderId="0" xfId="58" applyFont="1" applyFill="1" applyProtection="1">
      <alignment/>
      <protection hidden="1"/>
    </xf>
    <xf numFmtId="0" fontId="3" fillId="0" borderId="0" xfId="58" applyFont="1" applyFill="1">
      <alignment/>
      <protection/>
    </xf>
    <xf numFmtId="0" fontId="3" fillId="0" borderId="0" xfId="58" applyFont="1" applyAlignment="1">
      <alignment horizontal="left" indent="5"/>
      <protection/>
    </xf>
    <xf numFmtId="0" fontId="3" fillId="0" borderId="0" xfId="58" applyFont="1" applyFill="1" applyAlignment="1">
      <alignment horizontal="left" indent="5"/>
      <protection/>
    </xf>
    <xf numFmtId="0" fontId="4" fillId="0" borderId="0" xfId="58" applyFont="1" applyFill="1" applyAlignment="1">
      <alignment horizontal="left" indent="5"/>
      <protection/>
    </xf>
    <xf numFmtId="0" fontId="3" fillId="0" borderId="0" xfId="58" applyFont="1" applyAlignment="1">
      <alignment horizontal="center"/>
      <protection/>
    </xf>
    <xf numFmtId="0" fontId="3" fillId="0" borderId="0" xfId="58" applyFont="1" applyAlignment="1" applyProtection="1">
      <alignment horizontal="left" indent="5"/>
      <protection hidden="1"/>
    </xf>
    <xf numFmtId="0" fontId="4" fillId="0" borderId="0" xfId="58" applyFont="1" applyAlignment="1">
      <alignment horizontal="left" indent="5"/>
      <protection/>
    </xf>
    <xf numFmtId="0" fontId="5" fillId="0" borderId="0" xfId="58" applyFont="1" applyAlignment="1">
      <alignment horizontal="left" vertical="top"/>
      <protection/>
    </xf>
    <xf numFmtId="0" fontId="11" fillId="0" borderId="0" xfId="58" applyFont="1">
      <alignment/>
      <protection/>
    </xf>
    <xf numFmtId="0" fontId="95" fillId="35" borderId="0" xfId="0" applyFont="1" applyFill="1" applyAlignment="1">
      <alignment/>
    </xf>
    <xf numFmtId="0" fontId="12" fillId="0" borderId="0" xfId="58" applyFont="1">
      <alignment/>
      <protection/>
    </xf>
    <xf numFmtId="0" fontId="11" fillId="0" borderId="0" xfId="58" applyFont="1" applyProtection="1">
      <alignment/>
      <protection hidden="1"/>
    </xf>
    <xf numFmtId="0" fontId="13" fillId="0" borderId="0" xfId="58" applyFont="1">
      <alignment/>
      <protection/>
    </xf>
    <xf numFmtId="0" fontId="14" fillId="0" borderId="0"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left" vertical="center"/>
    </xf>
    <xf numFmtId="0" fontId="96" fillId="33" borderId="0" xfId="0" applyFont="1" applyFill="1" applyBorder="1" applyAlignment="1">
      <alignment horizontal="left" vertical="center"/>
    </xf>
    <xf numFmtId="0" fontId="97" fillId="33" borderId="0" xfId="0" applyFont="1" applyFill="1" applyBorder="1" applyAlignment="1">
      <alignment/>
    </xf>
    <xf numFmtId="0" fontId="98"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99" fillId="0" borderId="0" xfId="0" applyFont="1" applyFill="1" applyBorder="1" applyAlignment="1">
      <alignment horizontal="right" vertical="center"/>
    </xf>
    <xf numFmtId="0" fontId="99" fillId="0" borderId="10" xfId="0" applyFont="1" applyFill="1" applyBorder="1" applyAlignment="1">
      <alignment horizontal="right" vertical="center"/>
    </xf>
    <xf numFmtId="3" fontId="16" fillId="0" borderId="0" xfId="0" applyNumberFormat="1" applyFont="1" applyFill="1" applyBorder="1" applyAlignment="1">
      <alignment vertical="center"/>
    </xf>
    <xf numFmtId="3" fontId="16" fillId="0" borderId="1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15" fillId="0" borderId="10" xfId="0" applyNumberFormat="1" applyFont="1" applyFill="1" applyBorder="1" applyAlignment="1">
      <alignment horizontal="right"/>
    </xf>
    <xf numFmtId="3" fontId="15" fillId="0" borderId="0" xfId="0" applyNumberFormat="1" applyFont="1" applyFill="1" applyBorder="1" applyAlignment="1">
      <alignment horizontal="left" vertical="center" indent="1"/>
    </xf>
    <xf numFmtId="3" fontId="100" fillId="34" borderId="0" xfId="0" applyNumberFormat="1" applyFont="1" applyFill="1" applyBorder="1" applyAlignment="1">
      <alignment vertical="center"/>
    </xf>
    <xf numFmtId="3" fontId="100" fillId="0" borderId="0" xfId="0" applyNumberFormat="1" applyFont="1" applyFill="1" applyBorder="1" applyAlignment="1">
      <alignment vertical="center"/>
    </xf>
    <xf numFmtId="3" fontId="75" fillId="0" borderId="0" xfId="0" applyNumberFormat="1" applyFont="1" applyFill="1" applyAlignment="1">
      <alignment/>
    </xf>
    <xf numFmtId="3" fontId="16" fillId="0" borderId="0" xfId="0" applyNumberFormat="1" applyFont="1" applyFill="1" applyBorder="1" applyAlignment="1">
      <alignment horizontal="right" vertical="center"/>
    </xf>
    <xf numFmtId="3" fontId="100" fillId="34" borderId="0" xfId="0" applyNumberFormat="1" applyFont="1" applyFill="1" applyBorder="1" applyAlignment="1">
      <alignment horizontal="right" vertical="center"/>
    </xf>
    <xf numFmtId="0" fontId="16" fillId="0" borderId="0" xfId="0" applyFont="1" applyFill="1" applyBorder="1" applyAlignment="1">
      <alignment/>
    </xf>
    <xf numFmtId="164" fontId="99" fillId="0" borderId="0" xfId="0" applyNumberFormat="1" applyFont="1" applyFill="1" applyBorder="1" applyAlignment="1">
      <alignment horizontal="right" vertical="center"/>
    </xf>
    <xf numFmtId="3" fontId="0" fillId="0" borderId="0" xfId="0" applyNumberFormat="1" applyFill="1" applyAlignment="1">
      <alignment/>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xf>
    <xf numFmtId="3" fontId="15" fillId="35" borderId="0" xfId="0" applyNumberFormat="1" applyFont="1" applyFill="1" applyBorder="1" applyAlignment="1">
      <alignment horizontal="right"/>
    </xf>
    <xf numFmtId="3" fontId="15" fillId="0" borderId="0" xfId="0" applyNumberFormat="1" applyFont="1" applyFill="1" applyBorder="1" applyAlignment="1">
      <alignment/>
    </xf>
    <xf numFmtId="3" fontId="15" fillId="0" borderId="0" xfId="0" applyNumberFormat="1" applyFont="1" applyFill="1" applyAlignment="1">
      <alignment vertical="center"/>
    </xf>
    <xf numFmtId="3" fontId="16" fillId="0" borderId="0" xfId="0" applyNumberFormat="1" applyFont="1" applyFill="1" applyBorder="1" applyAlignment="1">
      <alignment/>
    </xf>
    <xf numFmtId="3" fontId="101" fillId="0" borderId="0" xfId="0" applyNumberFormat="1" applyFont="1" applyFill="1" applyBorder="1" applyAlignment="1">
      <alignment/>
    </xf>
    <xf numFmtId="3" fontId="17" fillId="0" borderId="0" xfId="0" applyNumberFormat="1" applyFont="1" applyFill="1" applyBorder="1" applyAlignment="1">
      <alignment vertical="center"/>
    </xf>
    <xf numFmtId="3" fontId="102" fillId="0" borderId="0" xfId="0" applyNumberFormat="1" applyFont="1" applyFill="1" applyBorder="1" applyAlignment="1">
      <alignment vertical="center" wrapText="1"/>
    </xf>
    <xf numFmtId="3" fontId="15" fillId="0" borderId="10" xfId="0" applyNumberFormat="1" applyFont="1" applyFill="1" applyBorder="1" applyAlignment="1">
      <alignment/>
    </xf>
    <xf numFmtId="0" fontId="96" fillId="0" borderId="0" xfId="0" applyFont="1" applyFill="1" applyBorder="1" applyAlignment="1">
      <alignment horizontal="left" vertical="center"/>
    </xf>
    <xf numFmtId="0" fontId="97" fillId="0" borderId="0" xfId="0" applyFont="1" applyFill="1" applyBorder="1" applyAlignment="1">
      <alignment/>
    </xf>
    <xf numFmtId="164" fontId="99" fillId="0" borderId="10" xfId="0" applyNumberFormat="1" applyFont="1" applyFill="1" applyBorder="1" applyAlignment="1">
      <alignment horizontal="right" vertical="center"/>
    </xf>
    <xf numFmtId="0" fontId="97" fillId="33" borderId="0" xfId="0" applyFont="1" applyFill="1" applyBorder="1" applyAlignment="1">
      <alignment horizontal="right"/>
    </xf>
    <xf numFmtId="0" fontId="15" fillId="0" borderId="0" xfId="0" applyFont="1" applyFill="1" applyBorder="1" applyAlignment="1">
      <alignment horizontal="right"/>
    </xf>
    <xf numFmtId="3" fontId="100" fillId="34" borderId="10" xfId="0" applyNumberFormat="1" applyFont="1" applyFill="1" applyBorder="1" applyAlignment="1">
      <alignment vertical="center"/>
    </xf>
    <xf numFmtId="0" fontId="97" fillId="0" borderId="0" xfId="0" applyFont="1" applyFill="1" applyBorder="1" applyAlignment="1">
      <alignment horizontal="right"/>
    </xf>
    <xf numFmtId="0" fontId="19"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164" fontId="99" fillId="0" borderId="0" xfId="0" applyNumberFormat="1" applyFont="1" applyFill="1" applyBorder="1" applyAlignment="1">
      <alignment vertical="center"/>
    </xf>
    <xf numFmtId="3" fontId="15" fillId="0" borderId="0" xfId="0" applyNumberFormat="1" applyFont="1" applyFill="1" applyBorder="1" applyAlignment="1">
      <alignment/>
    </xf>
    <xf numFmtId="0" fontId="97" fillId="0" borderId="0" xfId="0" applyFont="1" applyFill="1" applyBorder="1" applyAlignment="1">
      <alignment/>
    </xf>
    <xf numFmtId="0" fontId="15" fillId="0" borderId="0" xfId="0" applyFont="1" applyFill="1" applyBorder="1" applyAlignment="1">
      <alignment/>
    </xf>
    <xf numFmtId="3" fontId="100" fillId="34" borderId="10" xfId="0" applyNumberFormat="1" applyFont="1" applyFill="1" applyBorder="1" applyAlignment="1">
      <alignment horizontal="right" vertical="center"/>
    </xf>
    <xf numFmtId="0" fontId="97" fillId="33" borderId="0" xfId="0" applyFont="1" applyFill="1" applyBorder="1" applyAlignment="1">
      <alignment/>
    </xf>
    <xf numFmtId="0" fontId="0" fillId="0" borderId="0" xfId="0" applyFill="1" applyAlignment="1">
      <alignment horizontal="right"/>
    </xf>
    <xf numFmtId="0" fontId="14" fillId="0" borderId="0" xfId="0" applyFont="1" applyFill="1" applyBorder="1" applyAlignment="1" quotePrefix="1">
      <alignment horizontal="left" vertical="center"/>
    </xf>
    <xf numFmtId="0" fontId="98" fillId="0" borderId="0" xfId="0" applyFont="1" applyFill="1" applyBorder="1" applyAlignment="1" quotePrefix="1">
      <alignment horizontal="left" vertical="center"/>
    </xf>
    <xf numFmtId="0" fontId="99" fillId="0" borderId="0" xfId="0" applyFont="1" applyFill="1" applyBorder="1" applyAlignment="1" quotePrefix="1">
      <alignment horizontal="right" vertical="center"/>
    </xf>
    <xf numFmtId="0" fontId="99" fillId="0" borderId="10" xfId="0" applyFont="1" applyFill="1" applyBorder="1" applyAlignment="1" quotePrefix="1">
      <alignment horizontal="right" vertical="center"/>
    </xf>
    <xf numFmtId="0" fontId="0" fillId="0" borderId="0" xfId="0" applyFill="1" applyAlignment="1" quotePrefix="1">
      <alignment/>
    </xf>
    <xf numFmtId="3" fontId="15" fillId="0" borderId="0" xfId="0" applyNumberFormat="1" applyFont="1" applyFill="1" applyBorder="1" applyAlignment="1" quotePrefix="1">
      <alignment vertical="center"/>
    </xf>
    <xf numFmtId="3" fontId="15" fillId="0" borderId="0" xfId="0" applyNumberFormat="1" applyFont="1" applyFill="1" applyBorder="1" applyAlignment="1" quotePrefix="1">
      <alignment horizontal="left" vertical="center" indent="1"/>
    </xf>
    <xf numFmtId="3" fontId="16" fillId="0" borderId="0" xfId="0" applyNumberFormat="1" applyFont="1" applyFill="1" applyBorder="1" applyAlignment="1" quotePrefix="1">
      <alignment vertical="center"/>
    </xf>
    <xf numFmtId="3" fontId="100" fillId="34" borderId="0" xfId="0" applyNumberFormat="1" applyFont="1" applyFill="1" applyBorder="1" applyAlignment="1" quotePrefix="1">
      <alignment vertical="center"/>
    </xf>
    <xf numFmtId="3" fontId="17" fillId="0" borderId="0" xfId="0" applyNumberFormat="1" applyFont="1" applyFill="1" applyBorder="1" applyAlignment="1" quotePrefix="1">
      <alignment vertical="center"/>
    </xf>
    <xf numFmtId="0" fontId="96" fillId="33" borderId="0" xfId="0" applyFont="1" applyFill="1" applyBorder="1" applyAlignment="1" quotePrefix="1">
      <alignment horizontal="left" vertical="center"/>
    </xf>
    <xf numFmtId="0" fontId="0" fillId="0" borderId="0" xfId="0" applyFill="1" applyBorder="1" applyAlignment="1">
      <alignment horizontal="right"/>
    </xf>
    <xf numFmtId="0" fontId="96" fillId="33" borderId="0" xfId="0" applyFont="1" applyFill="1" applyAlignment="1">
      <alignment horizontal="left" vertical="center"/>
    </xf>
    <xf numFmtId="0" fontId="97" fillId="33" borderId="0" xfId="59" applyFont="1" applyFill="1">
      <alignment/>
      <protection/>
    </xf>
    <xf numFmtId="0" fontId="20" fillId="0" borderId="0" xfId="59" applyFont="1">
      <alignment/>
      <protection/>
    </xf>
    <xf numFmtId="0" fontId="98" fillId="0" borderId="0" xfId="0" applyFont="1" applyFill="1" applyAlignment="1">
      <alignment horizontal="left"/>
    </xf>
    <xf numFmtId="0" fontId="15" fillId="0" borderId="0" xfId="59" applyFont="1" applyFill="1">
      <alignment/>
      <protection/>
    </xf>
    <xf numFmtId="164" fontId="16" fillId="0" borderId="0" xfId="60" applyNumberFormat="1" applyFont="1" applyFill="1" applyAlignment="1">
      <alignment horizontal="right" vertical="center"/>
      <protection/>
    </xf>
    <xf numFmtId="164" fontId="99" fillId="0" borderId="11" xfId="0" applyNumberFormat="1" applyFont="1" applyFill="1" applyBorder="1" applyAlignment="1">
      <alignment horizontal="right"/>
    </xf>
    <xf numFmtId="49" fontId="15" fillId="0" borderId="0" xfId="59" applyNumberFormat="1" applyFont="1" applyFill="1" applyBorder="1" applyAlignment="1">
      <alignment horizontal="right"/>
      <protection/>
    </xf>
    <xf numFmtId="49" fontId="15" fillId="0" borderId="12" xfId="59" applyNumberFormat="1" applyFont="1" applyFill="1" applyBorder="1" applyAlignment="1">
      <alignment horizontal="right"/>
      <protection/>
    </xf>
    <xf numFmtId="3" fontId="16" fillId="0" borderId="0" xfId="0" applyNumberFormat="1" applyFont="1" applyFill="1" applyAlignment="1">
      <alignment vertical="center"/>
    </xf>
    <xf numFmtId="165" fontId="16" fillId="0" borderId="0" xfId="0" applyNumberFormat="1" applyFont="1" applyFill="1" applyBorder="1" applyAlignment="1">
      <alignment vertical="center"/>
    </xf>
    <xf numFmtId="165" fontId="16" fillId="0" borderId="10" xfId="0" applyNumberFormat="1" applyFont="1" applyFill="1" applyBorder="1" applyAlignment="1">
      <alignment vertical="center"/>
    </xf>
    <xf numFmtId="3" fontId="0" fillId="0" borderId="0" xfId="0" applyNumberFormat="1" applyAlignment="1">
      <alignment/>
    </xf>
    <xf numFmtId="165" fontId="15" fillId="0" borderId="0" xfId="59" applyNumberFormat="1" applyFont="1" applyFill="1" applyBorder="1" applyAlignment="1">
      <alignment horizontal="right"/>
      <protection/>
    </xf>
    <xf numFmtId="165" fontId="15" fillId="0" borderId="10" xfId="59" applyNumberFormat="1" applyFont="1" applyFill="1" applyBorder="1" applyAlignment="1">
      <alignment horizontal="right"/>
      <protection/>
    </xf>
    <xf numFmtId="165" fontId="20" fillId="0" borderId="0" xfId="59" applyNumberFormat="1" applyFont="1">
      <alignment/>
      <protection/>
    </xf>
    <xf numFmtId="165" fontId="15" fillId="0" borderId="0" xfId="0" applyNumberFormat="1" applyFont="1" applyFill="1" applyBorder="1" applyAlignment="1">
      <alignment vertical="center"/>
    </xf>
    <xf numFmtId="165" fontId="15" fillId="0" borderId="10" xfId="0" applyNumberFormat="1" applyFont="1" applyFill="1" applyBorder="1" applyAlignment="1">
      <alignment vertical="center"/>
    </xf>
    <xf numFmtId="165" fontId="15" fillId="0" borderId="0" xfId="0" applyNumberFormat="1" applyFont="1" applyFill="1" applyBorder="1" applyAlignment="1">
      <alignment horizontal="right" vertical="center"/>
    </xf>
    <xf numFmtId="3" fontId="103" fillId="0" borderId="0" xfId="0" applyNumberFormat="1" applyFont="1" applyAlignment="1">
      <alignment/>
    </xf>
    <xf numFmtId="165" fontId="15" fillId="0" borderId="0" xfId="65" applyNumberFormat="1" applyFont="1" applyFill="1" applyBorder="1" applyAlignment="1">
      <alignment horizontal="right"/>
    </xf>
    <xf numFmtId="0" fontId="21" fillId="0" borderId="0" xfId="0" applyFont="1" applyFill="1" applyAlignment="1">
      <alignment horizontal="left"/>
    </xf>
    <xf numFmtId="0" fontId="20" fillId="0" borderId="0" xfId="59" applyFont="1" applyFill="1">
      <alignment/>
      <protection/>
    </xf>
    <xf numFmtId="0" fontId="104" fillId="33" borderId="0" xfId="60" applyFont="1" applyFill="1" applyAlignment="1">
      <alignment horizontal="left" vertical="center"/>
      <protection/>
    </xf>
    <xf numFmtId="0" fontId="6" fillId="0" borderId="0" xfId="59" applyFont="1">
      <alignment/>
      <protection/>
    </xf>
    <xf numFmtId="164" fontId="99" fillId="0" borderId="11" xfId="0" applyNumberFormat="1" applyFont="1" applyFill="1" applyBorder="1" applyAlignment="1">
      <alignment horizontal="right" vertical="center"/>
    </xf>
    <xf numFmtId="0" fontId="15" fillId="0" borderId="12" xfId="59" applyFont="1" applyFill="1" applyBorder="1">
      <alignment/>
      <protection/>
    </xf>
    <xf numFmtId="166" fontId="0" fillId="0" borderId="0" xfId="0" applyNumberFormat="1" applyAlignment="1">
      <alignment/>
    </xf>
    <xf numFmtId="167" fontId="0" fillId="0" borderId="0" xfId="0" applyNumberFormat="1" applyAlignment="1">
      <alignment/>
    </xf>
    <xf numFmtId="0" fontId="22" fillId="0" borderId="0" xfId="59" applyFont="1">
      <alignment/>
      <protection/>
    </xf>
    <xf numFmtId="167" fontId="6" fillId="0" borderId="0" xfId="59" applyNumberFormat="1" applyFont="1">
      <alignment/>
      <protection/>
    </xf>
    <xf numFmtId="165" fontId="15" fillId="0" borderId="0" xfId="0" applyNumberFormat="1" applyFont="1" applyFill="1" applyBorder="1" applyAlignment="1">
      <alignment/>
    </xf>
    <xf numFmtId="0" fontId="17" fillId="0" borderId="0" xfId="0" applyFont="1" applyFill="1" applyAlignment="1">
      <alignment horizontal="left"/>
    </xf>
    <xf numFmtId="167" fontId="15" fillId="0" borderId="0" xfId="59" applyNumberFormat="1" applyFont="1" applyFill="1" applyBorder="1">
      <alignment/>
      <protection/>
    </xf>
    <xf numFmtId="0" fontId="97" fillId="33" borderId="0" xfId="59" applyFont="1" applyFill="1" applyBorder="1">
      <alignment/>
      <protection/>
    </xf>
    <xf numFmtId="167" fontId="97" fillId="33" borderId="0" xfId="59" applyNumberFormat="1" applyFont="1" applyFill="1" applyBorder="1">
      <alignment/>
      <protection/>
    </xf>
    <xf numFmtId="0" fontId="22" fillId="0" borderId="0" xfId="59" applyFont="1" applyFill="1">
      <alignment/>
      <protection/>
    </xf>
    <xf numFmtId="2" fontId="15" fillId="0" borderId="0" xfId="59" applyNumberFormat="1" applyFont="1" applyFill="1" applyBorder="1">
      <alignment/>
      <protection/>
    </xf>
    <xf numFmtId="1" fontId="16" fillId="0" borderId="0" xfId="0" applyNumberFormat="1" applyFont="1" applyFill="1" applyBorder="1" applyAlignment="1">
      <alignment vertical="center"/>
    </xf>
    <xf numFmtId="1" fontId="16" fillId="0" borderId="10" xfId="0" applyNumberFormat="1" applyFont="1" applyFill="1" applyBorder="1" applyAlignment="1">
      <alignment vertical="center"/>
    </xf>
    <xf numFmtId="168" fontId="0" fillId="0" borderId="0" xfId="0" applyNumberFormat="1" applyAlignment="1">
      <alignment/>
    </xf>
    <xf numFmtId="1" fontId="15" fillId="0" borderId="0" xfId="59" applyNumberFormat="1" applyFont="1" applyFill="1" applyBorder="1" applyAlignment="1">
      <alignment horizontal="right"/>
      <protection/>
    </xf>
    <xf numFmtId="1" fontId="15" fillId="0" borderId="10" xfId="59" applyNumberFormat="1" applyFont="1" applyFill="1" applyBorder="1" applyAlignment="1">
      <alignment horizontal="right"/>
      <protection/>
    </xf>
    <xf numFmtId="1" fontId="15" fillId="0" borderId="0" xfId="0" applyNumberFormat="1" applyFont="1" applyFill="1" applyBorder="1" applyAlignment="1">
      <alignment vertical="center"/>
    </xf>
    <xf numFmtId="1" fontId="15" fillId="0" borderId="10" xfId="0" applyNumberFormat="1" applyFont="1" applyFill="1" applyBorder="1" applyAlignment="1">
      <alignment vertical="center"/>
    </xf>
    <xf numFmtId="9" fontId="0" fillId="0" borderId="0" xfId="0" applyNumberFormat="1" applyAlignment="1">
      <alignment/>
    </xf>
    <xf numFmtId="1" fontId="15" fillId="0" borderId="0" xfId="0" applyNumberFormat="1" applyFont="1" applyFill="1" applyBorder="1" applyAlignment="1">
      <alignment/>
    </xf>
    <xf numFmtId="1" fontId="15" fillId="0" borderId="10" xfId="0" applyNumberFormat="1" applyFont="1" applyFill="1" applyBorder="1" applyAlignment="1">
      <alignment/>
    </xf>
    <xf numFmtId="0" fontId="15" fillId="0" borderId="0" xfId="59" applyFont="1" applyFill="1" applyBorder="1">
      <alignment/>
      <protection/>
    </xf>
    <xf numFmtId="2" fontId="16" fillId="0" borderId="0" xfId="0" applyNumberFormat="1" applyFont="1" applyFill="1" applyBorder="1" applyAlignment="1">
      <alignment vertical="center"/>
    </xf>
    <xf numFmtId="2" fontId="16" fillId="0" borderId="10" xfId="0" applyNumberFormat="1" applyFont="1" applyFill="1" applyBorder="1" applyAlignment="1">
      <alignment vertical="center"/>
    </xf>
    <xf numFmtId="2" fontId="15" fillId="0" borderId="0" xfId="59" applyNumberFormat="1" applyFont="1" applyFill="1" applyBorder="1" applyAlignment="1">
      <alignment horizontal="right"/>
      <protection/>
    </xf>
    <xf numFmtId="2" fontId="15" fillId="0" borderId="10" xfId="59" applyNumberFormat="1" applyFont="1" applyFill="1" applyBorder="1" applyAlignment="1">
      <alignment horizontal="right"/>
      <protection/>
    </xf>
    <xf numFmtId="2" fontId="15" fillId="0" borderId="0" xfId="0" applyNumberFormat="1" applyFont="1" applyFill="1" applyBorder="1" applyAlignment="1">
      <alignment vertical="center"/>
    </xf>
    <xf numFmtId="2" fontId="15" fillId="0" borderId="10" xfId="0" applyNumberFormat="1" applyFont="1" applyFill="1" applyBorder="1" applyAlignment="1">
      <alignment vertical="center"/>
    </xf>
    <xf numFmtId="2" fontId="15" fillId="0" borderId="0" xfId="0" applyNumberFormat="1" applyFont="1" applyFill="1" applyBorder="1" applyAlignment="1">
      <alignment/>
    </xf>
    <xf numFmtId="2" fontId="15" fillId="0" borderId="10" xfId="0" applyNumberFormat="1" applyFont="1" applyFill="1" applyBorder="1" applyAlignment="1">
      <alignment/>
    </xf>
    <xf numFmtId="0" fontId="6" fillId="0" borderId="0" xfId="59" applyFont="1" applyFill="1">
      <alignment/>
      <protection/>
    </xf>
    <xf numFmtId="0" fontId="23" fillId="0" borderId="0" xfId="59" applyFont="1">
      <alignment/>
      <protection/>
    </xf>
    <xf numFmtId="3" fontId="97" fillId="33" borderId="0" xfId="0" applyNumberFormat="1" applyFont="1" applyFill="1" applyBorder="1" applyAlignment="1">
      <alignment/>
    </xf>
    <xf numFmtId="0" fontId="97" fillId="33" borderId="0" xfId="0" applyFont="1" applyFill="1" applyAlignment="1">
      <alignment/>
    </xf>
    <xf numFmtId="0" fontId="16" fillId="0" borderId="0" xfId="59" applyFont="1" applyFill="1" applyBorder="1" applyAlignment="1">
      <alignment horizontal="center" vertical="center"/>
      <protection/>
    </xf>
    <xf numFmtId="3" fontId="15" fillId="0" borderId="0" xfId="0" applyNumberFormat="1" applyFont="1" applyFill="1" applyAlignment="1">
      <alignment horizontal="left" vertical="center" indent="1"/>
    </xf>
    <xf numFmtId="0" fontId="15" fillId="0" borderId="0" xfId="0" applyFont="1" applyFill="1" applyAlignment="1">
      <alignment/>
    </xf>
    <xf numFmtId="3" fontId="101" fillId="0" borderId="0" xfId="0" applyNumberFormat="1" applyFont="1" applyFill="1" applyAlignment="1">
      <alignment/>
    </xf>
    <xf numFmtId="3" fontId="20" fillId="0" borderId="0" xfId="59" applyNumberFormat="1" applyFont="1" applyFill="1">
      <alignment/>
      <protection/>
    </xf>
    <xf numFmtId="0" fontId="0" fillId="36" borderId="0" xfId="0" applyFill="1" applyAlignment="1">
      <alignment/>
    </xf>
    <xf numFmtId="0" fontId="98" fillId="0" borderId="0" xfId="0" applyFont="1" applyFill="1" applyAlignment="1">
      <alignment horizontal="left" vertical="center"/>
    </xf>
    <xf numFmtId="0" fontId="15" fillId="0" borderId="0" xfId="59" applyFont="1">
      <alignment/>
      <protection/>
    </xf>
    <xf numFmtId="0" fontId="9" fillId="0" borderId="0" xfId="60" applyFont="1" applyFill="1" applyAlignment="1">
      <alignment horizontal="left" vertical="center"/>
      <protection/>
    </xf>
    <xf numFmtId="0" fontId="105" fillId="0" borderId="0" xfId="59" applyFont="1" applyFill="1">
      <alignment/>
      <protection/>
    </xf>
    <xf numFmtId="3" fontId="105" fillId="0" borderId="0" xfId="0" applyNumberFormat="1" applyFont="1" applyFill="1" applyAlignment="1">
      <alignment/>
    </xf>
    <xf numFmtId="164" fontId="99" fillId="0" borderId="0" xfId="0" applyNumberFormat="1" applyFont="1" applyFill="1" applyBorder="1" applyAlignment="1">
      <alignment horizontal="center" vertical="center"/>
    </xf>
    <xf numFmtId="1" fontId="99" fillId="0" borderId="0" xfId="0" applyNumberFormat="1" applyFont="1" applyFill="1" applyBorder="1" applyAlignment="1">
      <alignment vertical="center"/>
    </xf>
    <xf numFmtId="164" fontId="99" fillId="0" borderId="11" xfId="0" applyNumberFormat="1" applyFont="1" applyFill="1" applyBorder="1" applyAlignment="1">
      <alignment horizontal="center" vertical="center"/>
    </xf>
    <xf numFmtId="0" fontId="105" fillId="0" borderId="11" xfId="59" applyFont="1" applyFill="1" applyBorder="1">
      <alignment/>
      <protection/>
    </xf>
    <xf numFmtId="3" fontId="105" fillId="0" borderId="11" xfId="0" applyNumberFormat="1" applyFont="1" applyFill="1" applyBorder="1" applyAlignment="1">
      <alignment/>
    </xf>
    <xf numFmtId="164" fontId="99" fillId="0" borderId="11" xfId="0" applyNumberFormat="1" applyFont="1" applyFill="1" applyBorder="1" applyAlignment="1" quotePrefix="1">
      <alignment horizontal="center" vertical="center"/>
    </xf>
    <xf numFmtId="168" fontId="15" fillId="0" borderId="0" xfId="0" applyNumberFormat="1" applyFont="1" applyFill="1" applyBorder="1" applyAlignment="1">
      <alignment/>
    </xf>
    <xf numFmtId="167" fontId="15" fillId="0" borderId="0" xfId="63" applyNumberFormat="1" applyFont="1" applyFill="1" applyBorder="1" applyAlignment="1">
      <alignment/>
    </xf>
    <xf numFmtId="9" fontId="15" fillId="0" borderId="0" xfId="63" applyFont="1" applyFill="1" applyBorder="1" applyAlignment="1">
      <alignment/>
    </xf>
    <xf numFmtId="165" fontId="15" fillId="0" borderId="0" xfId="65" applyNumberFormat="1" applyFont="1" applyFill="1" applyAlignment="1">
      <alignment horizontal="right"/>
    </xf>
    <xf numFmtId="9" fontId="15" fillId="0" borderId="0" xfId="63" applyNumberFormat="1" applyFont="1" applyFill="1" applyAlignment="1">
      <alignment horizontal="right"/>
    </xf>
    <xf numFmtId="0" fontId="106" fillId="33" borderId="0" xfId="60" applyFont="1" applyFill="1" applyBorder="1" applyAlignment="1">
      <alignment horizontal="left" vertical="center"/>
      <protection/>
    </xf>
    <xf numFmtId="0" fontId="6" fillId="0" borderId="0" xfId="54">
      <alignment/>
      <protection/>
    </xf>
    <xf numFmtId="0" fontId="98" fillId="0" borderId="0" xfId="54" applyFont="1" applyFill="1" applyBorder="1" applyAlignment="1">
      <alignment horizontal="left" vertical="center"/>
      <protection/>
    </xf>
    <xf numFmtId="0" fontId="9" fillId="0" borderId="0" xfId="60" applyFont="1" applyFill="1" applyBorder="1" applyAlignment="1">
      <alignment horizontal="left" vertical="center"/>
      <protection/>
    </xf>
    <xf numFmtId="0" fontId="15" fillId="0" borderId="0" xfId="54" applyFont="1" applyFill="1" applyBorder="1">
      <alignment/>
      <protection/>
    </xf>
    <xf numFmtId="0" fontId="99" fillId="0" borderId="11" xfId="54" applyFont="1" applyFill="1" applyBorder="1" applyAlignment="1">
      <alignment horizontal="right" vertical="center"/>
      <protection/>
    </xf>
    <xf numFmtId="0" fontId="15" fillId="0" borderId="0" xfId="57" applyFont="1" applyFill="1" applyBorder="1" applyAlignment="1">
      <alignment vertical="center"/>
      <protection/>
    </xf>
    <xf numFmtId="10" fontId="15" fillId="0" borderId="0" xfId="66" applyNumberFormat="1" applyFont="1" applyFill="1" applyBorder="1" applyAlignment="1">
      <alignment vertical="center"/>
    </xf>
    <xf numFmtId="10" fontId="6" fillId="0" borderId="0" xfId="54" applyNumberFormat="1">
      <alignment/>
      <protection/>
    </xf>
    <xf numFmtId="3" fontId="16" fillId="0" borderId="0" xfId="54" applyNumberFormat="1" applyFont="1" applyFill="1" applyBorder="1" applyAlignment="1">
      <alignment vertical="center"/>
      <protection/>
    </xf>
    <xf numFmtId="10" fontId="16" fillId="0" borderId="0" xfId="54" applyNumberFormat="1" applyFont="1" applyFill="1" applyBorder="1" applyAlignment="1">
      <alignment vertical="center"/>
      <protection/>
    </xf>
    <xf numFmtId="10" fontId="15" fillId="0" borderId="0" xfId="59" applyNumberFormat="1" applyFont="1" applyFill="1" applyBorder="1" applyAlignment="1">
      <alignment horizontal="right"/>
      <protection/>
    </xf>
    <xf numFmtId="10" fontId="16" fillId="0" borderId="0" xfId="59" applyNumberFormat="1" applyFont="1" applyFill="1" applyBorder="1" applyAlignment="1">
      <alignment horizontal="right"/>
      <protection/>
    </xf>
    <xf numFmtId="10" fontId="15" fillId="0" borderId="0" xfId="54" applyNumberFormat="1" applyFont="1" applyFill="1" applyBorder="1" applyAlignment="1">
      <alignment vertical="center"/>
      <protection/>
    </xf>
    <xf numFmtId="10" fontId="16" fillId="0" borderId="0" xfId="66" applyNumberFormat="1" applyFont="1" applyFill="1" applyBorder="1" applyAlignment="1">
      <alignment vertical="center"/>
    </xf>
    <xf numFmtId="3" fontId="21" fillId="0" borderId="0" xfId="54" applyNumberFormat="1" applyFont="1" applyFill="1" applyBorder="1" applyAlignment="1">
      <alignment vertical="center"/>
      <protection/>
    </xf>
    <xf numFmtId="0" fontId="15" fillId="0" borderId="0" xfId="0" applyFont="1" applyAlignment="1">
      <alignment/>
    </xf>
    <xf numFmtId="0" fontId="24" fillId="0" borderId="0" xfId="0" applyNumberFormat="1" applyFont="1" applyFill="1" applyBorder="1" applyAlignment="1">
      <alignment horizontal="left" vertical="center"/>
    </xf>
    <xf numFmtId="0" fontId="15" fillId="0" borderId="0" xfId="0" applyFont="1" applyFill="1" applyAlignment="1">
      <alignment horizontal="right" vertical="center"/>
    </xf>
    <xf numFmtId="169" fontId="99" fillId="0" borderId="11" xfId="0" applyNumberFormat="1" applyFont="1" applyFill="1" applyBorder="1" applyAlignment="1">
      <alignment horizontal="right" vertical="center"/>
    </xf>
    <xf numFmtId="0" fontId="107" fillId="0" borderId="0" xfId="0" applyFont="1" applyAlignment="1">
      <alignment horizontal="center"/>
    </xf>
    <xf numFmtId="3" fontId="16" fillId="0" borderId="0" xfId="0" applyNumberFormat="1" applyFont="1" applyFill="1" applyBorder="1" applyAlignment="1">
      <alignment horizontal="right"/>
    </xf>
    <xf numFmtId="170" fontId="107" fillId="0" borderId="0" xfId="49" applyNumberFormat="1" applyFont="1" applyAlignment="1">
      <alignment/>
    </xf>
    <xf numFmtId="43" fontId="0" fillId="0" borderId="0" xfId="49" applyFont="1" applyAlignment="1">
      <alignment/>
    </xf>
    <xf numFmtId="3" fontId="15" fillId="0" borderId="0" xfId="0" applyNumberFormat="1" applyFont="1" applyFill="1" applyAlignment="1">
      <alignment horizontal="left" vertical="center" indent="2"/>
    </xf>
    <xf numFmtId="0" fontId="6" fillId="0" borderId="0" xfId="0" applyFont="1" applyFill="1" applyAlignment="1">
      <alignment/>
    </xf>
    <xf numFmtId="0" fontId="96" fillId="33" borderId="0" xfId="57" applyFont="1" applyFill="1" applyAlignment="1">
      <alignment horizontal="left" vertical="center"/>
      <protection/>
    </xf>
    <xf numFmtId="0" fontId="108" fillId="33" borderId="0" xfId="57" applyFont="1" applyFill="1">
      <alignment/>
      <protection/>
    </xf>
    <xf numFmtId="0" fontId="0" fillId="0" borderId="0" xfId="57" applyAlignment="1">
      <alignment horizontal="right"/>
      <protection/>
    </xf>
    <xf numFmtId="0" fontId="0" fillId="0" borderId="0" xfId="57">
      <alignment/>
      <protection/>
    </xf>
    <xf numFmtId="0" fontId="25" fillId="0" borderId="0" xfId="57" applyFont="1" applyFill="1">
      <alignment/>
      <protection/>
    </xf>
    <xf numFmtId="0" fontId="98" fillId="36" borderId="0" xfId="0" applyFont="1" applyFill="1" applyBorder="1" applyAlignment="1">
      <alignment horizontal="left" vertical="center"/>
    </xf>
    <xf numFmtId="0" fontId="98" fillId="0" borderId="0" xfId="57" applyFont="1" applyFill="1" applyAlignment="1">
      <alignment horizontal="left" vertical="center"/>
      <protection/>
    </xf>
    <xf numFmtId="0" fontId="15" fillId="0" borderId="0" xfId="57" applyFont="1" applyFill="1" applyAlignment="1">
      <alignment vertical="center"/>
      <protection/>
    </xf>
    <xf numFmtId="164" fontId="15" fillId="0" borderId="0" xfId="57" applyNumberFormat="1" applyFont="1" applyFill="1" applyBorder="1" applyAlignment="1">
      <alignment horizontal="right" vertical="center"/>
      <protection/>
    </xf>
    <xf numFmtId="3" fontId="15" fillId="0" borderId="0" xfId="57" applyNumberFormat="1" applyFont="1" applyFill="1" applyAlignment="1">
      <alignment vertical="center"/>
      <protection/>
    </xf>
    <xf numFmtId="3" fontId="15" fillId="0" borderId="0" xfId="57" applyNumberFormat="1" applyFont="1" applyFill="1" applyBorder="1" applyAlignment="1">
      <alignment horizontal="right"/>
      <protection/>
    </xf>
    <xf numFmtId="3" fontId="16" fillId="0" borderId="0" xfId="57" applyNumberFormat="1" applyFont="1" applyFill="1" applyAlignment="1">
      <alignment vertical="center"/>
      <protection/>
    </xf>
    <xf numFmtId="3" fontId="16" fillId="0" borderId="0" xfId="57" applyNumberFormat="1" applyFont="1" applyFill="1" applyBorder="1" applyAlignment="1">
      <alignment horizontal="right"/>
      <protection/>
    </xf>
    <xf numFmtId="166" fontId="109" fillId="0" borderId="0" xfId="57" applyNumberFormat="1" applyFont="1" applyFill="1">
      <alignment/>
      <protection/>
    </xf>
    <xf numFmtId="166" fontId="25" fillId="0" borderId="0" xfId="57" applyNumberFormat="1" applyFont="1" applyFill="1">
      <alignment/>
      <protection/>
    </xf>
    <xf numFmtId="3" fontId="25" fillId="0" borderId="0" xfId="57" applyNumberFormat="1" applyFont="1" applyFill="1">
      <alignment/>
      <protection/>
    </xf>
    <xf numFmtId="3" fontId="16" fillId="0" borderId="0" xfId="57" applyNumberFormat="1" applyFont="1" applyFill="1" applyBorder="1" applyAlignment="1">
      <alignment vertical="center"/>
      <protection/>
    </xf>
    <xf numFmtId="166" fontId="25" fillId="0" borderId="0" xfId="57" applyNumberFormat="1" applyFont="1" applyFill="1" applyBorder="1">
      <alignment/>
      <protection/>
    </xf>
    <xf numFmtId="0" fontId="0" fillId="0" borderId="0" xfId="57" applyFill="1" applyBorder="1">
      <alignment/>
      <protection/>
    </xf>
    <xf numFmtId="3" fontId="17" fillId="0" borderId="0" xfId="57" applyNumberFormat="1" applyFont="1" applyFill="1" applyAlignment="1">
      <alignment vertical="center"/>
      <protection/>
    </xf>
    <xf numFmtId="0" fontId="0" fillId="0" borderId="0" xfId="57" applyFill="1">
      <alignment/>
      <protection/>
    </xf>
    <xf numFmtId="0" fontId="17" fillId="0" borderId="0" xfId="57" applyFont="1" applyFill="1" applyAlignment="1">
      <alignment horizontal="left"/>
      <protection/>
    </xf>
    <xf numFmtId="0" fontId="110" fillId="0" borderId="0" xfId="57" applyFont="1">
      <alignment/>
      <protection/>
    </xf>
    <xf numFmtId="10" fontId="25" fillId="0" borderId="0" xfId="63" applyNumberFormat="1" applyFont="1" applyFill="1" applyAlignment="1">
      <alignment/>
    </xf>
    <xf numFmtId="0" fontId="27" fillId="0" borderId="0" xfId="61" applyFont="1" applyFill="1" applyProtection="1">
      <alignment/>
      <protection hidden="1" locked="0"/>
    </xf>
    <xf numFmtId="0" fontId="27" fillId="0" borderId="0" xfId="61" applyFont="1" applyFill="1" applyBorder="1" applyAlignment="1" applyProtection="1">
      <alignment horizontal="left"/>
      <protection hidden="1" locked="0"/>
    </xf>
    <xf numFmtId="0" fontId="27" fillId="0" borderId="11" xfId="61" applyFont="1" applyFill="1" applyBorder="1" applyAlignment="1" applyProtection="1">
      <alignment horizontal="left"/>
      <protection hidden="1" locked="0"/>
    </xf>
    <xf numFmtId="0" fontId="111" fillId="0" borderId="0" xfId="0" applyFont="1" applyAlignment="1">
      <alignment/>
    </xf>
    <xf numFmtId="0" fontId="112" fillId="0" borderId="0" xfId="61" applyFont="1" applyFill="1" applyBorder="1" applyAlignment="1" applyProtection="1">
      <alignment horizontal="left"/>
      <protection hidden="1" locked="0"/>
    </xf>
    <xf numFmtId="0" fontId="112" fillId="0" borderId="0" xfId="0" applyFont="1" applyAlignment="1">
      <alignment/>
    </xf>
    <xf numFmtId="3" fontId="17" fillId="0" borderId="0" xfId="0" applyNumberFormat="1" applyFont="1" applyFill="1" applyAlignment="1">
      <alignment vertical="center"/>
    </xf>
    <xf numFmtId="3" fontId="6" fillId="0" borderId="0" xfId="56" applyFill="1" quotePrefix="1">
      <alignment/>
      <protection/>
    </xf>
    <xf numFmtId="0" fontId="0" fillId="0" borderId="0" xfId="0" applyAlignment="1" quotePrefix="1">
      <alignment/>
    </xf>
    <xf numFmtId="0" fontId="113" fillId="0" borderId="11" xfId="0" applyFont="1" applyFill="1" applyBorder="1" applyAlignment="1">
      <alignment vertical="center"/>
    </xf>
    <xf numFmtId="164" fontId="99" fillId="0" borderId="0" xfId="0" applyNumberFormat="1" applyFont="1" applyFill="1" applyBorder="1" applyAlignment="1">
      <alignment horizontal="left" vertical="center"/>
    </xf>
    <xf numFmtId="0" fontId="95" fillId="37" borderId="0" xfId="0" applyFont="1" applyFill="1" applyAlignment="1">
      <alignment/>
    </xf>
    <xf numFmtId="3" fontId="16" fillId="0" borderId="0" xfId="0" applyNumberFormat="1" applyFont="1" applyFill="1" applyBorder="1" applyAlignment="1" quotePrefix="1">
      <alignment horizontal="right" vertical="center"/>
    </xf>
    <xf numFmtId="1"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2" fontId="16"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xf>
    <xf numFmtId="0" fontId="15" fillId="0" borderId="0" xfId="59" applyFont="1" applyFill="1" applyAlignment="1">
      <alignment horizontal="right"/>
      <protection/>
    </xf>
    <xf numFmtId="0" fontId="96" fillId="33" borderId="0" xfId="0" applyFont="1" applyFill="1" applyAlignment="1" quotePrefix="1">
      <alignment horizontal="left" vertical="center"/>
    </xf>
    <xf numFmtId="3" fontId="16" fillId="0" borderId="0" xfId="0" applyNumberFormat="1" applyFont="1" applyFill="1" applyAlignment="1" quotePrefix="1">
      <alignment vertical="center"/>
    </xf>
    <xf numFmtId="3" fontId="15" fillId="0" borderId="0" xfId="0" applyNumberFormat="1" applyFont="1" applyFill="1" applyBorder="1" applyAlignment="1" quotePrefix="1">
      <alignment horizontal="right"/>
    </xf>
    <xf numFmtId="3" fontId="15" fillId="0" borderId="0" xfId="0" applyNumberFormat="1" applyFont="1" applyFill="1" applyAlignment="1" quotePrefix="1">
      <alignment horizontal="left" vertical="center" indent="1"/>
    </xf>
    <xf numFmtId="3" fontId="17" fillId="0" borderId="0" xfId="0" applyNumberFormat="1" applyFont="1" applyFill="1" applyAlignment="1" quotePrefix="1">
      <alignment vertical="center"/>
    </xf>
    <xf numFmtId="0" fontId="97" fillId="33" borderId="0" xfId="54" applyFont="1" applyFill="1" applyBorder="1">
      <alignment/>
      <protection/>
    </xf>
    <xf numFmtId="3" fontId="17" fillId="0" borderId="0" xfId="54" applyNumberFormat="1" applyFont="1" applyFill="1" applyBorder="1" applyAlignment="1">
      <alignment vertical="center"/>
      <protection/>
    </xf>
    <xf numFmtId="3" fontId="25" fillId="0" borderId="0" xfId="57" applyNumberFormat="1" applyFont="1" applyFill="1" applyAlignment="1">
      <alignment horizontal="right"/>
      <protection/>
    </xf>
    <xf numFmtId="0" fontId="96" fillId="33" borderId="0" xfId="57" applyFont="1" applyFill="1" applyAlignment="1" quotePrefix="1">
      <alignment horizontal="left" vertical="center"/>
      <protection/>
    </xf>
    <xf numFmtId="3" fontId="16" fillId="0" borderId="0" xfId="57" applyNumberFormat="1" applyFont="1" applyFill="1" applyAlignment="1" quotePrefix="1">
      <alignment vertical="center"/>
      <protection/>
    </xf>
    <xf numFmtId="3" fontId="15" fillId="0" borderId="0" xfId="57" applyNumberFormat="1" applyFont="1" applyFill="1" applyAlignment="1" quotePrefix="1">
      <alignment vertical="center"/>
      <protection/>
    </xf>
    <xf numFmtId="3" fontId="15" fillId="0" borderId="0" xfId="57" applyNumberFormat="1" applyFont="1" applyFill="1" applyAlignment="1" quotePrefix="1">
      <alignment horizontal="left" vertical="center" indent="2"/>
      <protection/>
    </xf>
    <xf numFmtId="3" fontId="15" fillId="0" borderId="0" xfId="57" applyNumberFormat="1" applyFont="1" applyFill="1" applyAlignment="1">
      <alignment horizontal="left" vertical="center" indent="2"/>
      <protection/>
    </xf>
    <xf numFmtId="3" fontId="15" fillId="0" borderId="0" xfId="57" applyNumberFormat="1" applyFont="1" applyFill="1" applyBorder="1" applyAlignment="1" quotePrefix="1">
      <alignment horizontal="right"/>
      <protection/>
    </xf>
    <xf numFmtId="166" fontId="101" fillId="0" borderId="0" xfId="57" applyNumberFormat="1" applyFont="1" applyFill="1" applyBorder="1" applyAlignment="1">
      <alignment horizontal="right"/>
      <protection/>
    </xf>
    <xf numFmtId="0" fontId="29" fillId="0" borderId="0" xfId="0" applyFont="1" applyFill="1" applyAlignment="1">
      <alignment/>
    </xf>
    <xf numFmtId="2" fontId="0" fillId="0" borderId="0" xfId="0" applyNumberFormat="1" applyFill="1" applyAlignment="1">
      <alignment/>
    </xf>
    <xf numFmtId="3" fontId="0" fillId="0" borderId="0" xfId="57" applyNumberFormat="1">
      <alignment/>
      <protection/>
    </xf>
    <xf numFmtId="3" fontId="17" fillId="0" borderId="0" xfId="0" applyNumberFormat="1" applyFont="1" applyFill="1" applyBorder="1" applyAlignment="1">
      <alignment horizontal="left" vertical="top" wrapText="1"/>
    </xf>
    <xf numFmtId="166" fontId="71" fillId="0" borderId="0" xfId="0" applyNumberFormat="1" applyFont="1" applyFill="1" applyAlignment="1">
      <alignment/>
    </xf>
    <xf numFmtId="165" fontId="15" fillId="0" borderId="0" xfId="59" applyNumberFormat="1" applyFont="1" applyFill="1">
      <alignment/>
      <protection/>
    </xf>
    <xf numFmtId="165" fontId="20" fillId="0" borderId="0" xfId="59" applyNumberFormat="1" applyFont="1" applyFill="1">
      <alignment/>
      <protection/>
    </xf>
    <xf numFmtId="168" fontId="15" fillId="0" borderId="0" xfId="0" applyNumberFormat="1" applyFont="1" applyFill="1" applyBorder="1" applyAlignment="1">
      <alignment horizontal="right"/>
    </xf>
    <xf numFmtId="3" fontId="17" fillId="36" borderId="0" xfId="0" applyNumberFormat="1" applyFont="1" applyFill="1" applyBorder="1" applyAlignment="1">
      <alignment vertical="top"/>
    </xf>
    <xf numFmtId="3" fontId="16" fillId="0" borderId="10" xfId="0" applyNumberFormat="1" applyFont="1" applyFill="1" applyBorder="1" applyAlignment="1">
      <alignment horizontal="right" vertical="center"/>
    </xf>
    <xf numFmtId="49" fontId="17" fillId="0" borderId="0" xfId="0" applyNumberFormat="1" applyFont="1" applyFill="1" applyAlignment="1">
      <alignment vertical="top"/>
    </xf>
    <xf numFmtId="4" fontId="15" fillId="0" borderId="0" xfId="0" applyNumberFormat="1" applyFont="1" applyFill="1" applyBorder="1" applyAlignment="1">
      <alignment/>
    </xf>
    <xf numFmtId="3" fontId="100" fillId="0" borderId="0" xfId="0" applyNumberFormat="1" applyFont="1" applyFill="1" applyBorder="1" applyAlignment="1" quotePrefix="1">
      <alignment vertical="center"/>
    </xf>
    <xf numFmtId="172" fontId="15" fillId="0" borderId="0" xfId="63" applyNumberFormat="1" applyFont="1" applyFill="1" applyBorder="1" applyAlignment="1">
      <alignment/>
    </xf>
    <xf numFmtId="10" fontId="15" fillId="0" borderId="0" xfId="54" applyNumberFormat="1" applyFont="1" applyFill="1" applyBorder="1">
      <alignment/>
      <protection/>
    </xf>
    <xf numFmtId="3" fontId="15" fillId="0" borderId="13" xfId="0" applyNumberFormat="1" applyFont="1" applyFill="1" applyBorder="1" applyAlignment="1">
      <alignment horizontal="right"/>
    </xf>
    <xf numFmtId="3" fontId="3" fillId="0" borderId="0" xfId="58" applyNumberFormat="1" applyFont="1">
      <alignment/>
      <protection/>
    </xf>
    <xf numFmtId="1" fontId="101" fillId="0" borderId="0" xfId="0" applyNumberFormat="1" applyFont="1" applyFill="1" applyBorder="1" applyAlignment="1">
      <alignment/>
    </xf>
    <xf numFmtId="0" fontId="0" fillId="36" borderId="0" xfId="0" applyFill="1" applyBorder="1" applyAlignment="1">
      <alignment/>
    </xf>
    <xf numFmtId="3" fontId="18" fillId="0" borderId="0" xfId="0" applyNumberFormat="1" applyFont="1" applyFill="1" applyAlignment="1">
      <alignment vertical="center"/>
    </xf>
    <xf numFmtId="49" fontId="0" fillId="0" borderId="0" xfId="0" applyNumberFormat="1" applyAlignment="1">
      <alignment/>
    </xf>
    <xf numFmtId="0" fontId="114" fillId="0" borderId="0" xfId="0" applyFont="1" applyAlignment="1">
      <alignment/>
    </xf>
    <xf numFmtId="3" fontId="17" fillId="0" borderId="0" xfId="0" applyNumberFormat="1" applyFont="1" applyFill="1" applyBorder="1" applyAlignment="1">
      <alignment vertical="top" wrapText="1"/>
    </xf>
    <xf numFmtId="9" fontId="71" fillId="0" borderId="0" xfId="63" applyFont="1" applyFill="1" applyAlignment="1">
      <alignment/>
    </xf>
    <xf numFmtId="3" fontId="15" fillId="0" borderId="0" xfId="0" applyNumberFormat="1" applyFont="1" applyFill="1" applyAlignment="1">
      <alignment horizontal="left" vertical="center"/>
    </xf>
    <xf numFmtId="3" fontId="101" fillId="0" borderId="0" xfId="0" applyNumberFormat="1" applyFont="1" applyFill="1" applyBorder="1" applyAlignment="1">
      <alignment horizontal="right"/>
    </xf>
    <xf numFmtId="0" fontId="115" fillId="0" borderId="0" xfId="0" applyFont="1" applyAlignment="1">
      <alignment/>
    </xf>
    <xf numFmtId="10" fontId="0" fillId="0" borderId="0" xfId="64" applyNumberFormat="1" applyFont="1" applyAlignment="1">
      <alignment/>
    </xf>
    <xf numFmtId="0" fontId="0" fillId="0" borderId="0" xfId="57" applyFont="1" applyAlignment="1">
      <alignment horizontal="right"/>
      <protection/>
    </xf>
    <xf numFmtId="10" fontId="0" fillId="0" borderId="0" xfId="63" applyNumberFormat="1" applyFont="1" applyFill="1" applyAlignment="1">
      <alignment/>
    </xf>
    <xf numFmtId="10" fontId="0" fillId="0" borderId="0" xfId="64" applyNumberFormat="1" applyFont="1" applyAlignment="1">
      <alignment/>
    </xf>
    <xf numFmtId="0" fontId="0" fillId="0" borderId="0" xfId="57" applyFont="1" applyAlignment="1">
      <alignment horizontal="right"/>
      <protection/>
    </xf>
    <xf numFmtId="181" fontId="16" fillId="0" borderId="0" xfId="0" applyNumberFormat="1" applyFont="1" applyFill="1" applyBorder="1" applyAlignment="1">
      <alignment vertical="center"/>
    </xf>
    <xf numFmtId="181" fontId="16" fillId="0" borderId="10" xfId="0" applyNumberFormat="1" applyFont="1" applyFill="1" applyBorder="1" applyAlignment="1">
      <alignment vertical="center"/>
    </xf>
    <xf numFmtId="181" fontId="16" fillId="0" borderId="0" xfId="0" applyNumberFormat="1" applyFont="1" applyFill="1" applyBorder="1" applyAlignment="1">
      <alignment horizontal="right" vertical="center"/>
    </xf>
    <xf numFmtId="182" fontId="16" fillId="0" borderId="0" xfId="0" applyNumberFormat="1" applyFont="1" applyFill="1" applyBorder="1" applyAlignment="1">
      <alignment horizontal="right" vertical="center"/>
    </xf>
    <xf numFmtId="181" fontId="15" fillId="0" borderId="0" xfId="59" applyNumberFormat="1" applyFont="1" applyFill="1" applyBorder="1" applyAlignment="1">
      <alignment horizontal="right"/>
      <protection/>
    </xf>
    <xf numFmtId="181" fontId="15" fillId="0" borderId="10" xfId="59" applyNumberFormat="1" applyFont="1" applyFill="1" applyBorder="1" applyAlignment="1">
      <alignment horizontal="right"/>
      <protection/>
    </xf>
    <xf numFmtId="182" fontId="15" fillId="0" borderId="0" xfId="59" applyNumberFormat="1" applyFont="1" applyFill="1" applyBorder="1" applyAlignment="1">
      <alignment horizontal="right"/>
      <protection/>
    </xf>
    <xf numFmtId="181" fontId="15" fillId="0" borderId="0" xfId="0" applyNumberFormat="1" applyFont="1" applyFill="1" applyBorder="1" applyAlignment="1">
      <alignment vertical="center"/>
    </xf>
    <xf numFmtId="181" fontId="15" fillId="0" borderId="10" xfId="0" applyNumberFormat="1" applyFont="1" applyFill="1" applyBorder="1" applyAlignment="1">
      <alignment vertical="center"/>
    </xf>
    <xf numFmtId="181" fontId="15" fillId="0" borderId="0" xfId="0" applyNumberFormat="1" applyFont="1" applyFill="1" applyBorder="1" applyAlignment="1">
      <alignment horizontal="right" vertical="center"/>
    </xf>
    <xf numFmtId="182" fontId="15" fillId="0" borderId="0" xfId="0" applyNumberFormat="1" applyFont="1" applyFill="1" applyBorder="1" applyAlignment="1">
      <alignment horizontal="right" vertical="center"/>
    </xf>
    <xf numFmtId="181" fontId="15" fillId="0" borderId="0" xfId="0" applyNumberFormat="1" applyFont="1" applyFill="1" applyBorder="1" applyAlignment="1">
      <alignment/>
    </xf>
    <xf numFmtId="181" fontId="15" fillId="0" borderId="10" xfId="0" applyNumberFormat="1" applyFont="1" applyFill="1" applyBorder="1" applyAlignment="1">
      <alignment/>
    </xf>
    <xf numFmtId="181" fontId="15" fillId="0" borderId="0" xfId="0" applyNumberFormat="1" applyFont="1" applyFill="1" applyBorder="1" applyAlignment="1">
      <alignment horizontal="right"/>
    </xf>
    <xf numFmtId="182" fontId="15" fillId="0" borderId="0" xfId="0" applyNumberFormat="1" applyFont="1" applyFill="1" applyBorder="1" applyAlignment="1">
      <alignment horizontal="right"/>
    </xf>
    <xf numFmtId="14" fontId="18" fillId="0" borderId="0" xfId="0" applyNumberFormat="1" applyFont="1" applyFill="1" applyAlignment="1">
      <alignment vertical="center"/>
    </xf>
    <xf numFmtId="167" fontId="0" fillId="0" borderId="0" xfId="63" applyNumberFormat="1" applyFont="1" applyAlignment="1">
      <alignment/>
    </xf>
    <xf numFmtId="0" fontId="0" fillId="0" borderId="0" xfId="57" applyFont="1">
      <alignment/>
      <protection/>
    </xf>
    <xf numFmtId="3" fontId="17" fillId="0" borderId="0" xfId="0" applyNumberFormat="1" applyFont="1" applyFill="1" applyBorder="1" applyAlignment="1">
      <alignment horizontal="left" vertical="top" wrapText="1"/>
    </xf>
    <xf numFmtId="0" fontId="99" fillId="0" borderId="0" xfId="0" applyFont="1" applyFill="1" applyBorder="1" applyAlignment="1">
      <alignment horizontal="center" wrapText="1"/>
    </xf>
    <xf numFmtId="0" fontId="99" fillId="0" borderId="10" xfId="0" applyFont="1" applyFill="1" applyBorder="1" applyAlignment="1">
      <alignment horizontal="center" wrapText="1"/>
    </xf>
    <xf numFmtId="0" fontId="99" fillId="0" borderId="13" xfId="0" applyFont="1" applyFill="1" applyBorder="1" applyAlignment="1">
      <alignment horizontal="center" wrapText="1"/>
    </xf>
    <xf numFmtId="0" fontId="99" fillId="0" borderId="0" xfId="0" applyFont="1" applyFill="1" applyBorder="1" applyAlignment="1">
      <alignment horizontal="center" vertical="center"/>
    </xf>
    <xf numFmtId="0" fontId="99" fillId="0" borderId="0" xfId="54" applyFont="1" applyFill="1" applyBorder="1" applyAlignment="1">
      <alignment horizontal="center" wrapText="1"/>
      <protection/>
    </xf>
    <xf numFmtId="0" fontId="116" fillId="0" borderId="0" xfId="54" applyFont="1" applyFill="1" applyBorder="1" applyAlignment="1">
      <alignment horizontal="center"/>
      <protection/>
    </xf>
    <xf numFmtId="0" fontId="113" fillId="0" borderId="11" xfId="0" applyFont="1" applyFill="1" applyBorder="1" applyAlignment="1">
      <alignment horizontal="center" vertical="center"/>
    </xf>
    <xf numFmtId="0" fontId="99" fillId="0" borderId="0" xfId="57" applyFont="1" applyFill="1" applyAlignment="1">
      <alignment horizontal="center" vertical="center" wrapText="1"/>
      <protection/>
    </xf>
    <xf numFmtId="0" fontId="99" fillId="0" borderId="0" xfId="57" applyFont="1" applyFill="1" applyAlignment="1" quotePrefix="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08 pagweb-4T08 1 2" xfId="58"/>
    <cellStyle name="Normal_ANEXO" xfId="59"/>
    <cellStyle name="Normal_Anexo analistas 1T06 vínculos" xfId="60"/>
    <cellStyle name="Normal_Series web Sabadell 1T10-desprotegido" xfId="61"/>
    <cellStyle name="Notas" xfId="62"/>
    <cellStyle name="Percent" xfId="63"/>
    <cellStyle name="Porcentaje 16" xfId="64"/>
    <cellStyle name="Porcentaje 2" xfId="65"/>
    <cellStyle name="Porcentaje 4" xfId="66"/>
    <cellStyle name="Salida" xfId="67"/>
    <cellStyle name="Texto de advertencia" xfId="68"/>
    <cellStyle name="Texto explicativo" xfId="69"/>
    <cellStyle name="Título" xfId="70"/>
    <cellStyle name="Título 2" xfId="71"/>
    <cellStyle name="Título 3" xfId="72"/>
    <cellStyle name="Total" xfId="73"/>
  </cellStyles>
  <dxfs count="13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ont>
        <color rgb="FFFF0000"/>
      </font>
    </dxf>
    <dxf>
      <font>
        <color rgb="FFFF0000"/>
      </font>
    </dxf>
    <dxf>
      <font>
        <color rgb="FFFF0000"/>
      </font>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ill>
        <patternFill>
          <bgColor rgb="FFC00000"/>
        </patternFill>
      </fill>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15" /></Relationships>
</file>

<file path=xl/drawings/_rels/drawing11.xml.rels><?xml version="1.0" encoding="utf-8" standalone="yes"?><Relationships xmlns="http://schemas.openxmlformats.org/package/2006/relationships"><Relationship Id="rId1" Type="http://schemas.openxmlformats.org/officeDocument/2006/relationships/hyperlink" Target="#INDICE!C16" /></Relationships>
</file>

<file path=xl/drawings/_rels/drawing12.xml.rels><?xml version="1.0" encoding="utf-8" standalone="yes"?><Relationships xmlns="http://schemas.openxmlformats.org/package/2006/relationships"><Relationship Id="rId1" Type="http://schemas.openxmlformats.org/officeDocument/2006/relationships/hyperlink" Target="#INDICE!C17" /></Relationships>
</file>

<file path=xl/drawings/_rels/drawing13.xml.rels><?xml version="1.0" encoding="utf-8" standalone="yes"?><Relationships xmlns="http://schemas.openxmlformats.org/package/2006/relationships"><Relationship Id="rId1" Type="http://schemas.openxmlformats.org/officeDocument/2006/relationships/hyperlink" Target="#INDICE!C18" /></Relationships>
</file>

<file path=xl/drawings/_rels/drawing14.xml.rels><?xml version="1.0" encoding="utf-8" standalone="yes"?><Relationships xmlns="http://schemas.openxmlformats.org/package/2006/relationships"><Relationship Id="rId1" Type="http://schemas.openxmlformats.org/officeDocument/2006/relationships/hyperlink" Target="#INDICE!C21" /></Relationships>
</file>

<file path=xl/drawings/_rels/drawing15.xml.rels><?xml version="1.0" encoding="utf-8" standalone="yes"?><Relationships xmlns="http://schemas.openxmlformats.org/package/2006/relationships"><Relationship Id="rId1" Type="http://schemas.openxmlformats.org/officeDocument/2006/relationships/hyperlink" Target="#INDICE!C23" /></Relationships>
</file>

<file path=xl/drawings/_rels/drawing16.xml.rels><?xml version="1.0" encoding="utf-8" standalone="yes"?><Relationships xmlns="http://schemas.openxmlformats.org/package/2006/relationships"><Relationship Id="rId1" Type="http://schemas.openxmlformats.org/officeDocument/2006/relationships/hyperlink" Target="#INDICE!C24" /></Relationships>
</file>

<file path=xl/drawings/_rels/drawing17.xml.rels><?xml version="1.0" encoding="utf-8" standalone="yes"?><Relationships xmlns="http://schemas.openxmlformats.org/package/2006/relationships"><Relationship Id="rId1" Type="http://schemas.openxmlformats.org/officeDocument/2006/relationships/hyperlink" Target="#INDICE!C28" /></Relationships>
</file>

<file path=xl/drawings/_rels/drawing18.xml.rels><?xml version="1.0" encoding="utf-8" standalone="yes"?><Relationships xmlns="http://schemas.openxmlformats.org/package/2006/relationships"><Relationship Id="rId1" Type="http://schemas.openxmlformats.org/officeDocument/2006/relationships/hyperlink" Target="#INDICE!C25" /></Relationships>
</file>

<file path=xl/drawings/_rels/drawing19.xml.rels><?xml version="1.0" encoding="utf-8" standalone="yes"?><Relationships xmlns="http://schemas.openxmlformats.org/package/2006/relationships"><Relationship Id="rId1" Type="http://schemas.openxmlformats.org/officeDocument/2006/relationships/hyperlink" Target="#INDICE!C27" /></Relationships>
</file>

<file path=xl/drawings/_rels/drawing2.xml.rels><?xml version="1.0" encoding="utf-8" standalone="yes"?><Relationships xmlns="http://schemas.openxmlformats.org/package/2006/relationships"><Relationship Id="rId1" Type="http://schemas.openxmlformats.org/officeDocument/2006/relationships/hyperlink" Target="#INDICE!C5" /></Relationships>
</file>

<file path=xl/drawings/_rels/drawing20.xml.rels><?xml version="1.0" encoding="utf-8" standalone="yes"?><Relationships xmlns="http://schemas.openxmlformats.org/package/2006/relationships"><Relationship Id="rId1" Type="http://schemas.openxmlformats.org/officeDocument/2006/relationships/hyperlink" Target="#INDICE!C26" /></Relationships>
</file>

<file path=xl/drawings/_rels/drawing21.xml.rels><?xml version="1.0" encoding="utf-8" standalone="yes"?><Relationships xmlns="http://schemas.openxmlformats.org/package/2006/relationships"><Relationship Id="rId1" Type="http://schemas.openxmlformats.org/officeDocument/2006/relationships/hyperlink" Target="#INDICE!C29" /></Relationships>
</file>

<file path=xl/drawings/_rels/drawing22.xml.rels><?xml version="1.0" encoding="utf-8" standalone="yes"?><Relationships xmlns="http://schemas.openxmlformats.org/package/2006/relationships"><Relationship Id="rId1" Type="http://schemas.openxmlformats.org/officeDocument/2006/relationships/hyperlink" Target="#INDICE!C30" /></Relationships>
</file>

<file path=xl/drawings/_rels/drawing23.xml.rels><?xml version="1.0" encoding="utf-8" standalone="yes"?><Relationships xmlns="http://schemas.openxmlformats.org/package/2006/relationships"><Relationship Id="rId1" Type="http://schemas.openxmlformats.org/officeDocument/2006/relationships/hyperlink" Target="#INDICE!C31" /></Relationships>
</file>

<file path=xl/drawings/_rels/drawing3.xml.rels><?xml version="1.0" encoding="utf-8" standalone="yes"?><Relationships xmlns="http://schemas.openxmlformats.org/package/2006/relationships"><Relationship Id="rId1" Type="http://schemas.openxmlformats.org/officeDocument/2006/relationships/hyperlink" Target="#INDICE!C7" /></Relationships>
</file>

<file path=xl/drawings/_rels/drawing4.xml.rels><?xml version="1.0" encoding="utf-8" standalone="yes"?><Relationships xmlns="http://schemas.openxmlformats.org/package/2006/relationships"><Relationship Id="rId1" Type="http://schemas.openxmlformats.org/officeDocument/2006/relationships/hyperlink" Target="#INDICE!C9" /></Relationships>
</file>

<file path=xl/drawings/_rels/drawing5.xml.rels><?xml version="1.0" encoding="utf-8" standalone="yes"?><Relationships xmlns="http://schemas.openxmlformats.org/package/2006/relationships"><Relationship Id="rId1" Type="http://schemas.openxmlformats.org/officeDocument/2006/relationships/hyperlink" Target="#INDICE!C10" /></Relationships>
</file>

<file path=xl/drawings/_rels/drawing6.xml.rels><?xml version="1.0" encoding="utf-8" standalone="yes"?><Relationships xmlns="http://schemas.openxmlformats.org/package/2006/relationships"><Relationship Id="rId1" Type="http://schemas.openxmlformats.org/officeDocument/2006/relationships/hyperlink" Target="#INDICE!C11" /></Relationships>
</file>

<file path=xl/drawings/_rels/drawing7.xml.rels><?xml version="1.0" encoding="utf-8" standalone="yes"?><Relationships xmlns="http://schemas.openxmlformats.org/package/2006/relationships"><Relationship Id="rId1" Type="http://schemas.openxmlformats.org/officeDocument/2006/relationships/hyperlink" Target="#INDICE!C12" /></Relationships>
</file>

<file path=xl/drawings/_rels/drawing8.xml.rels><?xml version="1.0" encoding="utf-8" standalone="yes"?><Relationships xmlns="http://schemas.openxmlformats.org/package/2006/relationships"><Relationship Id="rId1" Type="http://schemas.openxmlformats.org/officeDocument/2006/relationships/hyperlink" Target="#INDICE!C13" /></Relationships>
</file>

<file path=xl/drawings/_rels/drawing9.xml.rels><?xml version="1.0" encoding="utf-8" standalone="yes"?><Relationships xmlns="http://schemas.openxmlformats.org/package/2006/relationships"><Relationship Id="rId1" Type="http://schemas.openxmlformats.org/officeDocument/2006/relationships/hyperlink" Target="#INDICE!C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295275</xdr:colOff>
      <xdr:row>6</xdr:row>
      <xdr:rowOff>266700</xdr:rowOff>
    </xdr:to>
    <xdr:sp fLocksText="0">
      <xdr:nvSpPr>
        <xdr:cNvPr id="1" name="7 CuadroTexto"/>
        <xdr:cNvSpPr txBox="1">
          <a:spLocks noChangeArrowheads="1"/>
        </xdr:cNvSpPr>
      </xdr:nvSpPr>
      <xdr:spPr>
        <a:xfrm>
          <a:off x="9525" y="1476375"/>
          <a:ext cx="285750" cy="266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76200</xdr:colOff>
      <xdr:row>0</xdr:row>
      <xdr:rowOff>76200</xdr:rowOff>
    </xdr:from>
    <xdr:to>
      <xdr:col>1</xdr:col>
      <xdr:colOff>266700</xdr:colOff>
      <xdr:row>3</xdr:row>
      <xdr:rowOff>133350</xdr:rowOff>
    </xdr:to>
    <xdr:pic>
      <xdr:nvPicPr>
        <xdr:cNvPr id="2" name="4 Imagen"/>
        <xdr:cNvPicPr preferRelativeResize="1">
          <a:picLocks noChangeAspect="1"/>
        </xdr:cNvPicPr>
      </xdr:nvPicPr>
      <xdr:blipFill>
        <a:blip r:embed="rId1"/>
        <a:stretch>
          <a:fillRect/>
        </a:stretch>
      </xdr:blipFill>
      <xdr:spPr>
        <a:xfrm>
          <a:off x="76200" y="76200"/>
          <a:ext cx="288607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1</xdr:row>
      <xdr:rowOff>114300</xdr:rowOff>
    </xdr:from>
    <xdr:to>
      <xdr:col>11</xdr:col>
      <xdr:colOff>66675</xdr:colOff>
      <xdr:row>5</xdr:row>
      <xdr:rowOff>85725</xdr:rowOff>
    </xdr:to>
    <xdr:sp>
      <xdr:nvSpPr>
        <xdr:cNvPr id="1" name="2 Rectángulo redondeado">
          <a:hlinkClick r:id="rId1"/>
        </xdr:cNvPr>
        <xdr:cNvSpPr>
          <a:spLocks/>
        </xdr:cNvSpPr>
      </xdr:nvSpPr>
      <xdr:spPr>
        <a:xfrm>
          <a:off x="9839325" y="342900"/>
          <a:ext cx="1219200"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1</xdr:row>
      <xdr:rowOff>114300</xdr:rowOff>
    </xdr:from>
    <xdr:to>
      <xdr:col>10</xdr:col>
      <xdr:colOff>619125</xdr:colOff>
      <xdr:row>5</xdr:row>
      <xdr:rowOff>85725</xdr:rowOff>
    </xdr:to>
    <xdr:sp>
      <xdr:nvSpPr>
        <xdr:cNvPr id="1" name="2 Rectángulo redondeado">
          <a:hlinkClick r:id="rId1"/>
        </xdr:cNvPr>
        <xdr:cNvSpPr>
          <a:spLocks/>
        </xdr:cNvSpPr>
      </xdr:nvSpPr>
      <xdr:spPr>
        <a:xfrm>
          <a:off x="9648825" y="342900"/>
          <a:ext cx="1200150"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xdr:row>
      <xdr:rowOff>228600</xdr:rowOff>
    </xdr:from>
    <xdr:to>
      <xdr:col>10</xdr:col>
      <xdr:colOff>590550</xdr:colOff>
      <xdr:row>6</xdr:row>
      <xdr:rowOff>9525</xdr:rowOff>
    </xdr:to>
    <xdr:sp>
      <xdr:nvSpPr>
        <xdr:cNvPr id="1" name="2 Rectángulo redondeado">
          <a:hlinkClick r:id="rId1"/>
        </xdr:cNvPr>
        <xdr:cNvSpPr>
          <a:spLocks/>
        </xdr:cNvSpPr>
      </xdr:nvSpPr>
      <xdr:spPr>
        <a:xfrm>
          <a:off x="9620250" y="457200"/>
          <a:ext cx="1200150"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2</xdr:row>
      <xdr:rowOff>47625</xdr:rowOff>
    </xdr:from>
    <xdr:to>
      <xdr:col>10</xdr:col>
      <xdr:colOff>552450</xdr:colOff>
      <xdr:row>6</xdr:row>
      <xdr:rowOff>85725</xdr:rowOff>
    </xdr:to>
    <xdr:sp>
      <xdr:nvSpPr>
        <xdr:cNvPr id="1" name="2 Rectángulo redondeado">
          <a:hlinkClick r:id="rId1"/>
        </xdr:cNvPr>
        <xdr:cNvSpPr>
          <a:spLocks/>
        </xdr:cNvSpPr>
      </xdr:nvSpPr>
      <xdr:spPr>
        <a:xfrm>
          <a:off x="11801475" y="523875"/>
          <a:ext cx="1228725" cy="8477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xdr:row>
      <xdr:rowOff>123825</xdr:rowOff>
    </xdr:from>
    <xdr:to>
      <xdr:col>10</xdr:col>
      <xdr:colOff>742950</xdr:colOff>
      <xdr:row>5</xdr:row>
      <xdr:rowOff>123825</xdr:rowOff>
    </xdr:to>
    <xdr:sp>
      <xdr:nvSpPr>
        <xdr:cNvPr id="1" name="2 Rectángulo redondeado">
          <a:hlinkClick r:id="rId1"/>
        </xdr:cNvPr>
        <xdr:cNvSpPr>
          <a:spLocks/>
        </xdr:cNvSpPr>
      </xdr:nvSpPr>
      <xdr:spPr>
        <a:xfrm>
          <a:off x="9753600" y="352425"/>
          <a:ext cx="1219200" cy="8001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0</xdr:row>
      <xdr:rowOff>123825</xdr:rowOff>
    </xdr:from>
    <xdr:to>
      <xdr:col>10</xdr:col>
      <xdr:colOff>619125</xdr:colOff>
      <xdr:row>4</xdr:row>
      <xdr:rowOff>38100</xdr:rowOff>
    </xdr:to>
    <xdr:sp>
      <xdr:nvSpPr>
        <xdr:cNvPr id="1" name="2 Rectángulo redondeado">
          <a:hlinkClick r:id="rId1"/>
        </xdr:cNvPr>
        <xdr:cNvSpPr>
          <a:spLocks/>
        </xdr:cNvSpPr>
      </xdr:nvSpPr>
      <xdr:spPr>
        <a:xfrm>
          <a:off x="7896225" y="123825"/>
          <a:ext cx="942975" cy="7239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0</xdr:row>
      <xdr:rowOff>133350</xdr:rowOff>
    </xdr:from>
    <xdr:to>
      <xdr:col>11</xdr:col>
      <xdr:colOff>361950</xdr:colOff>
      <xdr:row>4</xdr:row>
      <xdr:rowOff>38100</xdr:rowOff>
    </xdr:to>
    <xdr:sp>
      <xdr:nvSpPr>
        <xdr:cNvPr id="1" name="2 Rectángulo redondeado">
          <a:hlinkClick r:id="rId1"/>
        </xdr:cNvPr>
        <xdr:cNvSpPr>
          <a:spLocks/>
        </xdr:cNvSpPr>
      </xdr:nvSpPr>
      <xdr:spPr>
        <a:xfrm>
          <a:off x="8543925" y="133350"/>
          <a:ext cx="1209675" cy="7334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1</xdr:row>
      <xdr:rowOff>38100</xdr:rowOff>
    </xdr:from>
    <xdr:to>
      <xdr:col>10</xdr:col>
      <xdr:colOff>476250</xdr:colOff>
      <xdr:row>4</xdr:row>
      <xdr:rowOff>85725</xdr:rowOff>
    </xdr:to>
    <xdr:sp>
      <xdr:nvSpPr>
        <xdr:cNvPr id="1" name="2 Rectángulo redondeado">
          <a:hlinkClick r:id="rId1"/>
        </xdr:cNvPr>
        <xdr:cNvSpPr>
          <a:spLocks/>
        </xdr:cNvSpPr>
      </xdr:nvSpPr>
      <xdr:spPr>
        <a:xfrm>
          <a:off x="9201150" y="266700"/>
          <a:ext cx="971550" cy="6286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xdr:row>
      <xdr:rowOff>95250</xdr:rowOff>
    </xdr:from>
    <xdr:to>
      <xdr:col>10</xdr:col>
      <xdr:colOff>619125</xdr:colOff>
      <xdr:row>3</xdr:row>
      <xdr:rowOff>123825</xdr:rowOff>
    </xdr:to>
    <xdr:sp>
      <xdr:nvSpPr>
        <xdr:cNvPr id="1" name="2 Rectángulo redondeado">
          <a:hlinkClick r:id="rId1"/>
        </xdr:cNvPr>
        <xdr:cNvSpPr>
          <a:spLocks/>
        </xdr:cNvSpPr>
      </xdr:nvSpPr>
      <xdr:spPr>
        <a:xfrm>
          <a:off x="7362825" y="323850"/>
          <a:ext cx="942975" cy="6477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xdr:row>
      <xdr:rowOff>95250</xdr:rowOff>
    </xdr:from>
    <xdr:to>
      <xdr:col>10</xdr:col>
      <xdr:colOff>447675</xdr:colOff>
      <xdr:row>4</xdr:row>
      <xdr:rowOff>0</xdr:rowOff>
    </xdr:to>
    <xdr:sp>
      <xdr:nvSpPr>
        <xdr:cNvPr id="1" name="2 Rectángulo redondeado">
          <a:hlinkClick r:id="rId1"/>
        </xdr:cNvPr>
        <xdr:cNvSpPr>
          <a:spLocks/>
        </xdr:cNvSpPr>
      </xdr:nvSpPr>
      <xdr:spPr>
        <a:xfrm>
          <a:off x="7381875" y="342900"/>
          <a:ext cx="885825" cy="5524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1</xdr:row>
      <xdr:rowOff>38100</xdr:rowOff>
    </xdr:from>
    <xdr:to>
      <xdr:col>10</xdr:col>
      <xdr:colOff>590550</xdr:colOff>
      <xdr:row>5</xdr:row>
      <xdr:rowOff>9525</xdr:rowOff>
    </xdr:to>
    <xdr:sp>
      <xdr:nvSpPr>
        <xdr:cNvPr id="1" name="2 Rectángulo redondeado">
          <a:hlinkClick r:id="rId1"/>
        </xdr:cNvPr>
        <xdr:cNvSpPr>
          <a:spLocks/>
        </xdr:cNvSpPr>
      </xdr:nvSpPr>
      <xdr:spPr>
        <a:xfrm>
          <a:off x="12677775" y="266700"/>
          <a:ext cx="1247775"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476250</xdr:colOff>
      <xdr:row>0</xdr:row>
      <xdr:rowOff>200025</xdr:rowOff>
    </xdr:from>
    <xdr:to>
      <xdr:col>11</xdr:col>
      <xdr:colOff>9525</xdr:colOff>
      <xdr:row>3</xdr:row>
      <xdr:rowOff>9525</xdr:rowOff>
    </xdr:to>
    <xdr:sp>
      <xdr:nvSpPr>
        <xdr:cNvPr id="1" name="2 Rectángulo redondeado">
          <a:hlinkClick r:id="rId1"/>
        </xdr:cNvPr>
        <xdr:cNvSpPr>
          <a:spLocks/>
        </xdr:cNvSpPr>
      </xdr:nvSpPr>
      <xdr:spPr>
        <a:xfrm>
          <a:off x="8724900" y="200025"/>
          <a:ext cx="1057275" cy="4762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xdr:row>
      <xdr:rowOff>161925</xdr:rowOff>
    </xdr:from>
    <xdr:to>
      <xdr:col>11</xdr:col>
      <xdr:colOff>57150</xdr:colOff>
      <xdr:row>4</xdr:row>
      <xdr:rowOff>85725</xdr:rowOff>
    </xdr:to>
    <xdr:sp>
      <xdr:nvSpPr>
        <xdr:cNvPr id="1" name="2 Rectángulo redondeado">
          <a:hlinkClick r:id="rId1"/>
        </xdr:cNvPr>
        <xdr:cNvSpPr>
          <a:spLocks/>
        </xdr:cNvSpPr>
      </xdr:nvSpPr>
      <xdr:spPr>
        <a:xfrm>
          <a:off x="8553450" y="390525"/>
          <a:ext cx="904875" cy="5238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1</xdr:row>
      <xdr:rowOff>47625</xdr:rowOff>
    </xdr:from>
    <xdr:to>
      <xdr:col>11</xdr:col>
      <xdr:colOff>1114425</xdr:colOff>
      <xdr:row>4</xdr:row>
      <xdr:rowOff>171450</xdr:rowOff>
    </xdr:to>
    <xdr:sp>
      <xdr:nvSpPr>
        <xdr:cNvPr id="1" name="1 Rectángulo redondeado">
          <a:hlinkClick r:id="rId1"/>
        </xdr:cNvPr>
        <xdr:cNvSpPr>
          <a:spLocks/>
        </xdr:cNvSpPr>
      </xdr:nvSpPr>
      <xdr:spPr>
        <a:xfrm>
          <a:off x="8296275" y="276225"/>
          <a:ext cx="1352550" cy="7239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1</xdr:row>
      <xdr:rowOff>38100</xdr:rowOff>
    </xdr:from>
    <xdr:to>
      <xdr:col>10</xdr:col>
      <xdr:colOff>657225</xdr:colOff>
      <xdr:row>3</xdr:row>
      <xdr:rowOff>180975</xdr:rowOff>
    </xdr:to>
    <xdr:sp>
      <xdr:nvSpPr>
        <xdr:cNvPr id="1" name="1 Rectángulo redondeado">
          <a:hlinkClick r:id="rId1"/>
        </xdr:cNvPr>
        <xdr:cNvSpPr>
          <a:spLocks/>
        </xdr:cNvSpPr>
      </xdr:nvSpPr>
      <xdr:spPr>
        <a:xfrm>
          <a:off x="8029575" y="266700"/>
          <a:ext cx="971550" cy="5429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2</xdr:row>
      <xdr:rowOff>123825</xdr:rowOff>
    </xdr:from>
    <xdr:to>
      <xdr:col>10</xdr:col>
      <xdr:colOff>561975</xdr:colOff>
      <xdr:row>6</xdr:row>
      <xdr:rowOff>161925</xdr:rowOff>
    </xdr:to>
    <xdr:sp>
      <xdr:nvSpPr>
        <xdr:cNvPr id="1" name="2 Rectángulo redondeado">
          <a:hlinkClick r:id="rId1"/>
        </xdr:cNvPr>
        <xdr:cNvSpPr>
          <a:spLocks/>
        </xdr:cNvSpPr>
      </xdr:nvSpPr>
      <xdr:spPr>
        <a:xfrm>
          <a:off x="11144250" y="600075"/>
          <a:ext cx="1209675" cy="8477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2</xdr:row>
      <xdr:rowOff>114300</xdr:rowOff>
    </xdr:from>
    <xdr:to>
      <xdr:col>11</xdr:col>
      <xdr:colOff>190500</xdr:colOff>
      <xdr:row>6</xdr:row>
      <xdr:rowOff>133350</xdr:rowOff>
    </xdr:to>
    <xdr:sp>
      <xdr:nvSpPr>
        <xdr:cNvPr id="1" name="2 Rectángulo redondeado">
          <a:hlinkClick r:id="rId1"/>
        </xdr:cNvPr>
        <xdr:cNvSpPr>
          <a:spLocks/>
        </xdr:cNvSpPr>
      </xdr:nvSpPr>
      <xdr:spPr>
        <a:xfrm>
          <a:off x="9982200" y="590550"/>
          <a:ext cx="1200150"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2</xdr:row>
      <xdr:rowOff>161925</xdr:rowOff>
    </xdr:from>
    <xdr:to>
      <xdr:col>10</xdr:col>
      <xdr:colOff>619125</xdr:colOff>
      <xdr:row>6</xdr:row>
      <xdr:rowOff>161925</xdr:rowOff>
    </xdr:to>
    <xdr:sp>
      <xdr:nvSpPr>
        <xdr:cNvPr id="1" name="2 Rectángulo redondeado">
          <a:hlinkClick r:id="rId1"/>
        </xdr:cNvPr>
        <xdr:cNvSpPr>
          <a:spLocks/>
        </xdr:cNvSpPr>
      </xdr:nvSpPr>
      <xdr:spPr>
        <a:xfrm>
          <a:off x="9629775" y="638175"/>
          <a:ext cx="1219200" cy="8096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76200</xdr:rowOff>
    </xdr:from>
    <xdr:to>
      <xdr:col>11</xdr:col>
      <xdr:colOff>28575</xdr:colOff>
      <xdr:row>6</xdr:row>
      <xdr:rowOff>123825</xdr:rowOff>
    </xdr:to>
    <xdr:sp>
      <xdr:nvSpPr>
        <xdr:cNvPr id="1" name="2 Rectángulo redondeado">
          <a:hlinkClick r:id="rId1"/>
        </xdr:cNvPr>
        <xdr:cNvSpPr>
          <a:spLocks/>
        </xdr:cNvSpPr>
      </xdr:nvSpPr>
      <xdr:spPr>
        <a:xfrm>
          <a:off x="9829800" y="552450"/>
          <a:ext cx="1190625" cy="8572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9525</xdr:rowOff>
    </xdr:from>
    <xdr:to>
      <xdr:col>11</xdr:col>
      <xdr:colOff>38100</xdr:colOff>
      <xdr:row>6</xdr:row>
      <xdr:rowOff>38100</xdr:rowOff>
    </xdr:to>
    <xdr:sp>
      <xdr:nvSpPr>
        <xdr:cNvPr id="1" name="2 Rectángulo redondeado">
          <a:hlinkClick r:id="rId1"/>
        </xdr:cNvPr>
        <xdr:cNvSpPr>
          <a:spLocks/>
        </xdr:cNvSpPr>
      </xdr:nvSpPr>
      <xdr:spPr>
        <a:xfrm>
          <a:off x="9829800" y="485775"/>
          <a:ext cx="1200150"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2</xdr:row>
      <xdr:rowOff>38100</xdr:rowOff>
    </xdr:from>
    <xdr:to>
      <xdr:col>10</xdr:col>
      <xdr:colOff>695325</xdr:colOff>
      <xdr:row>6</xdr:row>
      <xdr:rowOff>47625</xdr:rowOff>
    </xdr:to>
    <xdr:sp>
      <xdr:nvSpPr>
        <xdr:cNvPr id="1" name="2 Rectángulo redondeado">
          <a:hlinkClick r:id="rId1"/>
        </xdr:cNvPr>
        <xdr:cNvSpPr>
          <a:spLocks/>
        </xdr:cNvSpPr>
      </xdr:nvSpPr>
      <xdr:spPr>
        <a:xfrm>
          <a:off x="9715500" y="514350"/>
          <a:ext cx="1209675" cy="8191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1</xdr:row>
      <xdr:rowOff>209550</xdr:rowOff>
    </xdr:from>
    <xdr:to>
      <xdr:col>10</xdr:col>
      <xdr:colOff>657225</xdr:colOff>
      <xdr:row>6</xdr:row>
      <xdr:rowOff>0</xdr:rowOff>
    </xdr:to>
    <xdr:sp>
      <xdr:nvSpPr>
        <xdr:cNvPr id="1" name="2 Rectángulo redondeado">
          <a:hlinkClick r:id="rId1"/>
        </xdr:cNvPr>
        <xdr:cNvSpPr>
          <a:spLocks/>
        </xdr:cNvSpPr>
      </xdr:nvSpPr>
      <xdr:spPr>
        <a:xfrm>
          <a:off x="9886950" y="438150"/>
          <a:ext cx="1200150" cy="8477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K1000"/>
  <sheetViews>
    <sheetView showGridLines="0" zoomScale="80" zoomScaleNormal="80" zoomScalePageLayoutView="0" workbookViewId="0" topLeftCell="A285">
      <selection activeCell="C324" sqref="C324"/>
    </sheetView>
  </sheetViews>
  <sheetFormatPr defaultColWidth="11.421875" defaultRowHeight="15"/>
  <cols>
    <col min="2" max="2" width="6.421875" style="0" customWidth="1"/>
    <col min="3" max="3" width="107.421875" style="0" customWidth="1"/>
    <col min="4" max="4" width="54.421875" style="0" customWidth="1"/>
  </cols>
  <sheetData>
    <row r="1" spans="1:4" ht="15">
      <c r="A1" s="227"/>
      <c r="B1" s="227"/>
      <c r="C1" s="228"/>
      <c r="D1" s="228"/>
    </row>
    <row r="2" spans="1:4" ht="15">
      <c r="A2" s="227"/>
      <c r="B2" s="227" t="s">
        <v>12</v>
      </c>
      <c r="C2" s="228" t="s">
        <v>13</v>
      </c>
      <c r="D2" s="228" t="s">
        <v>14</v>
      </c>
    </row>
    <row r="3" spans="1:9" ht="19.5">
      <c r="A3" s="227"/>
      <c r="B3" s="227">
        <v>1</v>
      </c>
      <c r="C3" s="229">
        <v>7</v>
      </c>
      <c r="D3" s="229">
        <v>8</v>
      </c>
      <c r="I3" s="230" t="s">
        <v>0</v>
      </c>
    </row>
    <row r="4" spans="2:9" ht="19.5">
      <c r="B4">
        <v>2</v>
      </c>
      <c r="C4" s="231" t="s">
        <v>522</v>
      </c>
      <c r="D4" s="231" t="s">
        <v>523</v>
      </c>
      <c r="I4" s="230" t="s">
        <v>15</v>
      </c>
    </row>
    <row r="5" spans="2:9" ht="19.5">
      <c r="B5">
        <v>3</v>
      </c>
      <c r="C5" s="231" t="s">
        <v>16</v>
      </c>
      <c r="D5" s="231" t="s">
        <v>17</v>
      </c>
      <c r="I5" s="230" t="s">
        <v>18</v>
      </c>
    </row>
    <row r="6" spans="2:4" ht="15.75">
      <c r="B6">
        <v>4</v>
      </c>
      <c r="C6" s="231" t="s">
        <v>19</v>
      </c>
      <c r="D6" s="231" t="s">
        <v>20</v>
      </c>
    </row>
    <row r="7" spans="2:4" ht="15.75">
      <c r="B7">
        <v>5</v>
      </c>
      <c r="C7" s="231" t="s">
        <v>21</v>
      </c>
      <c r="D7" s="231" t="s">
        <v>22</v>
      </c>
    </row>
    <row r="8" spans="2:4" ht="15.75">
      <c r="B8">
        <v>6</v>
      </c>
      <c r="C8" s="231" t="s">
        <v>23</v>
      </c>
      <c r="D8" s="231" t="s">
        <v>24</v>
      </c>
    </row>
    <row r="9" spans="2:4" ht="15.75">
      <c r="B9">
        <v>7</v>
      </c>
      <c r="C9" s="231" t="s">
        <v>25</v>
      </c>
      <c r="D9" s="231" t="s">
        <v>26</v>
      </c>
    </row>
    <row r="10" spans="2:4" ht="15.75">
      <c r="B10">
        <v>8</v>
      </c>
      <c r="C10" s="231" t="s">
        <v>27</v>
      </c>
      <c r="D10" s="231" t="s">
        <v>28</v>
      </c>
    </row>
    <row r="11" spans="2:4" ht="15.75">
      <c r="B11">
        <v>9</v>
      </c>
      <c r="C11" s="231" t="s">
        <v>29</v>
      </c>
      <c r="D11" s="231" t="s">
        <v>29</v>
      </c>
    </row>
    <row r="12" spans="2:4" ht="15.75">
      <c r="B12">
        <v>10</v>
      </c>
      <c r="C12" s="232" t="s">
        <v>30</v>
      </c>
      <c r="D12" s="232" t="s">
        <v>31</v>
      </c>
    </row>
    <row r="13" spans="2:4" ht="15.75">
      <c r="B13">
        <v>11</v>
      </c>
      <c r="C13" s="232" t="s">
        <v>32</v>
      </c>
      <c r="D13" s="232" t="s">
        <v>33</v>
      </c>
    </row>
    <row r="14" spans="2:4" ht="15.75">
      <c r="B14">
        <v>12</v>
      </c>
      <c r="C14" s="232" t="s">
        <v>34</v>
      </c>
      <c r="D14" s="232" t="s">
        <v>35</v>
      </c>
    </row>
    <row r="15" spans="2:4" ht="15.75">
      <c r="B15">
        <v>13</v>
      </c>
      <c r="C15" s="232" t="s">
        <v>36</v>
      </c>
      <c r="D15" s="232" t="s">
        <v>37</v>
      </c>
    </row>
    <row r="16" spans="2:4" ht="15.75">
      <c r="B16">
        <v>14</v>
      </c>
      <c r="C16" s="232" t="s">
        <v>7</v>
      </c>
      <c r="D16" s="232" t="s">
        <v>7</v>
      </c>
    </row>
    <row r="17" spans="2:4" ht="15.75">
      <c r="B17">
        <v>15</v>
      </c>
      <c r="C17" s="232" t="s">
        <v>8</v>
      </c>
      <c r="D17" s="232" t="s">
        <v>8</v>
      </c>
    </row>
    <row r="18" spans="2:4" ht="15.75">
      <c r="B18">
        <v>16</v>
      </c>
      <c r="C18" s="232" t="s">
        <v>9</v>
      </c>
      <c r="D18" s="232" t="s">
        <v>9</v>
      </c>
    </row>
    <row r="19" spans="2:4" ht="15.75">
      <c r="B19">
        <v>17</v>
      </c>
      <c r="C19" s="232" t="s">
        <v>10</v>
      </c>
      <c r="D19" s="232" t="s">
        <v>38</v>
      </c>
    </row>
    <row r="20" spans="2:4" ht="15.75">
      <c r="B20">
        <v>18</v>
      </c>
      <c r="C20" s="232" t="s">
        <v>39</v>
      </c>
      <c r="D20" s="232" t="s">
        <v>40</v>
      </c>
    </row>
    <row r="21" spans="2:4" ht="15.75">
      <c r="B21">
        <v>19</v>
      </c>
      <c r="C21" s="232" t="s">
        <v>41</v>
      </c>
      <c r="D21" s="232" t="s">
        <v>42</v>
      </c>
    </row>
    <row r="22" spans="2:4" ht="15.75">
      <c r="B22">
        <v>20</v>
      </c>
      <c r="C22" s="232" t="s">
        <v>43</v>
      </c>
      <c r="D22" s="232" t="s">
        <v>44</v>
      </c>
    </row>
    <row r="23" spans="2:4" ht="15.75">
      <c r="B23">
        <v>21</v>
      </c>
      <c r="C23" s="232" t="s">
        <v>45</v>
      </c>
      <c r="D23" s="232" t="s">
        <v>45</v>
      </c>
    </row>
    <row r="24" spans="2:4" ht="15.75">
      <c r="B24">
        <v>22</v>
      </c>
      <c r="C24" s="232" t="s">
        <v>46</v>
      </c>
      <c r="D24" s="232" t="s">
        <v>47</v>
      </c>
    </row>
    <row r="25" spans="2:4" ht="15.75">
      <c r="B25">
        <v>23</v>
      </c>
      <c r="C25" s="232" t="s">
        <v>48</v>
      </c>
      <c r="D25" s="232" t="s">
        <v>49</v>
      </c>
    </row>
    <row r="26" spans="2:4" ht="15.75">
      <c r="B26">
        <v>24</v>
      </c>
      <c r="C26" s="232" t="s">
        <v>50</v>
      </c>
      <c r="D26" s="232" t="s">
        <v>51</v>
      </c>
    </row>
    <row r="27" spans="2:4" ht="15.75">
      <c r="B27">
        <v>25</v>
      </c>
      <c r="C27" s="232" t="s">
        <v>52</v>
      </c>
      <c r="D27" s="232" t="s">
        <v>53</v>
      </c>
    </row>
    <row r="28" spans="2:4" ht="15.75">
      <c r="B28">
        <v>26</v>
      </c>
      <c r="C28" s="232" t="s">
        <v>54</v>
      </c>
      <c r="D28" s="232" t="s">
        <v>55</v>
      </c>
    </row>
    <row r="29" spans="2:4" ht="15.75">
      <c r="B29">
        <v>27</v>
      </c>
      <c r="C29" s="232" t="s">
        <v>56</v>
      </c>
      <c r="D29" s="232" t="s">
        <v>57</v>
      </c>
    </row>
    <row r="30" spans="2:4" ht="15.75">
      <c r="B30">
        <v>28</v>
      </c>
      <c r="C30" s="232" t="s">
        <v>58</v>
      </c>
      <c r="D30" s="232" t="s">
        <v>59</v>
      </c>
    </row>
    <row r="31" spans="2:4" ht="15.75">
      <c r="B31">
        <v>29</v>
      </c>
      <c r="C31" s="232" t="s">
        <v>60</v>
      </c>
      <c r="D31" s="232" t="s">
        <v>61</v>
      </c>
    </row>
    <row r="32" spans="2:4" ht="15.75">
      <c r="B32">
        <v>30</v>
      </c>
      <c r="C32" s="232" t="s">
        <v>62</v>
      </c>
      <c r="D32" s="232" t="s">
        <v>63</v>
      </c>
    </row>
    <row r="33" spans="2:4" ht="15.75">
      <c r="B33">
        <v>31</v>
      </c>
      <c r="C33" s="232" t="s">
        <v>64</v>
      </c>
      <c r="D33" t="s">
        <v>65</v>
      </c>
    </row>
    <row r="34" spans="2:4" ht="15.75">
      <c r="B34">
        <v>32</v>
      </c>
      <c r="C34" s="232" t="s">
        <v>66</v>
      </c>
      <c r="D34" t="s">
        <v>67</v>
      </c>
    </row>
    <row r="35" spans="2:4" ht="15.75">
      <c r="B35">
        <v>33</v>
      </c>
      <c r="C35" s="232" t="s">
        <v>68</v>
      </c>
      <c r="D35" t="s">
        <v>69</v>
      </c>
    </row>
    <row r="36" spans="2:4" ht="15.75">
      <c r="B36">
        <v>34</v>
      </c>
      <c r="C36" s="232" t="s">
        <v>70</v>
      </c>
      <c r="D36" t="s">
        <v>71</v>
      </c>
    </row>
    <row r="37" spans="2:4" ht="15.75">
      <c r="B37">
        <v>35</v>
      </c>
      <c r="C37" s="232" t="s">
        <v>72</v>
      </c>
      <c r="D37" t="s">
        <v>73</v>
      </c>
    </row>
    <row r="38" spans="2:4" ht="15.75">
      <c r="B38">
        <v>36</v>
      </c>
      <c r="C38" s="232" t="s">
        <v>74</v>
      </c>
      <c r="D38" t="s">
        <v>75</v>
      </c>
    </row>
    <row r="39" spans="2:4" ht="15.75">
      <c r="B39">
        <v>37</v>
      </c>
      <c r="C39" s="232" t="s">
        <v>76</v>
      </c>
      <c r="D39" t="s">
        <v>77</v>
      </c>
    </row>
    <row r="40" spans="2:4" ht="15.75">
      <c r="B40">
        <v>38</v>
      </c>
      <c r="C40" s="232" t="s">
        <v>78</v>
      </c>
      <c r="D40" t="s">
        <v>79</v>
      </c>
    </row>
    <row r="41" spans="2:4" ht="15.75">
      <c r="B41">
        <v>39</v>
      </c>
      <c r="C41" s="232" t="s">
        <v>80</v>
      </c>
      <c r="D41" t="s">
        <v>81</v>
      </c>
    </row>
    <row r="42" spans="2:4" ht="15.75">
      <c r="B42">
        <v>40</v>
      </c>
      <c r="C42" s="232" t="s">
        <v>82</v>
      </c>
      <c r="D42" t="s">
        <v>83</v>
      </c>
    </row>
    <row r="43" spans="2:4" ht="15.75">
      <c r="B43">
        <v>41</v>
      </c>
      <c r="C43" s="232" t="s">
        <v>84</v>
      </c>
      <c r="D43" t="s">
        <v>85</v>
      </c>
    </row>
    <row r="44" spans="2:4" ht="15.75">
      <c r="B44">
        <v>42</v>
      </c>
      <c r="C44" s="232" t="s">
        <v>86</v>
      </c>
      <c r="D44" t="s">
        <v>87</v>
      </c>
    </row>
    <row r="45" spans="2:10" ht="15.75">
      <c r="B45">
        <v>43</v>
      </c>
      <c r="C45" s="232" t="s">
        <v>88</v>
      </c>
      <c r="D45" t="s">
        <v>89</v>
      </c>
      <c r="J45" t="s">
        <v>531</v>
      </c>
    </row>
    <row r="46" spans="2:4" ht="15.75">
      <c r="B46">
        <v>44</v>
      </c>
      <c r="C46" s="232" t="s">
        <v>90</v>
      </c>
      <c r="D46" t="s">
        <v>91</v>
      </c>
    </row>
    <row r="47" spans="2:4" ht="15.75">
      <c r="B47">
        <v>45</v>
      </c>
      <c r="C47" s="232" t="s">
        <v>92</v>
      </c>
      <c r="D47" t="s">
        <v>93</v>
      </c>
    </row>
    <row r="48" spans="2:4" ht="15.75">
      <c r="B48">
        <v>46</v>
      </c>
      <c r="C48" s="232" t="s">
        <v>94</v>
      </c>
      <c r="D48" t="s">
        <v>95</v>
      </c>
    </row>
    <row r="49" spans="2:4" ht="15.75">
      <c r="B49">
        <v>47</v>
      </c>
      <c r="C49" s="232" t="s">
        <v>96</v>
      </c>
      <c r="D49" t="s">
        <v>97</v>
      </c>
    </row>
    <row r="50" spans="2:4" ht="15.75">
      <c r="B50">
        <v>48</v>
      </c>
      <c r="C50" s="232" t="s">
        <v>98</v>
      </c>
      <c r="D50" t="s">
        <v>99</v>
      </c>
    </row>
    <row r="51" spans="2:4" ht="15.75">
      <c r="B51">
        <v>49</v>
      </c>
      <c r="C51" s="232" t="s">
        <v>100</v>
      </c>
      <c r="D51" t="s">
        <v>101</v>
      </c>
    </row>
    <row r="52" spans="2:4" ht="15.75">
      <c r="B52">
        <v>50</v>
      </c>
      <c r="C52" s="232" t="s">
        <v>102</v>
      </c>
      <c r="D52" t="s">
        <v>103</v>
      </c>
    </row>
    <row r="53" spans="2:4" ht="15.75">
      <c r="B53">
        <v>51</v>
      </c>
      <c r="C53" s="232" t="s">
        <v>104</v>
      </c>
      <c r="D53" t="s">
        <v>105</v>
      </c>
    </row>
    <row r="54" spans="2:4" ht="15.75">
      <c r="B54">
        <v>52</v>
      </c>
      <c r="C54" s="232" t="s">
        <v>106</v>
      </c>
      <c r="D54" t="s">
        <v>107</v>
      </c>
    </row>
    <row r="55" spans="2:4" ht="15.75">
      <c r="B55">
        <v>53</v>
      </c>
      <c r="C55" s="232" t="s">
        <v>108</v>
      </c>
      <c r="D55" t="s">
        <v>109</v>
      </c>
    </row>
    <row r="56" spans="2:4" ht="15.75">
      <c r="B56">
        <v>54</v>
      </c>
      <c r="C56" s="232" t="s">
        <v>110</v>
      </c>
      <c r="D56" t="s">
        <v>111</v>
      </c>
    </row>
    <row r="57" spans="2:4" ht="15.75">
      <c r="B57">
        <v>55</v>
      </c>
      <c r="C57" s="232" t="s">
        <v>112</v>
      </c>
      <c r="D57" t="s">
        <v>113</v>
      </c>
    </row>
    <row r="58" spans="2:4" ht="15.75">
      <c r="B58">
        <v>56</v>
      </c>
      <c r="C58" s="232" t="s">
        <v>114</v>
      </c>
      <c r="D58" t="s">
        <v>115</v>
      </c>
    </row>
    <row r="59" spans="2:4" ht="15.75">
      <c r="B59">
        <v>57</v>
      </c>
      <c r="C59" s="232" t="s">
        <v>116</v>
      </c>
      <c r="D59" t="s">
        <v>117</v>
      </c>
    </row>
    <row r="60" spans="2:4" ht="15.75">
      <c r="B60">
        <v>58</v>
      </c>
      <c r="C60" s="232" t="s">
        <v>118</v>
      </c>
      <c r="D60" t="s">
        <v>119</v>
      </c>
    </row>
    <row r="61" spans="2:4" ht="15.75">
      <c r="B61">
        <v>59</v>
      </c>
      <c r="C61" s="232" t="s">
        <v>120</v>
      </c>
      <c r="D61" t="s">
        <v>121</v>
      </c>
    </row>
    <row r="62" spans="2:4" ht="15.75">
      <c r="B62">
        <v>60</v>
      </c>
      <c r="C62" s="232" t="s">
        <v>122</v>
      </c>
      <c r="D62" t="s">
        <v>123</v>
      </c>
    </row>
    <row r="63" spans="2:4" ht="15.75">
      <c r="B63">
        <v>61</v>
      </c>
      <c r="C63" s="232" t="s">
        <v>124</v>
      </c>
      <c r="D63" t="s">
        <v>125</v>
      </c>
    </row>
    <row r="64" spans="2:4" ht="15.75">
      <c r="B64">
        <v>62</v>
      </c>
      <c r="C64" s="232" t="s">
        <v>126</v>
      </c>
      <c r="D64" t="s">
        <v>127</v>
      </c>
    </row>
    <row r="65" spans="2:4" ht="15.75">
      <c r="B65">
        <v>63</v>
      </c>
      <c r="C65" s="232" t="s">
        <v>128</v>
      </c>
      <c r="D65" t="s">
        <v>129</v>
      </c>
    </row>
    <row r="66" spans="2:4" ht="15.75">
      <c r="B66">
        <v>64</v>
      </c>
      <c r="C66" s="232" t="s">
        <v>130</v>
      </c>
      <c r="D66" t="s">
        <v>131</v>
      </c>
    </row>
    <row r="67" spans="2:4" ht="15.75">
      <c r="B67">
        <v>65</v>
      </c>
      <c r="C67" s="232" t="s">
        <v>132</v>
      </c>
      <c r="D67" t="s">
        <v>133</v>
      </c>
    </row>
    <row r="68" spans="2:4" ht="15.75">
      <c r="B68">
        <v>66</v>
      </c>
      <c r="C68" s="232" t="s">
        <v>134</v>
      </c>
      <c r="D68" s="59" t="s">
        <v>135</v>
      </c>
    </row>
    <row r="69" spans="2:4" ht="15.75">
      <c r="B69">
        <v>67</v>
      </c>
      <c r="C69" s="232" t="s">
        <v>136</v>
      </c>
      <c r="D69" s="59" t="s">
        <v>137</v>
      </c>
    </row>
    <row r="70" spans="2:4" ht="15.75">
      <c r="B70">
        <v>68</v>
      </c>
      <c r="C70" s="232" t="s">
        <v>524</v>
      </c>
      <c r="D70" s="59" t="s">
        <v>525</v>
      </c>
    </row>
    <row r="71" spans="2:4" ht="15.75">
      <c r="B71">
        <v>69</v>
      </c>
      <c r="C71" s="232" t="s">
        <v>138</v>
      </c>
      <c r="D71" s="59" t="s">
        <v>139</v>
      </c>
    </row>
    <row r="72" spans="2:4" ht="15.75">
      <c r="B72">
        <v>70</v>
      </c>
      <c r="C72" s="232" t="s">
        <v>140</v>
      </c>
      <c r="D72" s="59" t="s">
        <v>141</v>
      </c>
    </row>
    <row r="73" spans="2:4" ht="15.75">
      <c r="B73">
        <v>71</v>
      </c>
      <c r="C73" s="232" t="s">
        <v>142</v>
      </c>
      <c r="D73" s="233" t="s">
        <v>143</v>
      </c>
    </row>
    <row r="74" spans="2:4" ht="15.75">
      <c r="B74">
        <v>72</v>
      </c>
      <c r="C74" s="232" t="s">
        <v>144</v>
      </c>
      <c r="D74" s="233"/>
    </row>
    <row r="75" spans="2:4" ht="15.75">
      <c r="B75">
        <v>73</v>
      </c>
      <c r="C75" s="232" t="s">
        <v>145</v>
      </c>
      <c r="D75" s="161" t="s">
        <v>146</v>
      </c>
    </row>
    <row r="76" spans="2:4" ht="15.75">
      <c r="B76">
        <v>74</v>
      </c>
      <c r="C76" s="232" t="s">
        <v>147</v>
      </c>
      <c r="D76" s="161" t="s">
        <v>148</v>
      </c>
    </row>
    <row r="77" spans="2:4" ht="15.75">
      <c r="B77">
        <v>75</v>
      </c>
      <c r="C77" s="232" t="s">
        <v>149</v>
      </c>
      <c r="D77" s="161" t="s">
        <v>150</v>
      </c>
    </row>
    <row r="78" spans="2:4" ht="15.75">
      <c r="B78">
        <v>76</v>
      </c>
      <c r="C78" s="232" t="s">
        <v>151</v>
      </c>
      <c r="D78" s="161" t="s">
        <v>152</v>
      </c>
    </row>
    <row r="79" spans="2:4" ht="15.75">
      <c r="B79">
        <v>77</v>
      </c>
      <c r="C79" s="232" t="s">
        <v>153</v>
      </c>
      <c r="D79" s="161" t="s">
        <v>154</v>
      </c>
    </row>
    <row r="80" spans="2:4" ht="15.75">
      <c r="B80">
        <v>78</v>
      </c>
      <c r="C80" s="232" t="s">
        <v>155</v>
      </c>
      <c r="D80" s="161" t="s">
        <v>156</v>
      </c>
    </row>
    <row r="81" spans="2:4" ht="15.75">
      <c r="B81">
        <v>79</v>
      </c>
      <c r="C81" s="232" t="s">
        <v>157</v>
      </c>
      <c r="D81" s="161" t="s">
        <v>158</v>
      </c>
    </row>
    <row r="82" spans="2:4" ht="15.75">
      <c r="B82">
        <v>80</v>
      </c>
      <c r="C82" s="232" t="s">
        <v>159</v>
      </c>
      <c r="D82" s="161" t="s">
        <v>159</v>
      </c>
    </row>
    <row r="83" spans="2:4" ht="15.75">
      <c r="B83">
        <v>81</v>
      </c>
      <c r="C83" s="232" t="s">
        <v>160</v>
      </c>
      <c r="D83" s="161" t="s">
        <v>161</v>
      </c>
    </row>
    <row r="84" spans="2:4" ht="15">
      <c r="B84">
        <v>82</v>
      </c>
      <c r="C84" t="s">
        <v>162</v>
      </c>
      <c r="D84" t="s">
        <v>163</v>
      </c>
    </row>
    <row r="85" spans="2:4" ht="15">
      <c r="B85">
        <v>83</v>
      </c>
      <c r="C85" t="s">
        <v>164</v>
      </c>
      <c r="D85" t="s">
        <v>165</v>
      </c>
    </row>
    <row r="86" spans="2:4" ht="15.75">
      <c r="B86">
        <v>84</v>
      </c>
      <c r="C86" s="232" t="s">
        <v>166</v>
      </c>
      <c r="D86" t="s">
        <v>167</v>
      </c>
    </row>
    <row r="87" spans="2:4" ht="15">
      <c r="B87">
        <v>85</v>
      </c>
      <c r="C87" t="s">
        <v>168</v>
      </c>
      <c r="D87" t="s">
        <v>169</v>
      </c>
    </row>
    <row r="88" spans="2:4" ht="15">
      <c r="B88">
        <v>86</v>
      </c>
      <c r="C88" t="s">
        <v>170</v>
      </c>
      <c r="D88" t="s">
        <v>171</v>
      </c>
    </row>
    <row r="89" spans="2:4" ht="15">
      <c r="B89">
        <v>87</v>
      </c>
      <c r="C89" t="s">
        <v>412</v>
      </c>
      <c r="D89" t="s">
        <v>413</v>
      </c>
    </row>
    <row r="90" spans="2:4" ht="15">
      <c r="B90">
        <v>88</v>
      </c>
      <c r="C90" t="s">
        <v>58</v>
      </c>
      <c r="D90" t="s">
        <v>59</v>
      </c>
    </row>
    <row r="91" spans="2:4" ht="15">
      <c r="B91">
        <v>89</v>
      </c>
      <c r="C91" s="234" t="s">
        <v>172</v>
      </c>
      <c r="D91" t="s">
        <v>173</v>
      </c>
    </row>
    <row r="92" spans="2:4" ht="15">
      <c r="B92">
        <v>90</v>
      </c>
      <c r="C92" t="s">
        <v>174</v>
      </c>
      <c r="D92" t="s">
        <v>174</v>
      </c>
    </row>
    <row r="93" spans="2:4" ht="15">
      <c r="B93">
        <v>91</v>
      </c>
      <c r="C93" t="s">
        <v>175</v>
      </c>
      <c r="D93" t="s">
        <v>176</v>
      </c>
    </row>
    <row r="94" spans="2:4" ht="15">
      <c r="B94">
        <v>92</v>
      </c>
      <c r="C94" t="s">
        <v>1</v>
      </c>
      <c r="D94" t="s">
        <v>177</v>
      </c>
    </row>
    <row r="95" spans="2:4" ht="15">
      <c r="B95">
        <v>93</v>
      </c>
      <c r="C95" t="s">
        <v>2</v>
      </c>
      <c r="D95" t="s">
        <v>178</v>
      </c>
    </row>
    <row r="96" spans="2:4" ht="15">
      <c r="B96">
        <v>94</v>
      </c>
      <c r="C96" t="s">
        <v>3</v>
      </c>
      <c r="D96" t="s">
        <v>179</v>
      </c>
    </row>
    <row r="97" spans="2:4" ht="15">
      <c r="B97">
        <v>95</v>
      </c>
      <c r="C97" t="s">
        <v>4</v>
      </c>
      <c r="D97" t="s">
        <v>180</v>
      </c>
    </row>
    <row r="98" spans="2:4" ht="15">
      <c r="B98">
        <v>96</v>
      </c>
      <c r="C98" s="235" t="s">
        <v>181</v>
      </c>
      <c r="D98" s="235" t="s">
        <v>182</v>
      </c>
    </row>
    <row r="99" spans="2:4" ht="15">
      <c r="B99">
        <v>97</v>
      </c>
      <c r="C99" s="235" t="s">
        <v>183</v>
      </c>
      <c r="D99" s="235" t="s">
        <v>184</v>
      </c>
    </row>
    <row r="100" spans="2:4" ht="15">
      <c r="B100">
        <v>98</v>
      </c>
      <c r="C100" s="235" t="s">
        <v>185</v>
      </c>
      <c r="D100" s="235" t="s">
        <v>186</v>
      </c>
    </row>
    <row r="101" spans="2:4" ht="15">
      <c r="B101">
        <v>99</v>
      </c>
      <c r="C101" s="235" t="s">
        <v>187</v>
      </c>
      <c r="D101" t="s">
        <v>188</v>
      </c>
    </row>
    <row r="102" spans="2:4" ht="15">
      <c r="B102">
        <v>100</v>
      </c>
      <c r="C102" s="235" t="s">
        <v>355</v>
      </c>
      <c r="D102" t="s">
        <v>356</v>
      </c>
    </row>
    <row r="103" spans="2:4" ht="15">
      <c r="B103">
        <v>101</v>
      </c>
      <c r="C103" t="s">
        <v>189</v>
      </c>
      <c r="D103" t="s">
        <v>190</v>
      </c>
    </row>
    <row r="104" spans="2:4" ht="15" customHeight="1">
      <c r="B104">
        <v>102</v>
      </c>
      <c r="C104" t="s">
        <v>191</v>
      </c>
      <c r="D104" t="s">
        <v>192</v>
      </c>
    </row>
    <row r="105" spans="2:4" ht="15">
      <c r="B105">
        <v>103</v>
      </c>
      <c r="C105" t="s">
        <v>193</v>
      </c>
      <c r="D105" t="s">
        <v>194</v>
      </c>
    </row>
    <row r="106" spans="2:4" ht="15">
      <c r="B106">
        <v>104</v>
      </c>
      <c r="C106" t="s">
        <v>195</v>
      </c>
      <c r="D106" t="s">
        <v>196</v>
      </c>
    </row>
    <row r="107" spans="2:4" ht="15">
      <c r="B107">
        <v>105</v>
      </c>
      <c r="C107" s="212" t="s">
        <v>197</v>
      </c>
      <c r="D107" t="s">
        <v>198</v>
      </c>
    </row>
    <row r="108" spans="2:4" ht="15">
      <c r="B108">
        <v>106</v>
      </c>
      <c r="C108" s="212" t="s">
        <v>199</v>
      </c>
      <c r="D108" t="s">
        <v>200</v>
      </c>
    </row>
    <row r="109" spans="2:4" ht="15">
      <c r="B109">
        <v>107</v>
      </c>
      <c r="C109" t="s">
        <v>201</v>
      </c>
      <c r="D109" t="s">
        <v>202</v>
      </c>
    </row>
    <row r="110" spans="2:4" ht="15">
      <c r="B110">
        <v>108</v>
      </c>
      <c r="C110" s="212" t="s">
        <v>203</v>
      </c>
      <c r="D110" t="s">
        <v>204</v>
      </c>
    </row>
    <row r="111" spans="2:4" ht="15">
      <c r="B111">
        <v>109</v>
      </c>
      <c r="C111" s="212" t="s">
        <v>205</v>
      </c>
      <c r="D111" t="s">
        <v>206</v>
      </c>
    </row>
    <row r="112" spans="2:4" ht="15">
      <c r="B112">
        <v>110</v>
      </c>
      <c r="C112" s="212" t="s">
        <v>207</v>
      </c>
      <c r="D112" t="s">
        <v>208</v>
      </c>
    </row>
    <row r="113" spans="2:4" ht="15">
      <c r="B113">
        <v>111</v>
      </c>
      <c r="C113" s="212" t="s">
        <v>11</v>
      </c>
      <c r="D113" t="s">
        <v>209</v>
      </c>
    </row>
    <row r="114" spans="2:4" ht="15">
      <c r="B114">
        <v>112</v>
      </c>
      <c r="C114" s="214" t="s">
        <v>210</v>
      </c>
      <c r="D114" t="s">
        <v>211</v>
      </c>
    </row>
    <row r="115" spans="2:4" ht="15">
      <c r="B115">
        <v>113</v>
      </c>
      <c r="C115" s="214" t="s">
        <v>60</v>
      </c>
      <c r="D115" t="s">
        <v>61</v>
      </c>
    </row>
    <row r="116" spans="2:4" ht="15">
      <c r="B116">
        <v>114</v>
      </c>
      <c r="C116" s="212" t="s">
        <v>212</v>
      </c>
      <c r="D116" t="s">
        <v>213</v>
      </c>
    </row>
    <row r="117" spans="2:4" ht="15">
      <c r="B117">
        <v>115</v>
      </c>
      <c r="C117" s="212" t="s">
        <v>214</v>
      </c>
      <c r="D117" t="s">
        <v>215</v>
      </c>
    </row>
    <row r="118" spans="2:4" ht="15">
      <c r="B118">
        <v>116</v>
      </c>
      <c r="C118" s="212" t="s">
        <v>216</v>
      </c>
      <c r="D118" t="s">
        <v>217</v>
      </c>
    </row>
    <row r="119" spans="2:4" ht="15.75">
      <c r="B119">
        <v>117</v>
      </c>
      <c r="C119" s="232"/>
      <c r="D119" s="59"/>
    </row>
    <row r="120" spans="2:4" ht="15.75">
      <c r="B120">
        <v>118</v>
      </c>
      <c r="C120" s="207" t="s">
        <v>218</v>
      </c>
      <c r="D120" t="s">
        <v>219</v>
      </c>
    </row>
    <row r="121" spans="2:3" ht="15">
      <c r="B121">
        <v>119</v>
      </c>
      <c r="C121" s="224" t="s">
        <v>220</v>
      </c>
    </row>
    <row r="122" spans="2:4" ht="18">
      <c r="B122">
        <v>120</v>
      </c>
      <c r="C122" s="203" t="s">
        <v>62</v>
      </c>
      <c r="D122" t="s">
        <v>63</v>
      </c>
    </row>
    <row r="123" spans="2:4" ht="15">
      <c r="B123">
        <v>121</v>
      </c>
      <c r="C123" t="s">
        <v>221</v>
      </c>
      <c r="D123" t="s">
        <v>222</v>
      </c>
    </row>
    <row r="124" spans="2:4" ht="15">
      <c r="B124">
        <v>122</v>
      </c>
      <c r="C124" t="s">
        <v>223</v>
      </c>
      <c r="D124" t="s">
        <v>222</v>
      </c>
    </row>
    <row r="125" spans="2:4" ht="15">
      <c r="B125">
        <v>123</v>
      </c>
      <c r="C125" t="s">
        <v>224</v>
      </c>
      <c r="D125" t="s">
        <v>225</v>
      </c>
    </row>
    <row r="126" spans="2:4" ht="15">
      <c r="B126">
        <v>124</v>
      </c>
      <c r="C126" t="s">
        <v>226</v>
      </c>
      <c r="D126" t="s">
        <v>227</v>
      </c>
    </row>
    <row r="127" spans="2:4" ht="15">
      <c r="B127">
        <v>125</v>
      </c>
      <c r="C127" t="s">
        <v>228</v>
      </c>
      <c r="D127" t="s">
        <v>229</v>
      </c>
    </row>
    <row r="128" spans="2:4" ht="15">
      <c r="B128">
        <v>126</v>
      </c>
      <c r="C128" t="s">
        <v>230</v>
      </c>
      <c r="D128" t="s">
        <v>230</v>
      </c>
    </row>
    <row r="129" spans="2:4" ht="15">
      <c r="B129">
        <v>127</v>
      </c>
      <c r="C129" t="s">
        <v>231</v>
      </c>
      <c r="D129" t="s">
        <v>231</v>
      </c>
    </row>
    <row r="130" spans="2:4" ht="15">
      <c r="B130">
        <v>128</v>
      </c>
      <c r="C130" t="s">
        <v>232</v>
      </c>
      <c r="D130" t="s">
        <v>232</v>
      </c>
    </row>
    <row r="131" spans="2:4" ht="15">
      <c r="B131">
        <v>129</v>
      </c>
      <c r="C131" t="s">
        <v>233</v>
      </c>
      <c r="D131" t="s">
        <v>233</v>
      </c>
    </row>
    <row r="132" spans="2:4" ht="15">
      <c r="B132">
        <v>130</v>
      </c>
      <c r="C132" t="s">
        <v>234</v>
      </c>
      <c r="D132" t="s">
        <v>234</v>
      </c>
    </row>
    <row r="133" spans="2:4" ht="15">
      <c r="B133">
        <v>131</v>
      </c>
      <c r="C133" s="43" t="s">
        <v>235</v>
      </c>
      <c r="D133" t="s">
        <v>236</v>
      </c>
    </row>
    <row r="134" spans="2:4" ht="15">
      <c r="B134">
        <v>132</v>
      </c>
      <c r="C134" s="43" t="s">
        <v>237</v>
      </c>
      <c r="D134" t="s">
        <v>238</v>
      </c>
    </row>
    <row r="135" spans="2:4" ht="15">
      <c r="B135">
        <v>133</v>
      </c>
      <c r="C135" s="43" t="s">
        <v>239</v>
      </c>
      <c r="D135" t="s">
        <v>240</v>
      </c>
    </row>
    <row r="136" spans="2:4" ht="15">
      <c r="B136">
        <v>134</v>
      </c>
      <c r="C136" s="43" t="s">
        <v>241</v>
      </c>
      <c r="D136" t="s">
        <v>242</v>
      </c>
    </row>
    <row r="137" spans="2:4" ht="15">
      <c r="B137">
        <v>135</v>
      </c>
      <c r="C137" s="43" t="s">
        <v>110</v>
      </c>
      <c r="D137" t="s">
        <v>111</v>
      </c>
    </row>
    <row r="138" spans="2:4" ht="15">
      <c r="B138">
        <v>136</v>
      </c>
      <c r="C138" s="43" t="s">
        <v>243</v>
      </c>
      <c r="D138" t="s">
        <v>244</v>
      </c>
    </row>
    <row r="139" spans="2:4" ht="15">
      <c r="B139">
        <v>137</v>
      </c>
      <c r="C139" s="43" t="s">
        <v>245</v>
      </c>
      <c r="D139" t="s">
        <v>246</v>
      </c>
    </row>
    <row r="140" spans="2:4" ht="15">
      <c r="B140">
        <v>138</v>
      </c>
      <c r="C140" s="43" t="s">
        <v>247</v>
      </c>
      <c r="D140" t="s">
        <v>248</v>
      </c>
    </row>
    <row r="141" spans="2:4" ht="15">
      <c r="B141">
        <v>139</v>
      </c>
      <c r="C141" s="43" t="s">
        <v>249</v>
      </c>
      <c r="D141" t="s">
        <v>250</v>
      </c>
    </row>
    <row r="142" spans="2:4" ht="15">
      <c r="B142">
        <v>140</v>
      </c>
      <c r="C142" s="43" t="s">
        <v>251</v>
      </c>
      <c r="D142" t="s">
        <v>252</v>
      </c>
    </row>
    <row r="143" spans="2:4" ht="15">
      <c r="B143">
        <v>141</v>
      </c>
      <c r="C143" s="43" t="s">
        <v>253</v>
      </c>
      <c r="D143" s="59" t="s">
        <v>254</v>
      </c>
    </row>
    <row r="144" spans="2:4" ht="15">
      <c r="B144">
        <v>142</v>
      </c>
      <c r="C144" s="59" t="s">
        <v>255</v>
      </c>
      <c r="D144" s="59" t="s">
        <v>256</v>
      </c>
    </row>
    <row r="145" spans="2:4" ht="15">
      <c r="B145">
        <v>143</v>
      </c>
      <c r="C145" s="59" t="s">
        <v>257</v>
      </c>
      <c r="D145" t="s">
        <v>258</v>
      </c>
    </row>
    <row r="146" spans="2:4" ht="15">
      <c r="B146">
        <v>144</v>
      </c>
      <c r="C146" s="43" t="s">
        <v>259</v>
      </c>
      <c r="D146" t="s">
        <v>260</v>
      </c>
    </row>
    <row r="147" spans="2:4" ht="15">
      <c r="B147">
        <v>145</v>
      </c>
      <c r="C147" s="43" t="s">
        <v>261</v>
      </c>
      <c r="D147" t="s">
        <v>262</v>
      </c>
    </row>
    <row r="148" spans="2:4" ht="15">
      <c r="B148">
        <v>146</v>
      </c>
      <c r="C148" s="103" t="s">
        <v>263</v>
      </c>
      <c r="D148" t="s">
        <v>264</v>
      </c>
    </row>
    <row r="149" spans="2:4" ht="15">
      <c r="B149">
        <v>147</v>
      </c>
      <c r="C149" s="59" t="s">
        <v>265</v>
      </c>
      <c r="D149" t="s">
        <v>101</v>
      </c>
    </row>
    <row r="150" spans="2:4" ht="15">
      <c r="B150">
        <v>148</v>
      </c>
      <c r="C150" s="59" t="s">
        <v>266</v>
      </c>
      <c r="D150" t="s">
        <v>267</v>
      </c>
    </row>
    <row r="151" spans="2:4" ht="15">
      <c r="B151">
        <v>149</v>
      </c>
      <c r="C151" s="59" t="s">
        <v>268</v>
      </c>
      <c r="D151" t="s">
        <v>269</v>
      </c>
    </row>
    <row r="152" spans="2:4" ht="15">
      <c r="B152">
        <v>150</v>
      </c>
      <c r="C152" s="103" t="s">
        <v>270</v>
      </c>
      <c r="D152" t="s">
        <v>271</v>
      </c>
    </row>
    <row r="153" spans="2:4" ht="15">
      <c r="B153">
        <v>151</v>
      </c>
      <c r="C153" s="47" t="s">
        <v>272</v>
      </c>
      <c r="D153" t="s">
        <v>273</v>
      </c>
    </row>
    <row r="154" spans="2:4" ht="15">
      <c r="B154">
        <v>152</v>
      </c>
      <c r="C154" s="59" t="s">
        <v>274</v>
      </c>
      <c r="D154" t="s">
        <v>275</v>
      </c>
    </row>
    <row r="155" spans="2:4" ht="15">
      <c r="B155">
        <v>153</v>
      </c>
      <c r="C155" s="59" t="s">
        <v>276</v>
      </c>
      <c r="D155" t="s">
        <v>277</v>
      </c>
    </row>
    <row r="156" spans="2:4" ht="15">
      <c r="B156">
        <v>154</v>
      </c>
      <c r="C156" s="59" t="s">
        <v>278</v>
      </c>
      <c r="D156" t="s">
        <v>279</v>
      </c>
    </row>
    <row r="157" spans="2:4" ht="15">
      <c r="B157">
        <v>155</v>
      </c>
      <c r="C157" s="59" t="s">
        <v>280</v>
      </c>
      <c r="D157" t="s">
        <v>281</v>
      </c>
    </row>
    <row r="158" spans="2:4" ht="15">
      <c r="B158">
        <v>156</v>
      </c>
      <c r="C158" s="59" t="s">
        <v>282</v>
      </c>
      <c r="D158" t="s">
        <v>283</v>
      </c>
    </row>
    <row r="159" spans="2:4" ht="15">
      <c r="B159">
        <v>157</v>
      </c>
      <c r="C159" s="59" t="s">
        <v>284</v>
      </c>
      <c r="D159" t="s">
        <v>285</v>
      </c>
    </row>
    <row r="160" spans="2:4" ht="15">
      <c r="B160">
        <v>158</v>
      </c>
      <c r="C160" s="59" t="s">
        <v>286</v>
      </c>
      <c r="D160" t="s">
        <v>287</v>
      </c>
    </row>
    <row r="161" spans="2:4" ht="15">
      <c r="B161">
        <v>159</v>
      </c>
      <c r="C161" s="115" t="s">
        <v>288</v>
      </c>
      <c r="D161" t="s">
        <v>289</v>
      </c>
    </row>
    <row r="162" spans="2:4" ht="15">
      <c r="B162">
        <v>160</v>
      </c>
      <c r="C162" s="115" t="s">
        <v>290</v>
      </c>
      <c r="D162" t="s">
        <v>291</v>
      </c>
    </row>
    <row r="163" spans="2:4" ht="15">
      <c r="B163">
        <v>161</v>
      </c>
      <c r="C163" s="59" t="s">
        <v>54</v>
      </c>
      <c r="D163" t="s">
        <v>55</v>
      </c>
    </row>
    <row r="164" spans="2:4" ht="15">
      <c r="B164">
        <v>162</v>
      </c>
      <c r="C164" s="59" t="s">
        <v>292</v>
      </c>
      <c r="D164" t="s">
        <v>293</v>
      </c>
    </row>
    <row r="165" spans="2:5" ht="15">
      <c r="B165">
        <v>163</v>
      </c>
      <c r="C165" s="59" t="s">
        <v>294</v>
      </c>
      <c r="D165" t="s">
        <v>295</v>
      </c>
      <c r="E165" s="236"/>
    </row>
    <row r="166" spans="2:4" ht="15">
      <c r="B166">
        <v>164</v>
      </c>
      <c r="C166" t="s">
        <v>296</v>
      </c>
      <c r="D166" t="s">
        <v>297</v>
      </c>
    </row>
    <row r="167" spans="2:4" ht="15.75">
      <c r="B167">
        <v>165</v>
      </c>
      <c r="C167" s="237" t="s">
        <v>298</v>
      </c>
      <c r="D167" t="s">
        <v>299</v>
      </c>
    </row>
    <row r="168" spans="2:4" ht="15">
      <c r="B168">
        <v>166</v>
      </c>
      <c r="C168" s="161" t="s">
        <v>292</v>
      </c>
      <c r="D168" t="s">
        <v>293</v>
      </c>
    </row>
    <row r="169" spans="2:4" ht="15">
      <c r="B169">
        <v>167</v>
      </c>
      <c r="C169" t="s">
        <v>1</v>
      </c>
      <c r="D169" t="s">
        <v>177</v>
      </c>
    </row>
    <row r="170" spans="2:4" ht="15">
      <c r="B170">
        <v>168</v>
      </c>
      <c r="C170" t="s">
        <v>2</v>
      </c>
      <c r="D170" t="s">
        <v>178</v>
      </c>
    </row>
    <row r="171" spans="2:4" ht="15">
      <c r="B171">
        <v>169</v>
      </c>
      <c r="C171" t="s">
        <v>3</v>
      </c>
      <c r="D171" t="s">
        <v>179</v>
      </c>
    </row>
    <row r="172" spans="2:4" ht="15">
      <c r="B172">
        <v>170</v>
      </c>
      <c r="C172" t="s">
        <v>4</v>
      </c>
      <c r="D172" t="s">
        <v>180</v>
      </c>
    </row>
    <row r="173" spans="2:4" ht="15">
      <c r="B173">
        <v>171</v>
      </c>
      <c r="C173" t="s">
        <v>300</v>
      </c>
      <c r="D173" t="s">
        <v>301</v>
      </c>
    </row>
    <row r="174" spans="2:4" ht="15">
      <c r="B174">
        <v>172</v>
      </c>
      <c r="C174" t="s">
        <v>166</v>
      </c>
      <c r="D174" t="s">
        <v>167</v>
      </c>
    </row>
    <row r="175" spans="2:4" ht="15">
      <c r="B175">
        <v>173</v>
      </c>
      <c r="C175" t="s">
        <v>416</v>
      </c>
      <c r="D175" s="183" t="s">
        <v>418</v>
      </c>
    </row>
    <row r="176" spans="2:4" ht="15">
      <c r="B176">
        <v>174</v>
      </c>
      <c r="C176" t="s">
        <v>417</v>
      </c>
      <c r="D176" s="183" t="s">
        <v>415</v>
      </c>
    </row>
    <row r="177" spans="2:4" ht="15">
      <c r="B177">
        <v>175</v>
      </c>
      <c r="C177" s="186" t="s">
        <v>27</v>
      </c>
      <c r="D177" t="s">
        <v>28</v>
      </c>
    </row>
    <row r="178" spans="2:4" ht="15">
      <c r="B178">
        <v>176</v>
      </c>
      <c r="C178" s="186" t="s">
        <v>302</v>
      </c>
      <c r="D178" s="41" t="s">
        <v>303</v>
      </c>
    </row>
    <row r="179" spans="2:4" ht="15">
      <c r="B179">
        <v>177</v>
      </c>
      <c r="C179" s="186" t="s">
        <v>304</v>
      </c>
      <c r="D179" t="s">
        <v>305</v>
      </c>
    </row>
    <row r="180" spans="2:4" ht="15">
      <c r="B180">
        <v>178</v>
      </c>
      <c r="C180" s="186" t="s">
        <v>306</v>
      </c>
      <c r="D180" t="s">
        <v>307</v>
      </c>
    </row>
    <row r="181" spans="2:4" ht="15">
      <c r="B181">
        <v>179</v>
      </c>
      <c r="C181" s="186" t="s">
        <v>308</v>
      </c>
      <c r="D181" t="s">
        <v>309</v>
      </c>
    </row>
    <row r="182" spans="2:4" ht="15">
      <c r="B182">
        <v>180</v>
      </c>
      <c r="C182" s="186" t="s">
        <v>310</v>
      </c>
      <c r="D182" t="s">
        <v>311</v>
      </c>
    </row>
    <row r="183" spans="2:4" ht="15">
      <c r="B183">
        <v>181</v>
      </c>
      <c r="C183" s="186" t="s">
        <v>7</v>
      </c>
      <c r="D183" t="s">
        <v>7</v>
      </c>
    </row>
    <row r="184" spans="2:4" ht="15">
      <c r="B184">
        <v>182</v>
      </c>
      <c r="C184" s="186" t="s">
        <v>9</v>
      </c>
      <c r="D184" t="s">
        <v>9</v>
      </c>
    </row>
    <row r="185" spans="2:4" ht="15">
      <c r="B185">
        <v>183</v>
      </c>
      <c r="C185" s="186" t="s">
        <v>10</v>
      </c>
      <c r="D185" t="s">
        <v>38</v>
      </c>
    </row>
    <row r="186" spans="2:4" ht="15">
      <c r="B186">
        <v>184</v>
      </c>
      <c r="C186" t="s">
        <v>312</v>
      </c>
      <c r="D186" t="s">
        <v>313</v>
      </c>
    </row>
    <row r="187" spans="2:4" ht="15">
      <c r="B187">
        <v>185</v>
      </c>
      <c r="C187" t="s">
        <v>314</v>
      </c>
      <c r="D187" t="s">
        <v>315</v>
      </c>
    </row>
    <row r="188" spans="2:4" ht="15">
      <c r="B188">
        <v>186</v>
      </c>
      <c r="C188" t="s">
        <v>316</v>
      </c>
      <c r="D188" t="s">
        <v>317</v>
      </c>
    </row>
    <row r="189" spans="2:4" ht="15">
      <c r="B189">
        <v>187</v>
      </c>
      <c r="C189" t="s">
        <v>318</v>
      </c>
      <c r="D189" t="s">
        <v>269</v>
      </c>
    </row>
    <row r="190" spans="2:3" ht="15">
      <c r="B190">
        <v>188</v>
      </c>
      <c r="C190" s="212" t="s">
        <v>319</v>
      </c>
    </row>
    <row r="191" spans="2:3" ht="15">
      <c r="B191">
        <v>189</v>
      </c>
      <c r="C191" s="212" t="s">
        <v>320</v>
      </c>
    </row>
    <row r="192" spans="2:3" ht="15">
      <c r="B192">
        <v>190</v>
      </c>
      <c r="C192" s="212" t="s">
        <v>321</v>
      </c>
    </row>
    <row r="193" spans="2:4" ht="15">
      <c r="B193">
        <v>191</v>
      </c>
      <c r="C193" s="212" t="s">
        <v>203</v>
      </c>
      <c r="D193" t="s">
        <v>204</v>
      </c>
    </row>
    <row r="194" spans="2:3" ht="15">
      <c r="B194">
        <v>192</v>
      </c>
      <c r="C194" s="212" t="s">
        <v>205</v>
      </c>
    </row>
    <row r="195" spans="2:3" ht="15">
      <c r="B195">
        <v>193</v>
      </c>
      <c r="C195" s="212" t="s">
        <v>11</v>
      </c>
    </row>
    <row r="196" spans="2:3" ht="15">
      <c r="B196">
        <v>194</v>
      </c>
      <c r="C196" s="214" t="s">
        <v>210</v>
      </c>
    </row>
    <row r="197" spans="2:3" ht="15">
      <c r="B197">
        <v>195</v>
      </c>
      <c r="C197" s="212" t="s">
        <v>322</v>
      </c>
    </row>
    <row r="198" spans="2:3" ht="15">
      <c r="B198">
        <v>196</v>
      </c>
      <c r="C198" s="212" t="s">
        <v>323</v>
      </c>
    </row>
    <row r="199" spans="2:3" ht="15">
      <c r="B199">
        <v>197</v>
      </c>
      <c r="C199" s="212" t="s">
        <v>207</v>
      </c>
    </row>
    <row r="200" spans="2:3" ht="15">
      <c r="B200">
        <v>198</v>
      </c>
      <c r="C200" s="212" t="s">
        <v>199</v>
      </c>
    </row>
    <row r="201" spans="2:3" ht="15">
      <c r="B201">
        <v>199</v>
      </c>
      <c r="C201" s="212" t="s">
        <v>324</v>
      </c>
    </row>
    <row r="202" spans="2:3" ht="15">
      <c r="B202">
        <v>200</v>
      </c>
      <c r="C202" s="212" t="s">
        <v>197</v>
      </c>
    </row>
    <row r="203" spans="2:3" ht="15">
      <c r="B203">
        <v>201</v>
      </c>
      <c r="C203" s="212" t="s">
        <v>325</v>
      </c>
    </row>
    <row r="204" spans="2:3" ht="15">
      <c r="B204">
        <v>202</v>
      </c>
      <c r="C204" s="214" t="s">
        <v>326</v>
      </c>
    </row>
    <row r="205" spans="2:4" ht="15">
      <c r="B205">
        <v>203</v>
      </c>
      <c r="C205" s="212" t="s">
        <v>327</v>
      </c>
      <c r="D205" t="s">
        <v>328</v>
      </c>
    </row>
    <row r="206" spans="2:4" ht="15">
      <c r="B206">
        <v>204</v>
      </c>
      <c r="C206" s="212" t="s">
        <v>329</v>
      </c>
      <c r="D206" t="s">
        <v>329</v>
      </c>
    </row>
    <row r="207" spans="2:4" ht="15">
      <c r="B207">
        <v>205</v>
      </c>
      <c r="C207" s="212" t="s">
        <v>330</v>
      </c>
      <c r="D207" s="212" t="s">
        <v>331</v>
      </c>
    </row>
    <row r="208" spans="2:4" ht="15">
      <c r="B208">
        <v>206</v>
      </c>
      <c r="C208" t="s">
        <v>526</v>
      </c>
      <c r="D208" t="s">
        <v>527</v>
      </c>
    </row>
    <row r="209" spans="2:4" ht="15">
      <c r="B209">
        <v>207</v>
      </c>
      <c r="C209" t="s">
        <v>332</v>
      </c>
      <c r="D209" t="s">
        <v>333</v>
      </c>
    </row>
    <row r="210" spans="2:4" ht="15">
      <c r="B210">
        <v>208</v>
      </c>
      <c r="C210" s="212" t="s">
        <v>334</v>
      </c>
      <c r="D210" t="s">
        <v>335</v>
      </c>
    </row>
    <row r="211" spans="2:4" ht="15">
      <c r="B211">
        <v>209</v>
      </c>
      <c r="C211" s="212" t="s">
        <v>197</v>
      </c>
      <c r="D211" t="s">
        <v>198</v>
      </c>
    </row>
    <row r="212" spans="2:4" ht="15">
      <c r="B212">
        <v>210</v>
      </c>
      <c r="C212" s="212" t="s">
        <v>336</v>
      </c>
      <c r="D212" t="s">
        <v>337</v>
      </c>
    </row>
    <row r="213" spans="2:4" ht="15">
      <c r="B213">
        <v>211</v>
      </c>
      <c r="C213" s="212" t="s">
        <v>338</v>
      </c>
      <c r="D213" t="s">
        <v>362</v>
      </c>
    </row>
    <row r="214" spans="2:4" ht="15">
      <c r="B214">
        <v>212</v>
      </c>
      <c r="C214" s="212" t="s">
        <v>339</v>
      </c>
      <c r="D214" t="s">
        <v>340</v>
      </c>
    </row>
    <row r="215" spans="2:4" ht="15">
      <c r="B215">
        <v>213</v>
      </c>
      <c r="C215" s="212" t="s">
        <v>341</v>
      </c>
      <c r="D215" t="s">
        <v>342</v>
      </c>
    </row>
    <row r="216" spans="2:4" ht="15">
      <c r="B216">
        <v>214</v>
      </c>
      <c r="C216" s="212" t="s">
        <v>203</v>
      </c>
      <c r="D216" t="s">
        <v>204</v>
      </c>
    </row>
    <row r="217" spans="2:4" ht="15">
      <c r="B217">
        <v>215</v>
      </c>
      <c r="C217" s="212" t="s">
        <v>11</v>
      </c>
      <c r="D217" t="s">
        <v>343</v>
      </c>
    </row>
    <row r="218" spans="2:4" ht="15">
      <c r="B218">
        <v>216</v>
      </c>
      <c r="C218" s="212" t="s">
        <v>325</v>
      </c>
      <c r="D218" t="s">
        <v>344</v>
      </c>
    </row>
    <row r="219" spans="2:4" ht="15">
      <c r="B219">
        <v>217</v>
      </c>
      <c r="C219" s="212" t="s">
        <v>345</v>
      </c>
      <c r="D219" t="s">
        <v>328</v>
      </c>
    </row>
    <row r="220" spans="2:8" ht="15" customHeight="1">
      <c r="B220">
        <v>218</v>
      </c>
      <c r="C220" s="212" t="s">
        <v>346</v>
      </c>
      <c r="D220" s="212" t="s">
        <v>347</v>
      </c>
      <c r="E220" s="212"/>
      <c r="F220" s="212"/>
      <c r="G220" s="212"/>
      <c r="H220" s="212"/>
    </row>
    <row r="221" spans="2:4" ht="15" customHeight="1">
      <c r="B221">
        <v>219</v>
      </c>
      <c r="C221" t="s">
        <v>394</v>
      </c>
      <c r="D221" t="s">
        <v>348</v>
      </c>
    </row>
    <row r="222" spans="2:4" ht="15">
      <c r="B222">
        <v>220</v>
      </c>
      <c r="C222" t="s">
        <v>349</v>
      </c>
      <c r="D222" t="s">
        <v>350</v>
      </c>
    </row>
    <row r="223" spans="2:4" ht="15">
      <c r="B223">
        <v>221</v>
      </c>
      <c r="C223" t="s">
        <v>351</v>
      </c>
      <c r="D223" t="s">
        <v>352</v>
      </c>
    </row>
    <row r="224" spans="2:4" ht="15">
      <c r="B224">
        <v>222</v>
      </c>
      <c r="C224" t="s">
        <v>359</v>
      </c>
      <c r="D224" t="s">
        <v>359</v>
      </c>
    </row>
    <row r="225" spans="2:4" ht="15">
      <c r="B225">
        <v>223</v>
      </c>
      <c r="C225" t="s">
        <v>357</v>
      </c>
      <c r="D225" t="s">
        <v>358</v>
      </c>
    </row>
    <row r="226" spans="2:4" ht="15">
      <c r="B226">
        <v>224</v>
      </c>
      <c r="C226" t="s">
        <v>360</v>
      </c>
      <c r="D226" t="s">
        <v>361</v>
      </c>
    </row>
    <row r="227" spans="2:4" ht="15">
      <c r="B227">
        <v>225</v>
      </c>
      <c r="C227" t="s">
        <v>353</v>
      </c>
      <c r="D227" t="s">
        <v>354</v>
      </c>
    </row>
    <row r="228" spans="2:4" ht="15">
      <c r="B228">
        <v>226</v>
      </c>
      <c r="C228" t="s">
        <v>363</v>
      </c>
      <c r="D228" t="s">
        <v>364</v>
      </c>
    </row>
    <row r="229" spans="2:4" ht="15">
      <c r="B229">
        <v>227</v>
      </c>
      <c r="C229" s="235" t="s">
        <v>355</v>
      </c>
      <c r="D229" t="s">
        <v>356</v>
      </c>
    </row>
    <row r="230" spans="2:4" ht="15">
      <c r="B230">
        <v>228</v>
      </c>
      <c r="C230" t="s">
        <v>393</v>
      </c>
      <c r="D230" t="s">
        <v>365</v>
      </c>
    </row>
    <row r="231" spans="2:4" ht="15">
      <c r="B231">
        <v>229</v>
      </c>
      <c r="C231" t="s">
        <v>366</v>
      </c>
      <c r="D231" t="s">
        <v>367</v>
      </c>
    </row>
    <row r="232" spans="2:4" ht="15">
      <c r="B232">
        <v>230</v>
      </c>
      <c r="C232" s="214" t="s">
        <v>16</v>
      </c>
      <c r="D232" t="s">
        <v>17</v>
      </c>
    </row>
    <row r="233" spans="2:4" ht="15">
      <c r="B233">
        <v>231</v>
      </c>
      <c r="C233" s="212" t="s">
        <v>368</v>
      </c>
      <c r="D233" t="s">
        <v>369</v>
      </c>
    </row>
    <row r="234" spans="2:4" ht="15">
      <c r="B234">
        <v>232</v>
      </c>
      <c r="C234" s="212" t="s">
        <v>25</v>
      </c>
      <c r="D234" t="s">
        <v>26</v>
      </c>
    </row>
    <row r="235" spans="2:4" ht="15">
      <c r="B235">
        <v>233</v>
      </c>
      <c r="C235" s="212" t="s">
        <v>370</v>
      </c>
      <c r="D235" t="s">
        <v>371</v>
      </c>
    </row>
    <row r="236" spans="2:4" ht="15">
      <c r="B236">
        <v>234</v>
      </c>
      <c r="C236" s="212" t="s">
        <v>372</v>
      </c>
      <c r="D236" t="s">
        <v>373</v>
      </c>
    </row>
    <row r="237" spans="2:4" ht="15">
      <c r="B237">
        <v>235</v>
      </c>
      <c r="C237" s="212" t="s">
        <v>31</v>
      </c>
      <c r="D237" t="s">
        <v>31</v>
      </c>
    </row>
    <row r="238" spans="2:4" ht="15">
      <c r="B238">
        <v>236</v>
      </c>
      <c r="C238" s="212" t="s">
        <v>374</v>
      </c>
      <c r="D238" t="s">
        <v>375</v>
      </c>
    </row>
    <row r="239" spans="2:4" ht="15">
      <c r="B239">
        <v>237</v>
      </c>
      <c r="C239" s="212" t="s">
        <v>33</v>
      </c>
      <c r="D239" t="s">
        <v>33</v>
      </c>
    </row>
    <row r="240" spans="2:4" ht="15">
      <c r="B240">
        <v>238</v>
      </c>
      <c r="C240" s="212" t="s">
        <v>376</v>
      </c>
      <c r="D240" t="s">
        <v>37</v>
      </c>
    </row>
    <row r="241" spans="2:4" ht="15">
      <c r="B241">
        <v>239</v>
      </c>
      <c r="C241" s="212" t="s">
        <v>377</v>
      </c>
      <c r="D241" t="s">
        <v>378</v>
      </c>
    </row>
    <row r="242" spans="2:4" ht="15">
      <c r="B242">
        <v>240</v>
      </c>
      <c r="C242" s="212" t="s">
        <v>379</v>
      </c>
      <c r="D242" t="s">
        <v>380</v>
      </c>
    </row>
    <row r="243" spans="2:4" ht="15">
      <c r="B243">
        <v>241</v>
      </c>
      <c r="C243" s="212" t="s">
        <v>381</v>
      </c>
      <c r="D243" t="s">
        <v>382</v>
      </c>
    </row>
    <row r="244" spans="2:4" ht="15">
      <c r="B244">
        <v>242</v>
      </c>
      <c r="C244" s="212" t="s">
        <v>383</v>
      </c>
      <c r="D244" t="s">
        <v>384</v>
      </c>
    </row>
    <row r="245" spans="2:4" ht="15">
      <c r="B245">
        <v>243</v>
      </c>
      <c r="C245" t="s">
        <v>385</v>
      </c>
      <c r="D245" t="s">
        <v>386</v>
      </c>
    </row>
    <row r="246" spans="2:4" ht="15">
      <c r="B246">
        <v>244</v>
      </c>
      <c r="C246" t="s">
        <v>387</v>
      </c>
      <c r="D246" t="s">
        <v>388</v>
      </c>
    </row>
    <row r="247" spans="2:4" ht="15.75">
      <c r="B247">
        <v>245</v>
      </c>
      <c r="C247" s="232" t="s">
        <v>389</v>
      </c>
      <c r="D247" s="232" t="s">
        <v>390</v>
      </c>
    </row>
    <row r="248" spans="2:4" ht="15">
      <c r="B248">
        <v>246</v>
      </c>
      <c r="C248" s="212" t="s">
        <v>391</v>
      </c>
      <c r="D248" t="s">
        <v>391</v>
      </c>
    </row>
    <row r="249" spans="2:4" ht="15">
      <c r="B249">
        <v>247</v>
      </c>
      <c r="C249" t="s">
        <v>395</v>
      </c>
      <c r="D249" t="s">
        <v>396</v>
      </c>
    </row>
    <row r="250" spans="2:4" ht="15">
      <c r="B250">
        <v>248</v>
      </c>
      <c r="C250" t="s">
        <v>397</v>
      </c>
      <c r="D250" t="s">
        <v>398</v>
      </c>
    </row>
    <row r="251" spans="2:4" ht="15">
      <c r="B251">
        <v>249</v>
      </c>
      <c r="C251" t="s">
        <v>399</v>
      </c>
      <c r="D251" t="s">
        <v>400</v>
      </c>
    </row>
    <row r="252" spans="2:4" ht="15">
      <c r="B252">
        <v>250</v>
      </c>
      <c r="C252" t="s">
        <v>401</v>
      </c>
      <c r="D252" t="s">
        <v>402</v>
      </c>
    </row>
    <row r="253" spans="2:4" ht="15">
      <c r="B253">
        <v>251</v>
      </c>
      <c r="C253" t="s">
        <v>403</v>
      </c>
      <c r="D253" t="s">
        <v>404</v>
      </c>
    </row>
    <row r="254" spans="2:4" ht="15">
      <c r="B254">
        <v>252</v>
      </c>
      <c r="C254" t="s">
        <v>405</v>
      </c>
      <c r="D254" t="s">
        <v>406</v>
      </c>
    </row>
    <row r="255" spans="2:4" ht="15">
      <c r="B255">
        <v>253</v>
      </c>
      <c r="C255" t="s">
        <v>407</v>
      </c>
      <c r="D255" t="s">
        <v>408</v>
      </c>
    </row>
    <row r="256" spans="2:4" ht="15">
      <c r="B256">
        <v>254</v>
      </c>
      <c r="C256" t="s">
        <v>409</v>
      </c>
      <c r="D256" t="s">
        <v>410</v>
      </c>
    </row>
    <row r="257" spans="2:4" ht="15">
      <c r="B257">
        <v>255</v>
      </c>
      <c r="C257" t="s">
        <v>423</v>
      </c>
      <c r="D257" t="s">
        <v>411</v>
      </c>
    </row>
    <row r="258" spans="2:4" ht="15">
      <c r="B258">
        <v>256</v>
      </c>
      <c r="C258" t="s">
        <v>549</v>
      </c>
      <c r="D258" t="s">
        <v>550</v>
      </c>
    </row>
    <row r="259" spans="2:4" ht="15">
      <c r="B259">
        <v>257</v>
      </c>
      <c r="C259" t="s">
        <v>422</v>
      </c>
      <c r="D259" t="s">
        <v>424</v>
      </c>
    </row>
    <row r="260" spans="2:4" ht="15">
      <c r="B260">
        <v>258</v>
      </c>
      <c r="C260" t="s">
        <v>419</v>
      </c>
      <c r="D260" t="s">
        <v>420</v>
      </c>
    </row>
    <row r="261" spans="2:4" ht="15">
      <c r="B261">
        <v>259</v>
      </c>
      <c r="C261" t="s">
        <v>425</v>
      </c>
      <c r="D261" t="s">
        <v>426</v>
      </c>
    </row>
    <row r="262" spans="2:4" ht="15">
      <c r="B262">
        <v>260</v>
      </c>
      <c r="C262" t="s">
        <v>427</v>
      </c>
      <c r="D262" t="s">
        <v>428</v>
      </c>
    </row>
    <row r="263" spans="2:4" ht="15">
      <c r="B263">
        <v>261</v>
      </c>
      <c r="C263" t="s">
        <v>429</v>
      </c>
      <c r="D263" t="s">
        <v>430</v>
      </c>
    </row>
    <row r="264" spans="2:4" ht="15">
      <c r="B264">
        <v>262</v>
      </c>
      <c r="C264" t="s">
        <v>431</v>
      </c>
      <c r="D264" t="s">
        <v>432</v>
      </c>
    </row>
    <row r="265" spans="2:4" ht="15">
      <c r="B265">
        <v>263</v>
      </c>
      <c r="C265" t="s">
        <v>433</v>
      </c>
      <c r="D265" t="s">
        <v>434</v>
      </c>
    </row>
    <row r="266" spans="2:4" ht="15">
      <c r="B266">
        <v>264</v>
      </c>
      <c r="C266" t="s">
        <v>446</v>
      </c>
      <c r="D266" t="s">
        <v>447</v>
      </c>
    </row>
    <row r="267" spans="2:4" ht="15" customHeight="1">
      <c r="B267">
        <v>265</v>
      </c>
      <c r="C267" t="s">
        <v>435</v>
      </c>
      <c r="D267" t="s">
        <v>436</v>
      </c>
    </row>
    <row r="268" spans="2:4" ht="15">
      <c r="B268">
        <v>266</v>
      </c>
      <c r="C268" t="s">
        <v>445</v>
      </c>
      <c r="D268" t="s">
        <v>444</v>
      </c>
    </row>
    <row r="269" spans="2:4" ht="15">
      <c r="B269">
        <v>267</v>
      </c>
      <c r="C269" t="s">
        <v>437</v>
      </c>
      <c r="D269" t="s">
        <v>438</v>
      </c>
    </row>
    <row r="270" spans="2:4" ht="15">
      <c r="B270">
        <v>268</v>
      </c>
      <c r="C270" t="s">
        <v>448</v>
      </c>
      <c r="D270" t="s">
        <v>439</v>
      </c>
    </row>
    <row r="271" spans="2:4" ht="15">
      <c r="B271">
        <v>269</v>
      </c>
      <c r="C271" t="s">
        <v>441</v>
      </c>
      <c r="D271" t="s">
        <v>440</v>
      </c>
    </row>
    <row r="272" spans="2:4" ht="15">
      <c r="B272">
        <v>270</v>
      </c>
      <c r="C272" t="s">
        <v>443</v>
      </c>
      <c r="D272" t="s">
        <v>442</v>
      </c>
    </row>
    <row r="273" spans="2:4" ht="15">
      <c r="B273">
        <v>271</v>
      </c>
      <c r="C273" t="s">
        <v>449</v>
      </c>
      <c r="D273" t="s">
        <v>450</v>
      </c>
    </row>
    <row r="274" spans="2:4" ht="15">
      <c r="B274">
        <v>272</v>
      </c>
      <c r="C274" t="s">
        <v>451</v>
      </c>
      <c r="D274" t="s">
        <v>452</v>
      </c>
    </row>
    <row r="275" spans="2:4" ht="15">
      <c r="B275">
        <v>273</v>
      </c>
      <c r="C275" s="282" t="s">
        <v>453</v>
      </c>
      <c r="D275" s="282" t="s">
        <v>454</v>
      </c>
    </row>
    <row r="276" spans="2:4" ht="15.75">
      <c r="B276">
        <v>274</v>
      </c>
      <c r="C276" s="283" t="s">
        <v>551</v>
      </c>
      <c r="D276" t="s">
        <v>455</v>
      </c>
    </row>
    <row r="277" spans="2:4" ht="15">
      <c r="B277">
        <v>275</v>
      </c>
      <c r="C277" s="283" t="s">
        <v>456</v>
      </c>
      <c r="D277" t="s">
        <v>457</v>
      </c>
    </row>
    <row r="278" spans="2:4" ht="15">
      <c r="B278">
        <v>276</v>
      </c>
      <c r="C278" s="283" t="s">
        <v>458</v>
      </c>
      <c r="D278" t="s">
        <v>459</v>
      </c>
    </row>
    <row r="279" spans="2:4" ht="15">
      <c r="B279">
        <v>277</v>
      </c>
      <c r="C279" s="283" t="s">
        <v>460</v>
      </c>
      <c r="D279" t="s">
        <v>461</v>
      </c>
    </row>
    <row r="280" spans="2:4" ht="15">
      <c r="B280">
        <v>278</v>
      </c>
      <c r="C280" s="283" t="s">
        <v>462</v>
      </c>
      <c r="D280" t="s">
        <v>463</v>
      </c>
    </row>
    <row r="281" spans="2:4" ht="15">
      <c r="B281">
        <v>279</v>
      </c>
      <c r="C281" s="283" t="s">
        <v>464</v>
      </c>
      <c r="D281" t="s">
        <v>465</v>
      </c>
    </row>
    <row r="282" spans="2:4" ht="15.75">
      <c r="B282">
        <v>280</v>
      </c>
      <c r="C282" s="232" t="s">
        <v>466</v>
      </c>
      <c r="D282" s="232" t="s">
        <v>466</v>
      </c>
    </row>
    <row r="283" spans="2:4" ht="15">
      <c r="B283">
        <v>281</v>
      </c>
      <c r="C283" s="283" t="s">
        <v>467</v>
      </c>
      <c r="D283" t="s">
        <v>468</v>
      </c>
    </row>
    <row r="284" spans="2:4" ht="15.75">
      <c r="B284">
        <v>282</v>
      </c>
      <c r="C284" s="232" t="s">
        <v>469</v>
      </c>
      <c r="D284" t="s">
        <v>470</v>
      </c>
    </row>
    <row r="285" spans="2:4" ht="15.75">
      <c r="B285">
        <v>283</v>
      </c>
      <c r="C285" s="232" t="s">
        <v>36</v>
      </c>
      <c r="D285" s="232" t="s">
        <v>528</v>
      </c>
    </row>
    <row r="286" spans="2:4" ht="15.75">
      <c r="B286">
        <v>284</v>
      </c>
      <c r="C286" s="232" t="s">
        <v>471</v>
      </c>
      <c r="D286" t="s">
        <v>472</v>
      </c>
    </row>
    <row r="287" spans="2:4" ht="15.75">
      <c r="B287">
        <v>285</v>
      </c>
      <c r="C287" s="232" t="s">
        <v>473</v>
      </c>
      <c r="D287" s="212" t="s">
        <v>474</v>
      </c>
    </row>
    <row r="288" spans="2:4" ht="15.75">
      <c r="B288">
        <v>286</v>
      </c>
      <c r="C288" s="232" t="s">
        <v>475</v>
      </c>
      <c r="D288" s="212" t="s">
        <v>476</v>
      </c>
    </row>
    <row r="289" spans="2:4" ht="15.75">
      <c r="B289">
        <v>287</v>
      </c>
      <c r="C289" s="232" t="s">
        <v>477</v>
      </c>
      <c r="D289" s="214" t="s">
        <v>478</v>
      </c>
    </row>
    <row r="290" spans="2:4" ht="15.75">
      <c r="B290">
        <v>288</v>
      </c>
      <c r="C290" s="232" t="s">
        <v>479</v>
      </c>
      <c r="D290" s="214" t="s">
        <v>480</v>
      </c>
    </row>
    <row r="291" spans="2:4" ht="15.75">
      <c r="B291">
        <v>289</v>
      </c>
      <c r="C291" s="232" t="s">
        <v>481</v>
      </c>
      <c r="D291" s="212" t="s">
        <v>482</v>
      </c>
    </row>
    <row r="292" spans="2:4" ht="15.75">
      <c r="B292">
        <v>290</v>
      </c>
      <c r="C292" s="232" t="s">
        <v>483</v>
      </c>
      <c r="D292" s="212" t="s">
        <v>484</v>
      </c>
    </row>
    <row r="293" spans="2:4" ht="15.75">
      <c r="B293">
        <v>291</v>
      </c>
      <c r="C293" s="232" t="s">
        <v>485</v>
      </c>
      <c r="D293" s="214" t="s">
        <v>486</v>
      </c>
    </row>
    <row r="294" spans="2:4" ht="15.75">
      <c r="B294">
        <v>292</v>
      </c>
      <c r="C294" s="232" t="s">
        <v>487</v>
      </c>
      <c r="D294" s="212" t="s">
        <v>488</v>
      </c>
    </row>
    <row r="295" spans="2:4" ht="15.75">
      <c r="B295">
        <v>293</v>
      </c>
      <c r="C295" s="232" t="s">
        <v>489</v>
      </c>
      <c r="D295" s="212" t="s">
        <v>490</v>
      </c>
    </row>
    <row r="296" spans="2:4" ht="15.75">
      <c r="B296">
        <v>294</v>
      </c>
      <c r="C296" s="232" t="s">
        <v>491</v>
      </c>
      <c r="D296" s="214" t="s">
        <v>492</v>
      </c>
    </row>
    <row r="297" spans="2:4" ht="15.75">
      <c r="B297">
        <v>295</v>
      </c>
      <c r="C297" s="232" t="s">
        <v>493</v>
      </c>
      <c r="D297" s="232" t="s">
        <v>494</v>
      </c>
    </row>
    <row r="298" spans="2:4" ht="15">
      <c r="B298">
        <v>296</v>
      </c>
      <c r="C298" s="212" t="s">
        <v>495</v>
      </c>
      <c r="D298" t="s">
        <v>496</v>
      </c>
    </row>
    <row r="299" spans="2:11" ht="15">
      <c r="B299">
        <v>297</v>
      </c>
      <c r="C299" t="s">
        <v>532</v>
      </c>
      <c r="D299" t="s">
        <v>533</v>
      </c>
      <c r="E299" s="284"/>
      <c r="F299" s="284"/>
      <c r="G299" s="284"/>
      <c r="H299" s="284"/>
      <c r="I299" s="284"/>
      <c r="J299" s="284"/>
      <c r="K299" s="284"/>
    </row>
    <row r="300" spans="2:4" ht="15">
      <c r="B300">
        <v>298</v>
      </c>
      <c r="C300" t="s">
        <v>503</v>
      </c>
      <c r="D300" t="s">
        <v>504</v>
      </c>
    </row>
    <row r="301" spans="2:4" ht="15.75">
      <c r="B301">
        <v>299</v>
      </c>
      <c r="C301" s="232" t="s">
        <v>497</v>
      </c>
      <c r="D301" t="s">
        <v>498</v>
      </c>
    </row>
    <row r="302" spans="2:4" ht="15.75">
      <c r="B302">
        <v>300</v>
      </c>
      <c r="C302" s="232" t="s">
        <v>499</v>
      </c>
      <c r="D302" s="232" t="s">
        <v>500</v>
      </c>
    </row>
    <row r="303" spans="2:4" ht="15">
      <c r="B303">
        <v>301</v>
      </c>
      <c r="C303" t="s">
        <v>501</v>
      </c>
      <c r="D303" t="s">
        <v>502</v>
      </c>
    </row>
    <row r="304" spans="2:4" ht="15">
      <c r="B304">
        <v>302</v>
      </c>
      <c r="C304" t="s">
        <v>505</v>
      </c>
      <c r="D304" t="s">
        <v>506</v>
      </c>
    </row>
    <row r="305" spans="2:4" ht="15.75">
      <c r="B305">
        <v>303</v>
      </c>
      <c r="C305" s="288" t="s">
        <v>507</v>
      </c>
      <c r="D305" s="288" t="s">
        <v>508</v>
      </c>
    </row>
    <row r="306" spans="2:4" ht="15.75">
      <c r="B306">
        <v>304</v>
      </c>
      <c r="C306" s="283" t="s">
        <v>552</v>
      </c>
      <c r="D306" t="s">
        <v>509</v>
      </c>
    </row>
    <row r="307" spans="2:4" ht="15">
      <c r="B307">
        <v>305</v>
      </c>
      <c r="C307" t="s">
        <v>510</v>
      </c>
      <c r="D307" t="s">
        <v>511</v>
      </c>
    </row>
    <row r="308" spans="2:4" ht="15">
      <c r="B308">
        <v>306</v>
      </c>
      <c r="C308" t="s">
        <v>512</v>
      </c>
      <c r="D308" t="s">
        <v>513</v>
      </c>
    </row>
    <row r="309" spans="2:4" ht="15">
      <c r="B309">
        <v>307</v>
      </c>
      <c r="C309" t="s">
        <v>514</v>
      </c>
      <c r="D309" t="s">
        <v>515</v>
      </c>
    </row>
    <row r="310" spans="2:4" ht="15">
      <c r="B310">
        <v>308</v>
      </c>
      <c r="C310" t="s">
        <v>516</v>
      </c>
      <c r="D310" t="s">
        <v>517</v>
      </c>
    </row>
    <row r="311" spans="2:4" ht="15.75">
      <c r="B311">
        <v>309</v>
      </c>
      <c r="C311" s="283" t="s">
        <v>553</v>
      </c>
      <c r="D311" t="s">
        <v>518</v>
      </c>
    </row>
    <row r="312" spans="2:4" ht="15.75">
      <c r="B312">
        <v>310</v>
      </c>
      <c r="C312" s="283" t="s">
        <v>554</v>
      </c>
      <c r="D312" t="s">
        <v>519</v>
      </c>
    </row>
    <row r="313" spans="2:4" ht="15">
      <c r="B313">
        <v>311</v>
      </c>
      <c r="C313" t="s">
        <v>534</v>
      </c>
      <c r="D313" t="s">
        <v>535</v>
      </c>
    </row>
    <row r="314" spans="2:4" ht="15">
      <c r="B314">
        <v>312</v>
      </c>
      <c r="C314" t="s">
        <v>529</v>
      </c>
      <c r="D314" t="s">
        <v>530</v>
      </c>
    </row>
    <row r="315" spans="2:4" ht="15">
      <c r="B315">
        <v>313</v>
      </c>
      <c r="C315" t="s">
        <v>536</v>
      </c>
      <c r="D315" t="s">
        <v>555</v>
      </c>
    </row>
    <row r="316" spans="2:4" ht="15">
      <c r="B316">
        <v>314</v>
      </c>
      <c r="C316" t="s">
        <v>537</v>
      </c>
      <c r="D316" t="s">
        <v>538</v>
      </c>
    </row>
    <row r="317" spans="2:4" ht="15">
      <c r="B317">
        <v>315</v>
      </c>
      <c r="C317" t="s">
        <v>539</v>
      </c>
      <c r="D317" t="s">
        <v>540</v>
      </c>
    </row>
    <row r="318" spans="2:4" ht="15">
      <c r="B318">
        <v>316</v>
      </c>
      <c r="C318" t="s">
        <v>541</v>
      </c>
      <c r="D318" t="s">
        <v>542</v>
      </c>
    </row>
    <row r="319" spans="2:4" ht="15">
      <c r="B319">
        <v>317</v>
      </c>
      <c r="C319" t="s">
        <v>543</v>
      </c>
      <c r="D319" t="s">
        <v>544</v>
      </c>
    </row>
    <row r="320" spans="2:4" ht="15">
      <c r="B320">
        <v>318</v>
      </c>
      <c r="C320" t="s">
        <v>520</v>
      </c>
      <c r="D320" t="s">
        <v>504</v>
      </c>
    </row>
    <row r="321" spans="2:4" ht="15">
      <c r="B321">
        <v>319</v>
      </c>
      <c r="C321" t="s">
        <v>545</v>
      </c>
      <c r="D321" t="s">
        <v>546</v>
      </c>
    </row>
    <row r="322" spans="2:4" ht="15">
      <c r="B322">
        <v>320</v>
      </c>
      <c r="C322" t="s">
        <v>547</v>
      </c>
      <c r="D322" t="s">
        <v>548</v>
      </c>
    </row>
    <row r="1000" ht="15">
      <c r="A1000" t="s">
        <v>392</v>
      </c>
    </row>
  </sheetData>
  <sheetProtection/>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O997"/>
  <sheetViews>
    <sheetView showGridLines="0" zoomScalePageLayoutView="0" workbookViewId="0" topLeftCell="A1">
      <selection activeCell="A1" sqref="A1"/>
    </sheetView>
  </sheetViews>
  <sheetFormatPr defaultColWidth="11.421875" defaultRowHeight="15"/>
  <cols>
    <col min="1" max="1" width="62.00390625" style="31" customWidth="1"/>
    <col min="2" max="2" width="12.8515625" style="31" customWidth="1"/>
    <col min="3" max="3" width="13.00390625" style="31" customWidth="1"/>
    <col min="4" max="8" width="11.421875" style="31" customWidth="1"/>
    <col min="9" max="9" width="0" style="31" hidden="1" customWidth="1"/>
    <col min="10" max="16384" width="11.421875" style="31" customWidth="1"/>
  </cols>
  <sheetData>
    <row r="1" spans="1:9" ht="18">
      <c r="A1" s="29" t="str">
        <f>HLOOKUP(INDICE!$F$2,Nombres!$C$3:$D$636,15,FALSE)</f>
        <v>Chile</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13">
        <f>+España!B6</f>
        <v>2021</v>
      </c>
      <c r="C6" s="313"/>
      <c r="D6" s="313"/>
      <c r="E6" s="314"/>
      <c r="F6" s="313">
        <f>+España!F6</f>
        <v>2022</v>
      </c>
      <c r="G6" s="313"/>
      <c r="H6" s="313"/>
      <c r="I6" s="313"/>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50">
        <v>33.449</v>
      </c>
      <c r="C8" s="50">
        <v>36.57300000000001</v>
      </c>
      <c r="D8" s="50">
        <v>34.124</v>
      </c>
      <c r="E8" s="271">
        <v>34.707</v>
      </c>
      <c r="F8" s="50">
        <v>33.682</v>
      </c>
      <c r="G8" s="50">
        <v>33.482</v>
      </c>
      <c r="H8" s="50">
        <v>32.52799999999999</v>
      </c>
      <c r="I8" s="50">
        <v>0</v>
      </c>
    </row>
    <row r="9" spans="1:9" ht="15">
      <c r="A9" s="43" t="str">
        <f>HLOOKUP(INDICE!$F$2,Nombres!$C$3:$D$636,34,FALSE)</f>
        <v>Comisiones netas</v>
      </c>
      <c r="B9" s="44">
        <v>-4.187999999999999</v>
      </c>
      <c r="C9" s="44">
        <v>-4.568000000000001</v>
      </c>
      <c r="D9" s="44">
        <v>-0.8979999999999991</v>
      </c>
      <c r="E9" s="45">
        <v>2.3269999999999964</v>
      </c>
      <c r="F9" s="44">
        <v>5</v>
      </c>
      <c r="G9" s="44">
        <v>3.191</v>
      </c>
      <c r="H9" s="44">
        <v>3.9139999999999993</v>
      </c>
      <c r="I9" s="44">
        <v>0</v>
      </c>
    </row>
    <row r="10" spans="1:9" ht="15">
      <c r="A10" s="43" t="str">
        <f>HLOOKUP(INDICE!$F$2,Nombres!$C$3:$D$636,35,FALSE)</f>
        <v>Resultados de operaciones financieras</v>
      </c>
      <c r="B10" s="44">
        <v>0.04000000000000001</v>
      </c>
      <c r="C10" s="44">
        <v>-0.034</v>
      </c>
      <c r="D10" s="44">
        <v>0.517</v>
      </c>
      <c r="E10" s="45">
        <v>0.44</v>
      </c>
      <c r="F10" s="44">
        <v>1.4220000000000002</v>
      </c>
      <c r="G10" s="44">
        <v>1.581</v>
      </c>
      <c r="H10" s="44">
        <v>1.4719999999999998</v>
      </c>
      <c r="I10" s="44">
        <v>0</v>
      </c>
    </row>
    <row r="11" spans="1:9" ht="15">
      <c r="A11" s="43" t="str">
        <f>HLOOKUP(INDICE!$F$2,Nombres!$C$3:$D$636,36,FALSE)</f>
        <v>Otros ingresos y cargas de explotación</v>
      </c>
      <c r="B11" s="44">
        <v>-0.5</v>
      </c>
      <c r="C11" s="44">
        <v>0.39100000000000007</v>
      </c>
      <c r="D11" s="44">
        <v>0.182</v>
      </c>
      <c r="E11" s="45">
        <v>-0.081</v>
      </c>
      <c r="F11" s="44">
        <v>-0.11699999999999999</v>
      </c>
      <c r="G11" s="44">
        <v>-0.206</v>
      </c>
      <c r="H11" s="44">
        <v>-0.21999999999999997</v>
      </c>
      <c r="I11" s="44">
        <v>0</v>
      </c>
    </row>
    <row r="12" spans="1:9" ht="15">
      <c r="A12" s="41" t="str">
        <f>HLOOKUP(INDICE!$F$2,Nombres!$C$3:$D$636,37,FALSE)</f>
        <v>Margen bruto</v>
      </c>
      <c r="B12" s="50">
        <f aca="true" t="shared" si="0" ref="B12:I12">+SUM(B8:B11)</f>
        <v>28.801</v>
      </c>
      <c r="C12" s="50">
        <f t="shared" si="0"/>
        <v>32.36200000000001</v>
      </c>
      <c r="D12" s="50">
        <f t="shared" si="0"/>
        <v>33.92500000000001</v>
      </c>
      <c r="E12" s="271">
        <f t="shared" si="0"/>
        <v>37.392999999999994</v>
      </c>
      <c r="F12" s="50">
        <f t="shared" si="0"/>
        <v>39.987</v>
      </c>
      <c r="G12" s="50">
        <f t="shared" si="0"/>
        <v>38.048</v>
      </c>
      <c r="H12" s="50">
        <f t="shared" si="0"/>
        <v>37.693999999999996</v>
      </c>
      <c r="I12" s="50">
        <f t="shared" si="0"/>
        <v>0</v>
      </c>
    </row>
    <row r="13" spans="1:9" ht="15">
      <c r="A13" s="43" t="str">
        <f>HLOOKUP(INDICE!$F$2,Nombres!$C$3:$D$636,38,FALSE)</f>
        <v>Gastos de explotación</v>
      </c>
      <c r="B13" s="44">
        <v>-14.449659</v>
      </c>
      <c r="C13" s="44">
        <v>-13.405659000000002</v>
      </c>
      <c r="D13" s="44">
        <v>-8.705659</v>
      </c>
      <c r="E13" s="45">
        <v>-11.887659</v>
      </c>
      <c r="F13" s="44">
        <v>-12.910109000000002</v>
      </c>
      <c r="G13" s="44">
        <v>-13.933108</v>
      </c>
      <c r="H13" s="44">
        <v>-15.075778619999998</v>
      </c>
      <c r="I13" s="44">
        <v>0</v>
      </c>
    </row>
    <row r="14" spans="1:9" ht="15">
      <c r="A14" s="43" t="str">
        <f>HLOOKUP(INDICE!$F$2,Nombres!$C$3:$D$636,39,FALSE)</f>
        <v>  Gastos de administración</v>
      </c>
      <c r="B14" s="44">
        <v>-13.328659000000002</v>
      </c>
      <c r="C14" s="44">
        <v>-12.290659000000003</v>
      </c>
      <c r="D14" s="44">
        <v>-7.638659</v>
      </c>
      <c r="E14" s="45">
        <v>-10.706659</v>
      </c>
      <c r="F14" s="44">
        <v>-11.585109</v>
      </c>
      <c r="G14" s="44">
        <v>-12.615108</v>
      </c>
      <c r="H14" s="44">
        <v>-13.81577862</v>
      </c>
      <c r="I14" s="44">
        <v>0</v>
      </c>
    </row>
    <row r="15" spans="1:9" ht="15">
      <c r="A15" s="46" t="str">
        <f>HLOOKUP(INDICE!$F$2,Nombres!$C$3:$D$636,40,FALSE)</f>
        <v>  Gastos de personal</v>
      </c>
      <c r="B15" s="44">
        <v>-5.585</v>
      </c>
      <c r="C15" s="44">
        <v>-5.62</v>
      </c>
      <c r="D15" s="44">
        <v>-5.567</v>
      </c>
      <c r="E15" s="45">
        <v>-5.902999999999999</v>
      </c>
      <c r="F15" s="44">
        <v>-5.876999999999999</v>
      </c>
      <c r="G15" s="44">
        <v>-5.970000000000001</v>
      </c>
      <c r="H15" s="44">
        <v>-6.629999999999999</v>
      </c>
      <c r="I15" s="44">
        <v>0</v>
      </c>
    </row>
    <row r="16" spans="1:9" ht="15">
      <c r="A16" s="46" t="str">
        <f>HLOOKUP(INDICE!$F$2,Nombres!$C$3:$D$636,41,FALSE)</f>
        <v>  Otros gastos de administración</v>
      </c>
      <c r="B16" s="44">
        <v>-7.743659000000001</v>
      </c>
      <c r="C16" s="44">
        <v>-6.670659000000001</v>
      </c>
      <c r="D16" s="44">
        <v>-2.0716589999999986</v>
      </c>
      <c r="E16" s="45">
        <v>-4.803659</v>
      </c>
      <c r="F16" s="44">
        <v>-5.708109</v>
      </c>
      <c r="G16" s="44">
        <v>-6.645108</v>
      </c>
      <c r="H16" s="44">
        <v>-7.185778619999999</v>
      </c>
      <c r="I16" s="44">
        <v>0</v>
      </c>
    </row>
    <row r="17" spans="1:9" ht="15">
      <c r="A17" s="43" t="str">
        <f>HLOOKUP(INDICE!$F$2,Nombres!$C$3:$D$636,42,FALSE)</f>
        <v>  Amortización</v>
      </c>
      <c r="B17" s="44">
        <v>-1.121</v>
      </c>
      <c r="C17" s="44">
        <v>-1.115</v>
      </c>
      <c r="D17" s="44">
        <v>-1.0670000000000002</v>
      </c>
      <c r="E17" s="45">
        <v>-1.1809999999999998</v>
      </c>
      <c r="F17" s="44">
        <v>-1.3250000000000002</v>
      </c>
      <c r="G17" s="44">
        <v>-1.318</v>
      </c>
      <c r="H17" s="44">
        <v>-1.2600000000000002</v>
      </c>
      <c r="I17" s="44">
        <v>0</v>
      </c>
    </row>
    <row r="18" spans="1:9" ht="15">
      <c r="A18" s="41" t="str">
        <f>HLOOKUP(INDICE!$F$2,Nombres!$C$3:$D$636,43,FALSE)</f>
        <v>Margen neto</v>
      </c>
      <c r="B18" s="50">
        <f aca="true" t="shared" si="1" ref="B18:I18">+B12+B13</f>
        <v>14.351340999999998</v>
      </c>
      <c r="C18" s="50">
        <f t="shared" si="1"/>
        <v>18.95634100000001</v>
      </c>
      <c r="D18" s="50">
        <f t="shared" si="1"/>
        <v>25.21934100000001</v>
      </c>
      <c r="E18" s="271">
        <f t="shared" si="1"/>
        <v>25.505340999999994</v>
      </c>
      <c r="F18" s="50">
        <f t="shared" si="1"/>
        <v>27.076891</v>
      </c>
      <c r="G18" s="50">
        <f t="shared" si="1"/>
        <v>24.114892</v>
      </c>
      <c r="H18" s="50">
        <f t="shared" si="1"/>
        <v>22.618221379999998</v>
      </c>
      <c r="I18" s="50">
        <f t="shared" si="1"/>
        <v>0</v>
      </c>
    </row>
    <row r="19" spans="1:9" ht="15">
      <c r="A19" s="43" t="str">
        <f>HLOOKUP(INDICE!$F$2,Nombres!$C$3:$D$636,44,FALSE)</f>
        <v>Deterioro de activos financieros no valorados a valor razonable con cambios en resultados</v>
      </c>
      <c r="B19" s="44">
        <v>0.5200000000000006</v>
      </c>
      <c r="C19" s="44">
        <v>1.5740000000000003</v>
      </c>
      <c r="D19" s="44">
        <v>-5.572</v>
      </c>
      <c r="E19" s="45">
        <v>-6.531000000000002</v>
      </c>
      <c r="F19" s="44">
        <v>-3.9930000000000003</v>
      </c>
      <c r="G19" s="44">
        <v>-10.717000000000002</v>
      </c>
      <c r="H19" s="44">
        <v>-7.6979999999999995</v>
      </c>
      <c r="I19" s="44">
        <v>0</v>
      </c>
    </row>
    <row r="20" spans="1:9" ht="15">
      <c r="A20" s="43" t="str">
        <f>HLOOKUP(INDICE!$F$2,Nombres!$C$3:$D$636,45,FALSE)</f>
        <v>Provisiones o reversión de provisiones y otros resultados</v>
      </c>
      <c r="B20" s="44">
        <v>0.455</v>
      </c>
      <c r="C20" s="44">
        <v>0.28099999999999997</v>
      </c>
      <c r="D20" s="44">
        <v>0.4830000000000001</v>
      </c>
      <c r="E20" s="45">
        <v>-4.24</v>
      </c>
      <c r="F20" s="44">
        <v>0.132</v>
      </c>
      <c r="G20" s="44">
        <v>0.02599999999999998</v>
      </c>
      <c r="H20" s="44">
        <v>-0.11199999999999999</v>
      </c>
      <c r="I20" s="44">
        <v>0</v>
      </c>
    </row>
    <row r="21" spans="1:9" ht="15">
      <c r="A21" s="41" t="str">
        <f>HLOOKUP(INDICE!$F$2,Nombres!$C$3:$D$636,46,FALSE)</f>
        <v>Resultado antes de impuestos</v>
      </c>
      <c r="B21" s="50">
        <f aca="true" t="shared" si="2" ref="B21:I21">+B18+B19+B20</f>
        <v>15.326341</v>
      </c>
      <c r="C21" s="50">
        <f t="shared" si="2"/>
        <v>20.81134100000001</v>
      </c>
      <c r="D21" s="50">
        <f t="shared" si="2"/>
        <v>20.130341000000012</v>
      </c>
      <c r="E21" s="271">
        <f t="shared" si="2"/>
        <v>14.734340999999992</v>
      </c>
      <c r="F21" s="50">
        <f t="shared" si="2"/>
        <v>23.215891000000003</v>
      </c>
      <c r="G21" s="50">
        <f t="shared" si="2"/>
        <v>13.423891999999999</v>
      </c>
      <c r="H21" s="50">
        <f t="shared" si="2"/>
        <v>14.808221379999997</v>
      </c>
      <c r="I21" s="50">
        <f t="shared" si="2"/>
        <v>0</v>
      </c>
    </row>
    <row r="22" spans="1:9" ht="15">
      <c r="A22" s="43" t="str">
        <f>HLOOKUP(INDICE!$F$2,Nombres!$C$3:$D$636,47,FALSE)</f>
        <v>Impuesto sobre beneficios</v>
      </c>
      <c r="B22" s="44">
        <v>-3.4912023</v>
      </c>
      <c r="C22" s="44">
        <v>-5.184202299999999</v>
      </c>
      <c r="D22" s="44">
        <v>-4.854202300000001</v>
      </c>
      <c r="E22" s="45">
        <v>-2.076202300000001</v>
      </c>
      <c r="F22" s="44">
        <v>-4.7428673</v>
      </c>
      <c r="G22" s="44">
        <v>-0.041867600000000005</v>
      </c>
      <c r="H22" s="44">
        <v>-1.1706664200000003</v>
      </c>
      <c r="I22" s="44">
        <v>0</v>
      </c>
    </row>
    <row r="23" spans="1:9" ht="15">
      <c r="A23" s="41" t="str">
        <f>HLOOKUP(INDICE!$F$2,Nombres!$C$3:$D$636,48,FALSE)</f>
        <v>Resultado del ejercicio</v>
      </c>
      <c r="B23" s="50">
        <f aca="true" t="shared" si="3" ref="B23:I23">+B21+B22</f>
        <v>11.8351387</v>
      </c>
      <c r="C23" s="50">
        <f t="shared" si="3"/>
        <v>15.62713870000001</v>
      </c>
      <c r="D23" s="50">
        <f t="shared" si="3"/>
        <v>15.276138700000011</v>
      </c>
      <c r="E23" s="271">
        <f t="shared" si="3"/>
        <v>12.658138699999991</v>
      </c>
      <c r="F23" s="50">
        <f t="shared" si="3"/>
        <v>18.473023700000002</v>
      </c>
      <c r="G23" s="50">
        <f t="shared" si="3"/>
        <v>13.382024399999999</v>
      </c>
      <c r="H23" s="50">
        <f t="shared" si="3"/>
        <v>13.637554959999997</v>
      </c>
      <c r="I23" s="50">
        <f t="shared" si="3"/>
        <v>0</v>
      </c>
    </row>
    <row r="24" spans="1:9" ht="15">
      <c r="A24" s="43" t="str">
        <f>HLOOKUP(INDICE!$F$2,Nombres!$C$3:$D$636,49,FALSE)</f>
        <v>Minoritarios</v>
      </c>
      <c r="B24" s="44">
        <v>0</v>
      </c>
      <c r="C24" s="44">
        <v>0</v>
      </c>
      <c r="D24" s="44">
        <v>0</v>
      </c>
      <c r="E24" s="45">
        <v>0</v>
      </c>
      <c r="F24" s="44">
        <v>0</v>
      </c>
      <c r="G24" s="44">
        <v>0</v>
      </c>
      <c r="H24" s="44">
        <v>0</v>
      </c>
      <c r="I24" s="44">
        <v>0</v>
      </c>
    </row>
    <row r="25" spans="1:9" ht="15">
      <c r="A25" s="47" t="str">
        <f>HLOOKUP(INDICE!$F$2,Nombres!$C$3:$D$636,50,FALSE)</f>
        <v>Resultado atribuido</v>
      </c>
      <c r="B25" s="51">
        <f aca="true" t="shared" si="4" ref="B25:I25">+B23+B24</f>
        <v>11.8351387</v>
      </c>
      <c r="C25" s="51">
        <f t="shared" si="4"/>
        <v>15.62713870000001</v>
      </c>
      <c r="D25" s="51">
        <f t="shared" si="4"/>
        <v>15.276138700000011</v>
      </c>
      <c r="E25" s="79">
        <f t="shared" si="4"/>
        <v>12.658138699999991</v>
      </c>
      <c r="F25" s="51">
        <f t="shared" si="4"/>
        <v>18.473023700000002</v>
      </c>
      <c r="G25" s="51">
        <f t="shared" si="4"/>
        <v>13.382024399999999</v>
      </c>
      <c r="H25" s="51">
        <f t="shared" si="4"/>
        <v>13.637554959999997</v>
      </c>
      <c r="I25" s="51">
        <f t="shared" si="4"/>
        <v>0</v>
      </c>
    </row>
    <row r="26" spans="1:9" ht="15">
      <c r="A26" s="270"/>
      <c r="B26" s="63">
        <v>0</v>
      </c>
      <c r="C26" s="63">
        <v>0</v>
      </c>
      <c r="D26" s="63">
        <v>0</v>
      </c>
      <c r="E26" s="63">
        <v>0</v>
      </c>
      <c r="F26" s="63">
        <v>0</v>
      </c>
      <c r="G26" s="63">
        <v>0</v>
      </c>
      <c r="H26" s="63">
        <v>0</v>
      </c>
      <c r="I26" s="63">
        <v>0</v>
      </c>
    </row>
    <row r="27" spans="1:13" s="280" customFormat="1" ht="15">
      <c r="A27" s="41"/>
      <c r="B27" s="41"/>
      <c r="C27" s="41"/>
      <c r="D27" s="41"/>
      <c r="E27" s="41"/>
      <c r="F27" s="41"/>
      <c r="G27" s="41"/>
      <c r="H27" s="41"/>
      <c r="I27" s="41"/>
      <c r="J27" s="31"/>
      <c r="K27" s="31"/>
      <c r="L27" s="31"/>
      <c r="M27" s="31"/>
    </row>
    <row r="28" spans="1:13" s="280" customFormat="1" ht="18">
      <c r="A28" s="33" t="str">
        <f>HLOOKUP(INDICE!$F$2,Nombres!$C$3:$D$636,51,FALSE)</f>
        <v>Balances</v>
      </c>
      <c r="B28" s="34"/>
      <c r="C28" s="34"/>
      <c r="D28" s="34"/>
      <c r="E28" s="34"/>
      <c r="F28" s="34"/>
      <c r="G28" s="34"/>
      <c r="H28" s="34"/>
      <c r="I28" s="34"/>
      <c r="J28" s="31"/>
      <c r="K28" s="31"/>
      <c r="L28" s="31"/>
      <c r="M28" s="31"/>
    </row>
    <row r="29" spans="1:9" ht="15">
      <c r="A29" s="35"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Efectivo, saldos en efectivo en bancos centrales y otros depósitos a la vista</v>
      </c>
      <c r="B31" s="44">
        <v>20.195</v>
      </c>
      <c r="C31" s="44">
        <v>31.8</v>
      </c>
      <c r="D31" s="44">
        <v>17.276</v>
      </c>
      <c r="E31" s="45">
        <v>30.214</v>
      </c>
      <c r="F31" s="44">
        <v>21.08</v>
      </c>
      <c r="G31" s="44">
        <v>25.774</v>
      </c>
      <c r="H31" s="44">
        <v>37.84</v>
      </c>
      <c r="I31" s="44">
        <v>0</v>
      </c>
    </row>
    <row r="32" spans="1:9" ht="15">
      <c r="A32" s="43" t="str">
        <f>HLOOKUP(INDICE!$F$2,Nombres!$C$3:$D$636,53,FALSE)</f>
        <v>Activos financieros a valor razonable</v>
      </c>
      <c r="B32" s="58">
        <v>0</v>
      </c>
      <c r="C32" s="58">
        <v>2.784</v>
      </c>
      <c r="D32" s="58">
        <v>0</v>
      </c>
      <c r="E32" s="64">
        <v>0</v>
      </c>
      <c r="F32" s="44">
        <v>0</v>
      </c>
      <c r="G32" s="44">
        <v>0</v>
      </c>
      <c r="H32" s="44">
        <v>0</v>
      </c>
      <c r="I32" s="44">
        <v>0</v>
      </c>
    </row>
    <row r="33" spans="1:9" ht="15">
      <c r="A33" s="43" t="str">
        <f>HLOOKUP(INDICE!$F$2,Nombres!$C$3:$D$636,54,FALSE)</f>
        <v>Activos financieros a coste amortizado</v>
      </c>
      <c r="B33" s="44">
        <v>1543.154</v>
      </c>
      <c r="C33" s="44">
        <v>1493.4980000000005</v>
      </c>
      <c r="D33" s="44">
        <v>1442.3569999999997</v>
      </c>
      <c r="E33" s="45">
        <v>1459.7740000000001</v>
      </c>
      <c r="F33" s="44">
        <v>1755.8490000000002</v>
      </c>
      <c r="G33" s="44">
        <v>1642.141</v>
      </c>
      <c r="H33" s="44">
        <v>1852.37</v>
      </c>
      <c r="I33" s="44">
        <v>0</v>
      </c>
    </row>
    <row r="34" spans="1:9" ht="15">
      <c r="A34" s="43" t="str">
        <f>HLOOKUP(INDICE!$F$2,Nombres!$C$3:$D$636,55,FALSE)</f>
        <v>    de los que préstamos y anticipos a la clientela</v>
      </c>
      <c r="B34" s="44">
        <v>1498.221</v>
      </c>
      <c r="C34" s="44">
        <v>1476.1489999999997</v>
      </c>
      <c r="D34" s="44">
        <v>1392.7369999999999</v>
      </c>
      <c r="E34" s="45">
        <v>1400.476</v>
      </c>
      <c r="F34" s="44">
        <v>1639.6470000000002</v>
      </c>
      <c r="G34" s="44">
        <v>1616.2820000000002</v>
      </c>
      <c r="H34" s="44">
        <v>1809.839</v>
      </c>
      <c r="I34" s="44">
        <v>0</v>
      </c>
    </row>
    <row r="35" spans="1:9" ht="15" customHeight="1" hidden="1">
      <c r="A35" s="43"/>
      <c r="B35" s="44"/>
      <c r="C35" s="44"/>
      <c r="D35" s="44"/>
      <c r="E35" s="45"/>
      <c r="F35" s="44"/>
      <c r="G35" s="44"/>
      <c r="H35" s="44"/>
      <c r="I35" s="44"/>
    </row>
    <row r="36" spans="1:9" ht="15">
      <c r="A36" s="43" t="str">
        <f>HLOOKUP(INDICE!$F$2,Nombres!$C$3:$D$636,56,FALSE)</f>
        <v>Activos tangibles</v>
      </c>
      <c r="B36" s="44">
        <v>9.796000000000001</v>
      </c>
      <c r="C36" s="44">
        <v>9.110999999999999</v>
      </c>
      <c r="D36" s="44">
        <v>8.038</v>
      </c>
      <c r="E36" s="45">
        <v>7.380000000000001</v>
      </c>
      <c r="F36" s="44">
        <v>7.614999999999999</v>
      </c>
      <c r="G36" s="44">
        <v>6.5440000000000005</v>
      </c>
      <c r="H36" s="44">
        <v>6.225</v>
      </c>
      <c r="I36" s="44">
        <v>0</v>
      </c>
    </row>
    <row r="37" spans="1:9" ht="15">
      <c r="A37" s="43" t="str">
        <f>HLOOKUP(INDICE!$F$2,Nombres!$C$3:$D$636,57,FALSE)</f>
        <v>Otros activos</v>
      </c>
      <c r="B37" s="58">
        <f>+B38-B36-B33-B32-B31</f>
        <v>191.50399999999985</v>
      </c>
      <c r="C37" s="58">
        <f aca="true" t="shared" si="5" ref="C37:I37">+C38-C36-C33-C32-C31</f>
        <v>184.1130000000001</v>
      </c>
      <c r="D37" s="58">
        <f t="shared" si="5"/>
        <v>182.85500022999992</v>
      </c>
      <c r="E37" s="64">
        <f t="shared" si="5"/>
        <v>207.4530001799996</v>
      </c>
      <c r="F37" s="44">
        <f t="shared" si="5"/>
        <v>233.48189099999962</v>
      </c>
      <c r="G37" s="44">
        <f t="shared" si="5"/>
        <v>274.05478300000016</v>
      </c>
      <c r="H37" s="44">
        <f t="shared" si="5"/>
        <v>308.26200611000024</v>
      </c>
      <c r="I37" s="44">
        <f t="shared" si="5"/>
        <v>0</v>
      </c>
    </row>
    <row r="38" spans="1:9" ht="15">
      <c r="A38" s="47" t="str">
        <f>HLOOKUP(INDICE!$F$2,Nombres!$C$3:$D$636,58,FALSE)</f>
        <v>Total activo / pasivo</v>
      </c>
      <c r="B38" s="47">
        <v>1764.649</v>
      </c>
      <c r="C38" s="47">
        <v>1721.3060000000007</v>
      </c>
      <c r="D38" s="47">
        <v>1650.5260002299997</v>
      </c>
      <c r="E38" s="47">
        <v>1704.8210001799998</v>
      </c>
      <c r="F38" s="51">
        <v>2018.0258909999998</v>
      </c>
      <c r="G38" s="51">
        <v>1948.5137830000003</v>
      </c>
      <c r="H38" s="51">
        <v>2204.69700611</v>
      </c>
      <c r="I38" s="51">
        <v>0</v>
      </c>
    </row>
    <row r="39" spans="1:9" ht="15">
      <c r="A39" s="43" t="str">
        <f>HLOOKUP(INDICE!$F$2,Nombres!$C$3:$D$636,59,FALSE)</f>
        <v>Pasivos financieros mantenidos para negociar y designados a valor razonable con cambios en resultados</v>
      </c>
      <c r="B39" s="58">
        <v>0</v>
      </c>
      <c r="C39" s="58">
        <v>0</v>
      </c>
      <c r="D39" s="58">
        <v>0</v>
      </c>
      <c r="E39" s="64">
        <v>0</v>
      </c>
      <c r="F39" s="44">
        <v>0</v>
      </c>
      <c r="G39" s="44">
        <v>0</v>
      </c>
      <c r="H39" s="44">
        <v>0</v>
      </c>
      <c r="I39" s="44">
        <v>0</v>
      </c>
    </row>
    <row r="40" spans="1:9" ht="15.75" customHeight="1">
      <c r="A40" s="43" t="str">
        <f>HLOOKUP(INDICE!$F$2,Nombres!$C$3:$D$636,60,FALSE)</f>
        <v>Depósitos de bancos centrales y entidades de crédito</v>
      </c>
      <c r="B40" s="58">
        <v>424.039</v>
      </c>
      <c r="C40" s="58">
        <v>422.686</v>
      </c>
      <c r="D40" s="58">
        <v>381.438</v>
      </c>
      <c r="E40" s="64">
        <v>475.307</v>
      </c>
      <c r="F40" s="44">
        <v>648.445</v>
      </c>
      <c r="G40" s="44">
        <v>545.695</v>
      </c>
      <c r="H40" s="44">
        <v>824.321</v>
      </c>
      <c r="I40" s="44">
        <v>0</v>
      </c>
    </row>
    <row r="41" spans="1:9" ht="15">
      <c r="A41" s="43" t="str">
        <f>HLOOKUP(INDICE!$F$2,Nombres!$C$3:$D$636,61,FALSE)</f>
        <v>Depósitos de la clientela</v>
      </c>
      <c r="B41" s="58">
        <v>5.29</v>
      </c>
      <c r="C41" s="58">
        <v>7.186</v>
      </c>
      <c r="D41" s="58">
        <v>6.383</v>
      </c>
      <c r="E41" s="64">
        <v>7.503</v>
      </c>
      <c r="F41" s="44">
        <v>15.479</v>
      </c>
      <c r="G41" s="44">
        <v>10.869</v>
      </c>
      <c r="H41" s="44">
        <v>8.888</v>
      </c>
      <c r="I41" s="44">
        <v>0</v>
      </c>
    </row>
    <row r="42" spans="1:9" ht="15">
      <c r="A42" s="43" t="str">
        <f>HLOOKUP(INDICE!$F$2,Nombres!$C$3:$D$636,62,FALSE)</f>
        <v>Valores representativos de deuda emitidos</v>
      </c>
      <c r="B42" s="44">
        <v>865.592976</v>
      </c>
      <c r="C42" s="44">
        <v>856.5218064000001</v>
      </c>
      <c r="D42" s="44">
        <v>822.8859679999999</v>
      </c>
      <c r="E42" s="45">
        <v>769.0054783999999</v>
      </c>
      <c r="F42" s="44">
        <v>815.6228544</v>
      </c>
      <c r="G42" s="44">
        <v>875.4264959999999</v>
      </c>
      <c r="H42" s="44">
        <v>818.595208</v>
      </c>
      <c r="I42" s="44">
        <v>0</v>
      </c>
    </row>
    <row r="43" spans="1:9" ht="15" customHeight="1" hidden="1">
      <c r="A43" s="43"/>
      <c r="B43" s="44"/>
      <c r="C43" s="44"/>
      <c r="D43" s="44"/>
      <c r="E43" s="45"/>
      <c r="F43" s="44"/>
      <c r="G43" s="44"/>
      <c r="H43" s="44"/>
      <c r="I43" s="44"/>
    </row>
    <row r="44" spans="1:9" ht="15">
      <c r="A44" s="43" t="str">
        <f>HLOOKUP(INDICE!$F$2,Nombres!$C$3:$D$636,63,FALSE)</f>
        <v>Otros pasivos</v>
      </c>
      <c r="B44" s="58">
        <f>+B38-B39-B40-B41-B42-B45</f>
        <v>252.8668739999999</v>
      </c>
      <c r="C44" s="58">
        <f aca="true" t="shared" si="6" ref="C44:I44">+C38-C39-C40-C41-C42-C45</f>
        <v>224.40323360000082</v>
      </c>
      <c r="D44" s="58">
        <f t="shared" si="6"/>
        <v>215.44820721999963</v>
      </c>
      <c r="E44" s="64">
        <f t="shared" si="6"/>
        <v>230.03388673999999</v>
      </c>
      <c r="F44" s="44">
        <f t="shared" si="6"/>
        <v>296.1469800799995</v>
      </c>
      <c r="G44" s="44">
        <f t="shared" si="6"/>
        <v>255.59508700000032</v>
      </c>
      <c r="H44" s="44">
        <f t="shared" si="6"/>
        <v>259.0761981100003</v>
      </c>
      <c r="I44" s="44">
        <f t="shared" si="6"/>
        <v>0</v>
      </c>
    </row>
    <row r="45" spans="1:9" ht="15">
      <c r="A45" s="43" t="str">
        <f>HLOOKUP(INDICE!$F$2,Nombres!$C$3:$D$636,282,FALSE)</f>
        <v>Dotación de capital regulatorio</v>
      </c>
      <c r="B45" s="58">
        <v>216.86015</v>
      </c>
      <c r="C45" s="58">
        <v>210.50896</v>
      </c>
      <c r="D45" s="58">
        <v>224.37082500999998</v>
      </c>
      <c r="E45" s="64">
        <v>222.97163504</v>
      </c>
      <c r="F45" s="44">
        <v>242.33205652</v>
      </c>
      <c r="G45" s="44">
        <v>260.9282</v>
      </c>
      <c r="H45" s="44">
        <v>293.8166</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Indicadores relevantes y de gestión</v>
      </c>
      <c r="B48" s="34"/>
      <c r="C48" s="34"/>
      <c r="D48" s="34"/>
      <c r="E48" s="34"/>
      <c r="F48" s="68"/>
      <c r="G48" s="68"/>
      <c r="H48" s="68"/>
      <c r="I48" s="68"/>
    </row>
    <row r="49" spans="1:9" ht="15">
      <c r="A49" s="35" t="str">
        <f>HLOOKUP(INDICE!$F$2,Nombres!$C$3:$D$636,32,FALSE)</f>
        <v>(Millones de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43" t="str">
        <f>HLOOKUP(INDICE!$F$2,Nombres!$C$3:$D$636,66,FALSE)</f>
        <v>Préstamos y anticipos a la clientela bruto (*)</v>
      </c>
      <c r="B51" s="44">
        <v>1560.821</v>
      </c>
      <c r="C51" s="44">
        <v>1532.1939999999997</v>
      </c>
      <c r="D51" s="44">
        <v>1445.6029999999998</v>
      </c>
      <c r="E51" s="45">
        <v>1454.9930000000002</v>
      </c>
      <c r="F51" s="277">
        <v>1700.6260000000002</v>
      </c>
      <c r="G51" s="44">
        <v>1680.019</v>
      </c>
      <c r="H51" s="44">
        <v>1878.508</v>
      </c>
      <c r="I51" s="44">
        <v>0</v>
      </c>
    </row>
    <row r="52" spans="1:9" ht="15">
      <c r="A52" s="43" t="str">
        <f>HLOOKUP(INDICE!$F$2,Nombres!$C$3:$D$636,67,FALSE)</f>
        <v>Depósitos de clientes en gestión (**)</v>
      </c>
      <c r="B52" s="44">
        <v>5.289999999999999</v>
      </c>
      <c r="C52" s="44">
        <v>7.186</v>
      </c>
      <c r="D52" s="44">
        <v>6.382999999999999</v>
      </c>
      <c r="E52" s="45">
        <v>7.503</v>
      </c>
      <c r="F52" s="277">
        <v>15.479</v>
      </c>
      <c r="G52" s="44">
        <v>10.869</v>
      </c>
      <c r="H52" s="44">
        <v>8.888</v>
      </c>
      <c r="I52" s="44">
        <v>0</v>
      </c>
    </row>
    <row r="53" spans="1:9" ht="15">
      <c r="A53" s="43" t="str">
        <f>HLOOKUP(INDICE!$F$2,Nombres!$C$3:$D$636,68,FALSE)</f>
        <v>Fondos de inversión y carteras gestionadas</v>
      </c>
      <c r="B53" s="44">
        <v>0</v>
      </c>
      <c r="C53" s="44">
        <v>0</v>
      </c>
      <c r="D53" s="44">
        <v>0</v>
      </c>
      <c r="E53" s="45">
        <v>0</v>
      </c>
      <c r="F53" s="277">
        <v>0</v>
      </c>
      <c r="G53" s="44">
        <v>0</v>
      </c>
      <c r="H53" s="44">
        <v>0</v>
      </c>
      <c r="I53" s="44">
        <v>0</v>
      </c>
    </row>
    <row r="54" spans="1:9" ht="15">
      <c r="A54" s="43" t="str">
        <f>HLOOKUP(INDICE!$F$2,Nombres!$C$3:$D$636,69,FALSE)</f>
        <v>Fondos de pensiones</v>
      </c>
      <c r="B54" s="44">
        <v>0</v>
      </c>
      <c r="C54" s="44">
        <v>0</v>
      </c>
      <c r="D54" s="44">
        <v>0</v>
      </c>
      <c r="E54" s="45">
        <v>0</v>
      </c>
      <c r="F54" s="277">
        <v>0</v>
      </c>
      <c r="G54" s="44">
        <v>0</v>
      </c>
      <c r="H54" s="44">
        <v>0</v>
      </c>
      <c r="I54" s="44">
        <v>0</v>
      </c>
    </row>
    <row r="55" spans="1:9" ht="15">
      <c r="A55" s="43" t="str">
        <f>HLOOKUP(INDICE!$F$2,Nombres!$C$3:$D$636,70,FALSE)</f>
        <v>Otros recursos fuera de balance</v>
      </c>
      <c r="B55" s="44">
        <v>0</v>
      </c>
      <c r="C55" s="44">
        <v>0</v>
      </c>
      <c r="D55" s="44">
        <v>0</v>
      </c>
      <c r="E55" s="45">
        <v>0</v>
      </c>
      <c r="F55" s="277">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13">
        <f>+B$6</f>
        <v>2021</v>
      </c>
      <c r="C62" s="313"/>
      <c r="D62" s="313"/>
      <c r="E62" s="314"/>
      <c r="F62" s="313">
        <f>+F$6</f>
        <v>2022</v>
      </c>
      <c r="G62" s="313"/>
      <c r="H62" s="313"/>
      <c r="I62" s="313"/>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50">
        <v>31.990464492447384</v>
      </c>
      <c r="C64" s="50">
        <v>34.61599946246596</v>
      </c>
      <c r="D64" s="50">
        <v>34.070751883017635</v>
      </c>
      <c r="E64" s="271">
        <v>35.95455579381124</v>
      </c>
      <c r="F64" s="50">
        <v>33.51104505568841</v>
      </c>
      <c r="G64" s="50">
        <v>32.923997818549154</v>
      </c>
      <c r="H64" s="50">
        <v>33.256957125762426</v>
      </c>
      <c r="I64" s="50">
        <v>0</v>
      </c>
    </row>
    <row r="65" spans="1:9" ht="15">
      <c r="A65" s="43" t="str">
        <f>HLOOKUP(INDICE!$F$2,Nombres!$C$3:$D$636,34,FALSE)</f>
        <v>Comisiones netas</v>
      </c>
      <c r="B65" s="44">
        <v>-4.0053832788534685</v>
      </c>
      <c r="C65" s="44">
        <v>-4.323516186874752</v>
      </c>
      <c r="D65" s="44">
        <v>-1.0035553736260099</v>
      </c>
      <c r="E65" s="45">
        <v>2.122664696211651</v>
      </c>
      <c r="F65" s="44">
        <v>4.974622210036281</v>
      </c>
      <c r="G65" s="44">
        <v>3.127477667619606</v>
      </c>
      <c r="H65" s="44">
        <v>4.002900122344112</v>
      </c>
      <c r="I65" s="44">
        <v>0</v>
      </c>
    </row>
    <row r="66" spans="1:9" ht="15">
      <c r="A66" s="43" t="str">
        <f>HLOOKUP(INDICE!$F$2,Nombres!$C$3:$D$636,35,FALSE)</f>
        <v>Resultados de operaciones financieras</v>
      </c>
      <c r="B66" s="44">
        <v>0.0382558097311697</v>
      </c>
      <c r="C66" s="44">
        <v>-0.032548477982155405</v>
      </c>
      <c r="D66" s="44">
        <v>0.49987314069580263</v>
      </c>
      <c r="E66" s="45">
        <v>0.4420144378658553</v>
      </c>
      <c r="F66" s="44">
        <v>1.414782556534319</v>
      </c>
      <c r="G66" s="44">
        <v>1.5556247115160575</v>
      </c>
      <c r="H66" s="44">
        <v>1.5045927319496235</v>
      </c>
      <c r="I66" s="44">
        <v>0</v>
      </c>
    </row>
    <row r="67" spans="1:9" ht="15">
      <c r="A67" s="43" t="str">
        <f>HLOOKUP(INDICE!$F$2,Nombres!$C$3:$D$636,36,FALSE)</f>
        <v>Otros ingresos y cargas de explotación</v>
      </c>
      <c r="B67" s="44">
        <v>-0.4781976216396213</v>
      </c>
      <c r="C67" s="44">
        <v>0.37451442819919467</v>
      </c>
      <c r="D67" s="44">
        <v>0.17425178710863246</v>
      </c>
      <c r="E67" s="45">
        <v>-0.0784406178452415</v>
      </c>
      <c r="F67" s="44">
        <v>-0.11640615971484902</v>
      </c>
      <c r="G67" s="44">
        <v>-0.20308819512373621</v>
      </c>
      <c r="H67" s="44">
        <v>-0.22350564516141475</v>
      </c>
      <c r="I67" s="44">
        <v>0</v>
      </c>
    </row>
    <row r="68" spans="1:9" ht="15">
      <c r="A68" s="41" t="str">
        <f>HLOOKUP(INDICE!$F$2,Nombres!$C$3:$D$636,37,FALSE)</f>
        <v>Margen bruto</v>
      </c>
      <c r="B68" s="50">
        <f>+SUM(B64:B67)</f>
        <v>27.54513940168546</v>
      </c>
      <c r="C68" s="50">
        <f>+SUM(C64:C67)</f>
        <v>30.634449225808247</v>
      </c>
      <c r="D68" s="50">
        <f aca="true" t="shared" si="9" ref="D68:I68">+SUM(D64:D67)</f>
        <v>33.74132143719606</v>
      </c>
      <c r="E68" s="271">
        <f t="shared" si="9"/>
        <v>38.44079431004351</v>
      </c>
      <c r="F68" s="50">
        <f t="shared" si="9"/>
        <v>39.784043662544164</v>
      </c>
      <c r="G68" s="50">
        <f t="shared" si="9"/>
        <v>37.40401200256109</v>
      </c>
      <c r="H68" s="50">
        <f t="shared" si="9"/>
        <v>38.540944334894746</v>
      </c>
      <c r="I68" s="50">
        <f t="shared" si="9"/>
        <v>0</v>
      </c>
    </row>
    <row r="69" spans="1:9" ht="15">
      <c r="A69" s="43" t="str">
        <f>HLOOKUP(INDICE!$F$2,Nombres!$C$3:$D$636,38,FALSE)</f>
        <v>Gastos de explotación</v>
      </c>
      <c r="B69" s="44">
        <v>-13.819585134607099</v>
      </c>
      <c r="C69" s="44">
        <v>-12.67700499877454</v>
      </c>
      <c r="D69" s="44">
        <v>-8.846652743681624</v>
      </c>
      <c r="E69" s="45">
        <v>-12.330361364987</v>
      </c>
      <c r="F69" s="44">
        <v>-12.84458299307786</v>
      </c>
      <c r="G69" s="44">
        <v>-13.707294088058807</v>
      </c>
      <c r="H69" s="44">
        <v>-15.36711853886333</v>
      </c>
      <c r="I69" s="44">
        <v>0</v>
      </c>
    </row>
    <row r="70" spans="1:9" ht="15">
      <c r="A70" s="43" t="str">
        <f>HLOOKUP(INDICE!$F$2,Nombres!$C$3:$D$636,39,FALSE)</f>
        <v>  Gastos de administración</v>
      </c>
      <c r="B70" s="44">
        <v>-12.747466066891068</v>
      </c>
      <c r="C70" s="44">
        <v>-11.622191768024571</v>
      </c>
      <c r="D70" s="44">
        <v>-7.780597851927298</v>
      </c>
      <c r="E70" s="45">
        <v>-11.11107900397882</v>
      </c>
      <c r="F70" s="44">
        <v>-11.526308107418247</v>
      </c>
      <c r="G70" s="44">
        <v>-12.411254485054705</v>
      </c>
      <c r="H70" s="44">
        <v>-14.078433027527048</v>
      </c>
      <c r="I70" s="44">
        <v>0</v>
      </c>
    </row>
    <row r="71" spans="1:9" ht="15">
      <c r="A71" s="46" t="str">
        <f>HLOOKUP(INDICE!$F$2,Nombres!$C$3:$D$636,40,FALSE)</f>
        <v>  Gastos de personal</v>
      </c>
      <c r="B71" s="44">
        <v>-5.341467433714571</v>
      </c>
      <c r="C71" s="44">
        <v>-5.316974607569656</v>
      </c>
      <c r="D71" s="44">
        <v>-5.554934027252045</v>
      </c>
      <c r="E71" s="45">
        <v>-6.098892458249287</v>
      </c>
      <c r="F71" s="44">
        <v>-5.847170945676647</v>
      </c>
      <c r="G71" s="44">
        <v>-5.8712489359726385</v>
      </c>
      <c r="H71" s="44">
        <v>-6.7585801183507135</v>
      </c>
      <c r="I71" s="44">
        <v>0</v>
      </c>
    </row>
    <row r="72" spans="1:9" ht="15">
      <c r="A72" s="46" t="str">
        <f>HLOOKUP(INDICE!$F$2,Nombres!$C$3:$D$636,41,FALSE)</f>
        <v>  Otros gastos de administración</v>
      </c>
      <c r="B72" s="44">
        <v>-7.405998633176497</v>
      </c>
      <c r="C72" s="44">
        <v>-6.305217160454916</v>
      </c>
      <c r="D72" s="44">
        <v>-2.2256638246752534</v>
      </c>
      <c r="E72" s="45">
        <v>-5.012186545729532</v>
      </c>
      <c r="F72" s="44">
        <v>-5.6791371617415995</v>
      </c>
      <c r="G72" s="44">
        <v>-6.540005549082065</v>
      </c>
      <c r="H72" s="44">
        <v>-7.319852909176335</v>
      </c>
      <c r="I72" s="44">
        <v>0</v>
      </c>
    </row>
    <row r="73" spans="1:9" ht="15">
      <c r="A73" s="43" t="str">
        <f>HLOOKUP(INDICE!$F$2,Nombres!$C$3:$D$636,42,FALSE)</f>
        <v>  Amortización</v>
      </c>
      <c r="B73" s="44">
        <v>-1.072119067716031</v>
      </c>
      <c r="C73" s="44">
        <v>-1.0548132307499687</v>
      </c>
      <c r="D73" s="44">
        <v>-1.066054891754326</v>
      </c>
      <c r="E73" s="45">
        <v>-1.2192823610081833</v>
      </c>
      <c r="F73" s="44">
        <v>-1.318274885659615</v>
      </c>
      <c r="G73" s="44">
        <v>-1.2960396030041026</v>
      </c>
      <c r="H73" s="44">
        <v>-1.2886855113362825</v>
      </c>
      <c r="I73" s="44">
        <v>0</v>
      </c>
    </row>
    <row r="74" spans="1:9" ht="15">
      <c r="A74" s="41" t="str">
        <f>HLOOKUP(INDICE!$F$2,Nombres!$C$3:$D$636,43,FALSE)</f>
        <v>Margen neto</v>
      </c>
      <c r="B74" s="50">
        <f aca="true" t="shared" si="10" ref="B74:I74">+B68+B69</f>
        <v>13.725554267078362</v>
      </c>
      <c r="C74" s="50">
        <f t="shared" si="10"/>
        <v>17.957444227033704</v>
      </c>
      <c r="D74" s="50">
        <f t="shared" si="10"/>
        <v>24.89466869351444</v>
      </c>
      <c r="E74" s="271">
        <f t="shared" si="10"/>
        <v>26.11043294505651</v>
      </c>
      <c r="F74" s="50">
        <f t="shared" si="10"/>
        <v>26.939460669466303</v>
      </c>
      <c r="G74" s="50">
        <f t="shared" si="10"/>
        <v>23.69671791450228</v>
      </c>
      <c r="H74" s="50">
        <f t="shared" si="10"/>
        <v>23.173825796031416</v>
      </c>
      <c r="I74" s="50">
        <f t="shared" si="10"/>
        <v>0</v>
      </c>
    </row>
    <row r="75" spans="1:9" ht="15">
      <c r="A75" s="43" t="str">
        <f>HLOOKUP(INDICE!$F$2,Nombres!$C$3:$D$636,44,FALSE)</f>
        <v>Deterioro de activos financieros no valorados a valor razonable con cambios en resultados</v>
      </c>
      <c r="B75" s="44">
        <v>0.49732552650520717</v>
      </c>
      <c r="C75" s="44">
        <v>1.4945332539007894</v>
      </c>
      <c r="D75" s="44">
        <v>-5.354017256817226</v>
      </c>
      <c r="E75" s="45">
        <v>-6.486727772082563</v>
      </c>
      <c r="F75" s="44">
        <v>-3.972733296934975</v>
      </c>
      <c r="G75" s="44">
        <v>-10.577613327447654</v>
      </c>
      <c r="H75" s="44">
        <v>-7.857653375617371</v>
      </c>
      <c r="I75" s="44">
        <v>0</v>
      </c>
    </row>
    <row r="76" spans="1:9" ht="15">
      <c r="A76" s="43" t="str">
        <f>HLOOKUP(INDICE!$F$2,Nombres!$C$3:$D$636,45,FALSE)</f>
        <v>Provisiones o reversión de provisiones y otros resultados</v>
      </c>
      <c r="B76" s="44">
        <v>0.4351598356920554</v>
      </c>
      <c r="C76" s="44">
        <v>0.2649395255203668</v>
      </c>
      <c r="D76" s="44">
        <v>0.4782994837402201</v>
      </c>
      <c r="E76" s="45">
        <v>-4.151071974805748</v>
      </c>
      <c r="F76" s="44">
        <v>0.13133002634495788</v>
      </c>
      <c r="G76" s="44">
        <v>0.02495513794140888</v>
      </c>
      <c r="H76" s="44">
        <v>-0.11028516428636675</v>
      </c>
      <c r="I76" s="44">
        <v>0</v>
      </c>
    </row>
    <row r="77" spans="1:9" ht="15">
      <c r="A77" s="41" t="str">
        <f>HLOOKUP(INDICE!$F$2,Nombres!$C$3:$D$636,46,FALSE)</f>
        <v>Resultado antes de impuestos</v>
      </c>
      <c r="B77" s="50">
        <f aca="true" t="shared" si="11" ref="B77:I77">+B74+B75+B76</f>
        <v>14.658039629275624</v>
      </c>
      <c r="C77" s="50">
        <f t="shared" si="11"/>
        <v>19.716917006454864</v>
      </c>
      <c r="D77" s="50">
        <f t="shared" si="11"/>
        <v>20.018950920437433</v>
      </c>
      <c r="E77" s="271">
        <f t="shared" si="11"/>
        <v>15.472633198168197</v>
      </c>
      <c r="F77" s="50">
        <f t="shared" si="11"/>
        <v>23.098057398876286</v>
      </c>
      <c r="G77" s="50">
        <f t="shared" si="11"/>
        <v>13.144059724996035</v>
      </c>
      <c r="H77" s="50">
        <f t="shared" si="11"/>
        <v>15.205887256127678</v>
      </c>
      <c r="I77" s="50">
        <f t="shared" si="11"/>
        <v>0</v>
      </c>
    </row>
    <row r="78" spans="1:9" ht="15">
      <c r="A78" s="43" t="str">
        <f>HLOOKUP(INDICE!$F$2,Nombres!$C$3:$D$636,47,FALSE)</f>
        <v>Impuesto sobre beneficios</v>
      </c>
      <c r="B78" s="44">
        <v>-3.338969273045551</v>
      </c>
      <c r="C78" s="44">
        <v>-4.913266078475249</v>
      </c>
      <c r="D78" s="44">
        <v>-4.826741796652538</v>
      </c>
      <c r="E78" s="45">
        <v>-2.277186267402431</v>
      </c>
      <c r="F78" s="44">
        <v>-4.718794601966964</v>
      </c>
      <c r="G78" s="44">
        <v>-0.014009701281218034</v>
      </c>
      <c r="H78" s="44">
        <v>-1.2225970167518185</v>
      </c>
      <c r="I78" s="44">
        <v>0</v>
      </c>
    </row>
    <row r="79" spans="1:9" ht="15">
      <c r="A79" s="41" t="str">
        <f>HLOOKUP(INDICE!$F$2,Nombres!$C$3:$D$636,48,FALSE)</f>
        <v>Resultado del ejercicio</v>
      </c>
      <c r="B79" s="50">
        <f aca="true" t="shared" si="12" ref="B79:I79">+B77+B78</f>
        <v>11.319070356230073</v>
      </c>
      <c r="C79" s="50">
        <f t="shared" si="12"/>
        <v>14.803650927979614</v>
      </c>
      <c r="D79" s="50">
        <f t="shared" si="12"/>
        <v>15.192209123784895</v>
      </c>
      <c r="E79" s="271">
        <f t="shared" si="12"/>
        <v>13.195446930765765</v>
      </c>
      <c r="F79" s="50">
        <f t="shared" si="12"/>
        <v>18.379262796909323</v>
      </c>
      <c r="G79" s="50">
        <f t="shared" si="12"/>
        <v>13.130050023714817</v>
      </c>
      <c r="H79" s="50">
        <f t="shared" si="12"/>
        <v>13.98329023937586</v>
      </c>
      <c r="I79" s="50">
        <f t="shared" si="12"/>
        <v>0</v>
      </c>
    </row>
    <row r="80" spans="1:9" ht="15">
      <c r="A80" s="43" t="str">
        <f>HLOOKUP(INDICE!$F$2,Nombres!$C$3:$D$636,49,FALSE)</f>
        <v>Minoritarios</v>
      </c>
      <c r="B80" s="44">
        <v>0</v>
      </c>
      <c r="C80" s="44">
        <v>0</v>
      </c>
      <c r="D80" s="44">
        <v>0</v>
      </c>
      <c r="E80" s="45">
        <v>0</v>
      </c>
      <c r="F80" s="44">
        <v>0</v>
      </c>
      <c r="G80" s="44">
        <v>0</v>
      </c>
      <c r="H80" s="44">
        <v>0</v>
      </c>
      <c r="I80" s="44">
        <v>0</v>
      </c>
    </row>
    <row r="81" spans="1:9" ht="15">
      <c r="A81" s="47" t="str">
        <f>HLOOKUP(INDICE!$F$2,Nombres!$C$3:$D$636,50,FALSE)</f>
        <v>Resultado atribuido</v>
      </c>
      <c r="B81" s="51">
        <f aca="true" t="shared" si="13" ref="B81:I81">+B79+B80</f>
        <v>11.319070356230073</v>
      </c>
      <c r="C81" s="51">
        <f t="shared" si="13"/>
        <v>14.803650927979614</v>
      </c>
      <c r="D81" s="51">
        <f t="shared" si="13"/>
        <v>15.192209123784895</v>
      </c>
      <c r="E81" s="79">
        <f t="shared" si="13"/>
        <v>13.195446930765765</v>
      </c>
      <c r="F81" s="51">
        <f t="shared" si="13"/>
        <v>18.379262796909323</v>
      </c>
      <c r="G81" s="51">
        <f t="shared" si="13"/>
        <v>13.130050023714817</v>
      </c>
      <c r="H81" s="51">
        <f t="shared" si="13"/>
        <v>13.98329023937586</v>
      </c>
      <c r="I81" s="51">
        <f t="shared" si="13"/>
        <v>0</v>
      </c>
    </row>
    <row r="82" spans="1:9" ht="15">
      <c r="A82" s="270"/>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Efectivo, saldos en efectivo en bancos centrales y otros depósitos a la vista</v>
      </c>
      <c r="B87" s="44">
        <v>18.409432500523263</v>
      </c>
      <c r="C87" s="44">
        <v>29.508685886840176</v>
      </c>
      <c r="D87" s="44">
        <v>17.070888512019295</v>
      </c>
      <c r="E87" s="45">
        <v>30.69654438125217</v>
      </c>
      <c r="F87" s="44">
        <v>19.561541683275593</v>
      </c>
      <c r="G87" s="44">
        <v>26.154894597181617</v>
      </c>
      <c r="H87" s="44">
        <v>37.84</v>
      </c>
      <c r="I87" s="44">
        <v>0</v>
      </c>
    </row>
    <row r="88" spans="1:9" ht="15">
      <c r="A88" s="43" t="str">
        <f>HLOOKUP(INDICE!$F$2,Nombres!$C$3:$D$636,53,FALSE)</f>
        <v>Activos financieros a valor razonable</v>
      </c>
      <c r="B88" s="58">
        <v>0</v>
      </c>
      <c r="C88" s="58">
        <v>2.583401934244121</v>
      </c>
      <c r="D88" s="58">
        <v>0</v>
      </c>
      <c r="E88" s="64">
        <v>0</v>
      </c>
      <c r="F88" s="44">
        <v>0</v>
      </c>
      <c r="G88" s="44">
        <v>0</v>
      </c>
      <c r="H88" s="44">
        <v>0</v>
      </c>
      <c r="I88" s="44">
        <v>0</v>
      </c>
    </row>
    <row r="89" spans="1:9" ht="15">
      <c r="A89" s="43" t="str">
        <f>HLOOKUP(INDICE!$F$2,Nombres!$C$3:$D$636,54,FALSE)</f>
        <v>Activos financieros a coste amortizado</v>
      </c>
      <c r="B89" s="44">
        <v>1406.7140084631085</v>
      </c>
      <c r="C89" s="44">
        <v>1385.8856400825166</v>
      </c>
      <c r="D89" s="44">
        <v>1425.2324346799383</v>
      </c>
      <c r="E89" s="45">
        <v>1483.0878856688294</v>
      </c>
      <c r="F89" s="44">
        <v>1629.3697060264594</v>
      </c>
      <c r="G89" s="44">
        <v>1666.4089690661294</v>
      </c>
      <c r="H89" s="44">
        <v>1852.37</v>
      </c>
      <c r="I89" s="44">
        <v>0</v>
      </c>
    </row>
    <row r="90" spans="1:9" ht="15">
      <c r="A90" s="43" t="str">
        <f>HLOOKUP(INDICE!$F$2,Nombres!$C$3:$D$636,55,FALSE)</f>
        <v>    de los que préstamos y anticipos a la clientela</v>
      </c>
      <c r="B90" s="44">
        <v>1365.7538187851678</v>
      </c>
      <c r="C90" s="44">
        <v>1369.7867032444417</v>
      </c>
      <c r="D90" s="44">
        <v>1376.2015543855186</v>
      </c>
      <c r="E90" s="45">
        <v>1422.8428440086882</v>
      </c>
      <c r="F90" s="44">
        <v>1521.5380994477123</v>
      </c>
      <c r="G90" s="44">
        <v>1640.1678183177582</v>
      </c>
      <c r="H90" s="44">
        <v>1809.839</v>
      </c>
      <c r="I90" s="44">
        <v>0</v>
      </c>
    </row>
    <row r="91" spans="1:9" ht="15" customHeight="1" hidden="1">
      <c r="A91" s="43"/>
      <c r="B91" s="44"/>
      <c r="C91" s="44"/>
      <c r="D91" s="44"/>
      <c r="E91" s="45"/>
      <c r="F91" s="44"/>
      <c r="G91" s="44"/>
      <c r="H91" s="44"/>
      <c r="I91" s="44"/>
    </row>
    <row r="92" spans="1:9" ht="15">
      <c r="A92" s="43" t="str">
        <f>HLOOKUP(INDICE!$F$2,Nombres!$C$3:$D$636,56,FALSE)</f>
        <v>Activos tangibles</v>
      </c>
      <c r="B92" s="44">
        <v>8.929873769503633</v>
      </c>
      <c r="C92" s="44">
        <v>8.454516890408831</v>
      </c>
      <c r="D92" s="44">
        <v>7.942567831651486</v>
      </c>
      <c r="E92" s="45">
        <v>7.497865146410307</v>
      </c>
      <c r="F92" s="44">
        <v>7.0664677380523555</v>
      </c>
      <c r="G92" s="44">
        <v>6.640708863348976</v>
      </c>
      <c r="H92" s="44">
        <v>6.225</v>
      </c>
      <c r="I92" s="44">
        <v>0</v>
      </c>
    </row>
    <row r="93" spans="1:9" ht="15">
      <c r="A93" s="43" t="str">
        <f>HLOOKUP(INDICE!$F$2,Nombres!$C$3:$D$636,57,FALSE)</f>
        <v>Otros activos</v>
      </c>
      <c r="B93" s="58">
        <f>+B94-B92-B89-B88-B87</f>
        <v>174.57192184106023</v>
      </c>
      <c r="C93" s="58">
        <f aca="true" t="shared" si="15" ref="C93:I93">+C94-C92-C89-C88-C87</f>
        <v>170.8469397699312</v>
      </c>
      <c r="D93" s="58">
        <f t="shared" si="15"/>
        <v>180.68403118728799</v>
      </c>
      <c r="E93" s="64">
        <f t="shared" si="15"/>
        <v>210.7662086135328</v>
      </c>
      <c r="F93" s="44">
        <f t="shared" si="15"/>
        <v>216.66346029822154</v>
      </c>
      <c r="G93" s="44">
        <f t="shared" si="15"/>
        <v>278.1048329020904</v>
      </c>
      <c r="H93" s="44">
        <f t="shared" si="15"/>
        <v>308.26200611000024</v>
      </c>
      <c r="I93" s="44">
        <f t="shared" si="15"/>
        <v>0</v>
      </c>
    </row>
    <row r="94" spans="1:9" ht="15">
      <c r="A94" s="47" t="str">
        <f>HLOOKUP(INDICE!$F$2,Nombres!$C$3:$D$636,58,FALSE)</f>
        <v>Total activo / pasivo</v>
      </c>
      <c r="B94" s="47">
        <v>1608.6252365741957</v>
      </c>
      <c r="C94" s="47">
        <v>1597.2791845639408</v>
      </c>
      <c r="D94" s="47">
        <v>1630.929922210897</v>
      </c>
      <c r="E94" s="47">
        <v>1732.0485038100246</v>
      </c>
      <c r="F94" s="51">
        <v>1872.661175746009</v>
      </c>
      <c r="G94" s="51">
        <v>1977.3094054287503</v>
      </c>
      <c r="H94" s="51">
        <v>2204.69700611</v>
      </c>
      <c r="I94" s="51">
        <v>0</v>
      </c>
    </row>
    <row r="95" spans="1:9" ht="15">
      <c r="A95" s="43" t="str">
        <f>HLOOKUP(INDICE!$F$2,Nombres!$C$3:$D$636,59,FALSE)</f>
        <v>Pasivos financieros mantenidos para negociar y designados a valor razonable con cambios en resultados</v>
      </c>
      <c r="B95" s="58">
        <v>0</v>
      </c>
      <c r="C95" s="58">
        <v>0</v>
      </c>
      <c r="D95" s="58">
        <v>0</v>
      </c>
      <c r="E95" s="64">
        <v>0</v>
      </c>
      <c r="F95" s="44">
        <v>0</v>
      </c>
      <c r="G95" s="44">
        <v>0</v>
      </c>
      <c r="H95" s="44">
        <v>0</v>
      </c>
      <c r="I95" s="44">
        <v>0</v>
      </c>
    </row>
    <row r="96" spans="1:9" ht="15">
      <c r="A96" s="43" t="str">
        <f>HLOOKUP(INDICE!$F$2,Nombres!$C$3:$D$636,60,FALSE)</f>
        <v>Depósitos de bancos centrales y entidades de crédito</v>
      </c>
      <c r="B96" s="58">
        <v>386.5470338246785</v>
      </c>
      <c r="C96" s="58">
        <v>392.2298239863185</v>
      </c>
      <c r="D96" s="58">
        <v>376.9093292572132</v>
      </c>
      <c r="E96" s="64">
        <v>482.89807440987045</v>
      </c>
      <c r="F96" s="44">
        <v>601.7354789758843</v>
      </c>
      <c r="G96" s="44">
        <v>553.7594167459076</v>
      </c>
      <c r="H96" s="44">
        <v>824.321</v>
      </c>
      <c r="I96" s="44">
        <v>0</v>
      </c>
    </row>
    <row r="97" spans="1:9" ht="15">
      <c r="A97" s="43" t="str">
        <f>HLOOKUP(INDICE!$F$2,Nombres!$C$3:$D$636,61,FALSE)</f>
        <v>Depósitos de la clientela</v>
      </c>
      <c r="B97" s="58">
        <v>4.822277688921418</v>
      </c>
      <c r="C97" s="58">
        <v>6.668220653548224</v>
      </c>
      <c r="D97" s="58">
        <v>6.307217027796895</v>
      </c>
      <c r="E97" s="64">
        <v>7.622829565517145</v>
      </c>
      <c r="F97" s="44">
        <v>14.363999227486856</v>
      </c>
      <c r="G97" s="44">
        <v>11.029624791525064</v>
      </c>
      <c r="H97" s="44">
        <v>8.888</v>
      </c>
      <c r="I97" s="44">
        <v>0</v>
      </c>
    </row>
    <row r="98" spans="1:9" ht="15">
      <c r="A98" s="43" t="str">
        <f>HLOOKUP(INDICE!$F$2,Nombres!$C$3:$D$636,62,FALSE)</f>
        <v>Valores representativos de deuda emitidos</v>
      </c>
      <c r="B98" s="44">
        <v>789.0604339984676</v>
      </c>
      <c r="C98" s="44">
        <v>794.8060673046081</v>
      </c>
      <c r="D98" s="44">
        <v>813.1161506039058</v>
      </c>
      <c r="E98" s="45">
        <v>781.2871780344097</v>
      </c>
      <c r="F98" s="44">
        <v>756.8709897617562</v>
      </c>
      <c r="G98" s="44">
        <v>888.3637669923191</v>
      </c>
      <c r="H98" s="44">
        <v>818.595208</v>
      </c>
      <c r="I98" s="44">
        <v>0</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230.5093165893205</v>
      </c>
      <c r="C100" s="58">
        <f aca="true" t="shared" si="16" ref="C100:I100">+C94-C95-C96-C97-C98-C101</f>
        <v>208.23410478910753</v>
      </c>
      <c r="D100" s="58">
        <f t="shared" si="16"/>
        <v>212.89027121828246</v>
      </c>
      <c r="E100" s="64">
        <f t="shared" si="16"/>
        <v>233.70773196221452</v>
      </c>
      <c r="F100" s="44">
        <f t="shared" si="16"/>
        <v>274.81458705935023</v>
      </c>
      <c r="G100" s="44">
        <f t="shared" si="16"/>
        <v>259.37233491279824</v>
      </c>
      <c r="H100" s="44">
        <f t="shared" si="16"/>
        <v>259.0761981100003</v>
      </c>
      <c r="I100" s="44">
        <f t="shared" si="16"/>
        <v>0</v>
      </c>
    </row>
    <row r="101" spans="1:9" ht="15">
      <c r="A101" s="43" t="str">
        <f>HLOOKUP(INDICE!$F$2,Nombres!$C$3:$D$636,282,FALSE)</f>
        <v>Dotación de capital regulatorio</v>
      </c>
      <c r="B101" s="58">
        <v>197.6861744728076</v>
      </c>
      <c r="C101" s="58">
        <v>195.3409678303586</v>
      </c>
      <c r="D101" s="58">
        <v>221.70695410369876</v>
      </c>
      <c r="E101" s="64">
        <v>226.53268983801289</v>
      </c>
      <c r="F101" s="44">
        <v>224.8761207215312</v>
      </c>
      <c r="G101" s="44">
        <v>264.78426198620025</v>
      </c>
      <c r="H101" s="44">
        <v>293.8166</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Préstamos y anticipos a la clientela bruto (*)</v>
      </c>
      <c r="B107" s="44">
        <v>1422.8189574102116</v>
      </c>
      <c r="C107" s="44">
        <v>1421.793442254755</v>
      </c>
      <c r="D107" s="44">
        <v>1428.439896135716</v>
      </c>
      <c r="E107" s="45">
        <v>1478.230528857855</v>
      </c>
      <c r="F107" s="44">
        <v>1578.1245913976393</v>
      </c>
      <c r="G107" s="44">
        <v>1704.8467395927082</v>
      </c>
      <c r="H107" s="44">
        <v>1878.508</v>
      </c>
      <c r="I107" s="44">
        <v>0</v>
      </c>
    </row>
    <row r="108" spans="1:9" ht="15">
      <c r="A108" s="43" t="str">
        <f>HLOOKUP(INDICE!$F$2,Nombres!$C$3:$D$636,67,FALSE)</f>
        <v>Depósitos de clientes en gestión (**)</v>
      </c>
      <c r="B108" s="44">
        <v>4.822277688921418</v>
      </c>
      <c r="C108" s="44">
        <v>6.668220653548224</v>
      </c>
      <c r="D108" s="44">
        <v>6.307217027796894</v>
      </c>
      <c r="E108" s="45">
        <v>7.622829565517145</v>
      </c>
      <c r="F108" s="44">
        <v>14.363999227486858</v>
      </c>
      <c r="G108" s="44">
        <v>11.029624791525064</v>
      </c>
      <c r="H108" s="44">
        <v>8.888</v>
      </c>
      <c r="I108" s="44">
        <v>0</v>
      </c>
    </row>
    <row r="109" spans="1:9" ht="15">
      <c r="A109" s="43" t="str">
        <f>HLOOKUP(INDICE!$F$2,Nombres!$C$3:$D$636,68,FALSE)</f>
        <v>Fondos de inversión y carteras gestionadas</v>
      </c>
      <c r="B109" s="44">
        <v>0</v>
      </c>
      <c r="C109" s="44">
        <v>0</v>
      </c>
      <c r="D109" s="44">
        <v>0</v>
      </c>
      <c r="E109" s="45">
        <v>0</v>
      </c>
      <c r="F109" s="44">
        <v>0</v>
      </c>
      <c r="G109" s="44">
        <v>0</v>
      </c>
      <c r="H109" s="44">
        <v>0</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HLOOKUP(INDICE!$F$2,Nombres!$C$3:$D$636,81,FALSE)</f>
        <v>(Millones de pesos chilenos)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13">
        <f>+B$6</f>
        <v>2021</v>
      </c>
      <c r="C118" s="313"/>
      <c r="D118" s="313"/>
      <c r="E118" s="314"/>
      <c r="F118" s="313">
        <f>+F$6</f>
        <v>2022</v>
      </c>
      <c r="G118" s="313"/>
      <c r="H118" s="313"/>
      <c r="I118" s="313"/>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50">
        <v>29187.247061492388</v>
      </c>
      <c r="C120" s="50">
        <v>31582.71518158211</v>
      </c>
      <c r="D120" s="50">
        <v>31085.245824274218</v>
      </c>
      <c r="E120" s="271">
        <v>32803.978297593545</v>
      </c>
      <c r="F120" s="50">
        <v>30574.584234627124</v>
      </c>
      <c r="G120" s="50">
        <v>30038.977983858385</v>
      </c>
      <c r="H120" s="50">
        <v>30342.761180359048</v>
      </c>
      <c r="I120" s="50">
        <v>0</v>
      </c>
    </row>
    <row r="121" spans="1:9" ht="15">
      <c r="A121" s="43" t="str">
        <f>HLOOKUP(INDICE!$F$2,Nombres!$C$3:$D$636,34,FALSE)</f>
        <v>Comisiones netas</v>
      </c>
      <c r="B121" s="44">
        <v>-3654.404935679096</v>
      </c>
      <c r="C121" s="44">
        <v>-3944.660920771166</v>
      </c>
      <c r="D121" s="44">
        <v>-915.6171720115558</v>
      </c>
      <c r="E121" s="45">
        <v>1936.662686834828</v>
      </c>
      <c r="F121" s="44">
        <v>4538.712700348422</v>
      </c>
      <c r="G121" s="44">
        <v>2853.4272575399523</v>
      </c>
      <c r="H121" s="44">
        <v>3652.13936987126</v>
      </c>
      <c r="I121" s="44">
        <v>0</v>
      </c>
    </row>
    <row r="122" spans="1:9" ht="15">
      <c r="A122" s="43" t="str">
        <f>HLOOKUP(INDICE!$F$2,Nombres!$C$3:$D$636,35,FALSE)</f>
        <v>Resultados de operaciones financieras</v>
      </c>
      <c r="B122" s="44">
        <v>34.90358104755584</v>
      </c>
      <c r="C122" s="44">
        <v>-29.696363695031685</v>
      </c>
      <c r="D122" s="44">
        <v>456.07092889623596</v>
      </c>
      <c r="E122" s="45">
        <v>403.2821907222768</v>
      </c>
      <c r="F122" s="44">
        <v>1290.8098919790918</v>
      </c>
      <c r="G122" s="44">
        <v>1419.3105198801186</v>
      </c>
      <c r="H122" s="44">
        <v>1372.7503020378872</v>
      </c>
      <c r="I122" s="44">
        <v>0</v>
      </c>
    </row>
    <row r="123" spans="1:9" ht="15">
      <c r="A123" s="43" t="str">
        <f>HLOOKUP(INDICE!$F$2,Nombres!$C$3:$D$636,36,FALSE)</f>
        <v>Otros ingresos y cargas de explotación</v>
      </c>
      <c r="B123" s="44">
        <v>-436.294763094448</v>
      </c>
      <c r="C123" s="44">
        <v>341.69698119025895</v>
      </c>
      <c r="D123" s="44">
        <v>158.98268568269657</v>
      </c>
      <c r="E123" s="45">
        <v>-71.56712880007389</v>
      </c>
      <c r="F123" s="44">
        <v>-106.20587718815311</v>
      </c>
      <c r="G123" s="44">
        <v>-185.29225568914458</v>
      </c>
      <c r="H123" s="44">
        <v>-203.92059285367972</v>
      </c>
      <c r="I123" s="44">
        <v>0</v>
      </c>
    </row>
    <row r="124" spans="1:9" ht="15">
      <c r="A124" s="41" t="str">
        <f>HLOOKUP(INDICE!$F$2,Nombres!$C$3:$D$636,37,FALSE)</f>
        <v>Margen bruto</v>
      </c>
      <c r="B124" s="50">
        <f aca="true" t="shared" si="19" ref="B124:I124">+SUM(B120:B123)</f>
        <v>25131.4509437664</v>
      </c>
      <c r="C124" s="50">
        <f t="shared" si="19"/>
        <v>27950.05487830617</v>
      </c>
      <c r="D124" s="50">
        <f t="shared" si="19"/>
        <v>30784.68226684159</v>
      </c>
      <c r="E124" s="271">
        <f t="shared" si="19"/>
        <v>35072.35604635057</v>
      </c>
      <c r="F124" s="50">
        <f t="shared" si="19"/>
        <v>36297.90094976648</v>
      </c>
      <c r="G124" s="50">
        <f t="shared" si="19"/>
        <v>34126.423505589315</v>
      </c>
      <c r="H124" s="50">
        <f t="shared" si="19"/>
        <v>35163.73025941451</v>
      </c>
      <c r="I124" s="50">
        <f t="shared" si="19"/>
        <v>0</v>
      </c>
    </row>
    <row r="125" spans="1:9" ht="15">
      <c r="A125" s="43" t="str">
        <f>HLOOKUP(INDICE!$F$2,Nombres!$C$3:$D$636,38,FALSE)</f>
        <v>Gastos de explotación</v>
      </c>
      <c r="B125" s="44">
        <v>-12608.621100401117</v>
      </c>
      <c r="C125" s="44">
        <v>-11566.161441211994</v>
      </c>
      <c r="D125" s="44">
        <v>-8071.450145965391</v>
      </c>
      <c r="E125" s="45">
        <v>-11249.893029915902</v>
      </c>
      <c r="F125" s="44">
        <v>-11719.055136236497</v>
      </c>
      <c r="G125" s="44">
        <v>-12506.169742773212</v>
      </c>
      <c r="H125" s="44">
        <v>-14020.549327220167</v>
      </c>
      <c r="I125" s="44">
        <v>0</v>
      </c>
    </row>
    <row r="126" spans="1:9" ht="15">
      <c r="A126" s="43" t="str">
        <f>HLOOKUP(INDICE!$F$2,Nombres!$C$3:$D$636,39,FALSE)</f>
        <v>  Gastos de administración</v>
      </c>
      <c r="B126" s="44">
        <v>-11630.448241543365</v>
      </c>
      <c r="C126" s="44">
        <v>-10603.777966695743</v>
      </c>
      <c r="D126" s="44">
        <v>-7098.8100796077415</v>
      </c>
      <c r="E126" s="45">
        <v>-10137.452305059674</v>
      </c>
      <c r="F126" s="44">
        <v>-10516.296270644165</v>
      </c>
      <c r="G126" s="44">
        <v>-11323.697756369576</v>
      </c>
      <c r="H126" s="44">
        <v>-12844.787018022756</v>
      </c>
      <c r="I126" s="44">
        <v>0</v>
      </c>
    </row>
    <row r="127" spans="1:9" ht="15">
      <c r="A127" s="46" t="str">
        <f>HLOOKUP(INDICE!$F$2,Nombres!$C$3:$D$636,40,FALSE)</f>
        <v>  Gastos de personal</v>
      </c>
      <c r="B127" s="44">
        <v>-4873.412503764985</v>
      </c>
      <c r="C127" s="44">
        <v>-4851.06590207389</v>
      </c>
      <c r="D127" s="44">
        <v>-5068.173733519071</v>
      </c>
      <c r="E127" s="45">
        <v>-5564.466906143884</v>
      </c>
      <c r="F127" s="44">
        <v>-5334.802907989537</v>
      </c>
      <c r="G127" s="44">
        <v>-5356.771024509985</v>
      </c>
      <c r="H127" s="44">
        <v>-6166.348342512024</v>
      </c>
      <c r="I127" s="44">
        <v>0</v>
      </c>
    </row>
    <row r="128" spans="1:9" ht="15">
      <c r="A128" s="46" t="str">
        <f>HLOOKUP(INDICE!$F$2,Nombres!$C$3:$D$636,41,FALSE)</f>
        <v>  Otros gastos de administración</v>
      </c>
      <c r="B128" s="44">
        <v>-6757.03573777838</v>
      </c>
      <c r="C128" s="44">
        <v>-5752.712064621852</v>
      </c>
      <c r="D128" s="44">
        <v>-2030.63634608867</v>
      </c>
      <c r="E128" s="45">
        <v>-4572.985398915789</v>
      </c>
      <c r="F128" s="44">
        <v>-5181.493362654628</v>
      </c>
      <c r="G128" s="44">
        <v>-5966.92673185959</v>
      </c>
      <c r="H128" s="44">
        <v>-6678.438675510733</v>
      </c>
      <c r="I128" s="44">
        <v>0</v>
      </c>
    </row>
    <row r="129" spans="1:9" ht="15">
      <c r="A129" s="43" t="str">
        <f>HLOOKUP(INDICE!$F$2,Nombres!$C$3:$D$636,42,FALSE)</f>
        <v>  Amortización</v>
      </c>
      <c r="B129" s="44">
        <v>-978.1728588577524</v>
      </c>
      <c r="C129" s="44">
        <v>-962.3834745162521</v>
      </c>
      <c r="D129" s="44">
        <v>-972.6400663576488</v>
      </c>
      <c r="E129" s="45">
        <v>-1112.4407248562275</v>
      </c>
      <c r="F129" s="44">
        <v>-1202.7588655923323</v>
      </c>
      <c r="G129" s="44">
        <v>-1182.471986403636</v>
      </c>
      <c r="H129" s="44">
        <v>-1175.7623091974106</v>
      </c>
      <c r="I129" s="44">
        <v>0</v>
      </c>
    </row>
    <row r="130" spans="1:9" ht="15">
      <c r="A130" s="41" t="str">
        <f>HLOOKUP(INDICE!$F$2,Nombres!$C$3:$D$636,43,FALSE)</f>
        <v>Margen neto</v>
      </c>
      <c r="B130" s="50">
        <f aca="true" t="shared" si="20" ref="B130:I130">+B124+B125</f>
        <v>12522.829843365282</v>
      </c>
      <c r="C130" s="50">
        <f t="shared" si="20"/>
        <v>16383.893437094177</v>
      </c>
      <c r="D130" s="50">
        <f t="shared" si="20"/>
        <v>22713.2321208762</v>
      </c>
      <c r="E130" s="271">
        <f t="shared" si="20"/>
        <v>23822.463016434667</v>
      </c>
      <c r="F130" s="50">
        <f t="shared" si="20"/>
        <v>24578.845813529984</v>
      </c>
      <c r="G130" s="50">
        <f t="shared" si="20"/>
        <v>21620.2537628161</v>
      </c>
      <c r="H130" s="50">
        <f t="shared" si="20"/>
        <v>21143.18093219434</v>
      </c>
      <c r="I130" s="50">
        <f t="shared" si="20"/>
        <v>0</v>
      </c>
    </row>
    <row r="131" spans="1:9" ht="15">
      <c r="A131" s="43" t="str">
        <f>HLOOKUP(INDICE!$F$2,Nombres!$C$3:$D$636,44,FALSE)</f>
        <v>Deterioro de activos financieros no valorados a valor razonable con cambios en resultados</v>
      </c>
      <c r="B131" s="44">
        <v>453.746553618226</v>
      </c>
      <c r="C131" s="44">
        <v>1363.5723024127078</v>
      </c>
      <c r="D131" s="44">
        <v>-4884.862627834353</v>
      </c>
      <c r="E131" s="45">
        <v>-5918.317508303654</v>
      </c>
      <c r="F131" s="44">
        <v>-3624.61596249825</v>
      </c>
      <c r="G131" s="44">
        <v>-9650.732441913668</v>
      </c>
      <c r="H131" s="44">
        <v>-7169.1134854218635</v>
      </c>
      <c r="I131" s="44">
        <v>0</v>
      </c>
    </row>
    <row r="132" spans="1:9" ht="15">
      <c r="A132" s="43" t="str">
        <f>HLOOKUP(INDICE!$F$2,Nombres!$C$3:$D$636,45,FALSE)</f>
        <v>Provisiones o reversión de provisiones y otros resultados</v>
      </c>
      <c r="B132" s="44">
        <v>397.02823441594774</v>
      </c>
      <c r="C132" s="44">
        <v>241.72376082701632</v>
      </c>
      <c r="D132" s="44">
        <v>436.38769935978667</v>
      </c>
      <c r="E132" s="45">
        <v>-3787.327418371704</v>
      </c>
      <c r="F132" s="44">
        <v>119.82201528919839</v>
      </c>
      <c r="G132" s="44">
        <v>22.76840265078002</v>
      </c>
      <c r="H132" s="44">
        <v>-100.62124412114791</v>
      </c>
      <c r="I132" s="44">
        <v>0</v>
      </c>
    </row>
    <row r="133" spans="1:9" ht="15">
      <c r="A133" s="41" t="str">
        <f>HLOOKUP(INDICE!$F$2,Nombres!$C$3:$D$636,46,FALSE)</f>
        <v>Resultado antes de impuestos</v>
      </c>
      <c r="B133" s="50">
        <f aca="true" t="shared" si="21" ref="B133:I133">+B130+B131+B132</f>
        <v>13373.604631399456</v>
      </c>
      <c r="C133" s="50">
        <f t="shared" si="21"/>
        <v>17989.1895003339</v>
      </c>
      <c r="D133" s="50">
        <f t="shared" si="21"/>
        <v>18264.757192401637</v>
      </c>
      <c r="E133" s="271">
        <f t="shared" si="21"/>
        <v>14116.818089759308</v>
      </c>
      <c r="F133" s="50">
        <f t="shared" si="21"/>
        <v>21074.051866320933</v>
      </c>
      <c r="G133" s="50">
        <f t="shared" si="21"/>
        <v>11992.289723553213</v>
      </c>
      <c r="H133" s="50">
        <f t="shared" si="21"/>
        <v>13873.446202651328</v>
      </c>
      <c r="I133" s="50">
        <f t="shared" si="21"/>
        <v>0</v>
      </c>
    </row>
    <row r="134" spans="1:9" ht="15">
      <c r="A134" s="43" t="str">
        <f>HLOOKUP(INDICE!$F$2,Nombres!$C$3:$D$636,47,FALSE)</f>
        <v>Impuesto sobre beneficios</v>
      </c>
      <c r="B134" s="44">
        <v>-3046.386560786584</v>
      </c>
      <c r="C134" s="44">
        <v>-4482.733001428072</v>
      </c>
      <c r="D134" s="44">
        <v>-4403.7905530940125</v>
      </c>
      <c r="E134" s="45">
        <v>-2077.6440494449216</v>
      </c>
      <c r="F134" s="44">
        <v>-4305.302410115448</v>
      </c>
      <c r="G134" s="44">
        <v>-12.782078004810785</v>
      </c>
      <c r="H134" s="44">
        <v>-1115.4649284008854</v>
      </c>
      <c r="I134" s="44">
        <v>0</v>
      </c>
    </row>
    <row r="135" spans="1:9" ht="15">
      <c r="A135" s="41" t="str">
        <f>HLOOKUP(INDICE!$F$2,Nombres!$C$3:$D$636,48,FALSE)</f>
        <v>Resultado del ejercicio</v>
      </c>
      <c r="B135" s="50">
        <f aca="true" t="shared" si="22" ref="B135:I135">+B133+B134</f>
        <v>10327.218070612871</v>
      </c>
      <c r="C135" s="50">
        <f t="shared" si="22"/>
        <v>13506.456498905829</v>
      </c>
      <c r="D135" s="50">
        <f t="shared" si="22"/>
        <v>13860.966639307626</v>
      </c>
      <c r="E135" s="271">
        <f t="shared" si="22"/>
        <v>12039.174040314387</v>
      </c>
      <c r="F135" s="50">
        <f t="shared" si="22"/>
        <v>16768.749456205485</v>
      </c>
      <c r="G135" s="50">
        <f t="shared" si="22"/>
        <v>11979.507645548401</v>
      </c>
      <c r="H135" s="50">
        <f t="shared" si="22"/>
        <v>12757.981274250444</v>
      </c>
      <c r="I135" s="50">
        <f t="shared" si="22"/>
        <v>0</v>
      </c>
    </row>
    <row r="136" spans="1:9" ht="15">
      <c r="A136" s="43" t="str">
        <f>HLOOKUP(INDICE!$F$2,Nombres!$C$3:$D$636,49,FALSE)</f>
        <v>Minoritarios</v>
      </c>
      <c r="B136" s="44">
        <v>0</v>
      </c>
      <c r="C136" s="44">
        <v>0</v>
      </c>
      <c r="D136" s="44">
        <v>0</v>
      </c>
      <c r="E136" s="45">
        <v>0</v>
      </c>
      <c r="F136" s="44">
        <v>0</v>
      </c>
      <c r="G136" s="44">
        <v>0</v>
      </c>
      <c r="H136" s="44">
        <v>0</v>
      </c>
      <c r="I136" s="44">
        <v>0</v>
      </c>
    </row>
    <row r="137" spans="1:9" ht="15">
      <c r="A137" s="47" t="str">
        <f>HLOOKUP(INDICE!$F$2,Nombres!$C$3:$D$636,50,FALSE)</f>
        <v>Resultado atribuido</v>
      </c>
      <c r="B137" s="51">
        <f aca="true" t="shared" si="23" ref="B137:I137">+B135+B136</f>
        <v>10327.218070612871</v>
      </c>
      <c r="C137" s="51">
        <f t="shared" si="23"/>
        <v>13506.456498905829</v>
      </c>
      <c r="D137" s="51">
        <f t="shared" si="23"/>
        <v>13860.966639307626</v>
      </c>
      <c r="E137" s="79">
        <f t="shared" si="23"/>
        <v>12039.174040314387</v>
      </c>
      <c r="F137" s="51">
        <f t="shared" si="23"/>
        <v>16768.749456205485</v>
      </c>
      <c r="G137" s="51">
        <f t="shared" si="23"/>
        <v>11979.507645548401</v>
      </c>
      <c r="H137" s="51">
        <f t="shared" si="23"/>
        <v>12757.981274250444</v>
      </c>
      <c r="I137" s="51">
        <f t="shared" si="23"/>
        <v>0</v>
      </c>
    </row>
    <row r="138" spans="1:9" ht="15">
      <c r="A138" s="270"/>
      <c r="B138" s="63">
        <v>0</v>
      </c>
      <c r="C138" s="63">
        <v>0</v>
      </c>
      <c r="D138" s="63">
        <v>0</v>
      </c>
      <c r="E138" s="63">
        <v>0</v>
      </c>
      <c r="F138" s="63">
        <v>0</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HLOOKUP(INDICE!$F$2,Nombres!$C$3:$D$636,81,FALSE)</f>
        <v>(Millones de pesos chilenos)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Efectivo, saldos en efectivo en bancos centrales y otros depósitos a la vista</v>
      </c>
      <c r="B143" s="44">
        <v>17335.367293680392</v>
      </c>
      <c r="C143" s="44">
        <v>27787.05471706841</v>
      </c>
      <c r="D143" s="44">
        <v>16074.918245139399</v>
      </c>
      <c r="E143" s="45">
        <v>28905.60974547381</v>
      </c>
      <c r="F143" s="44">
        <v>18420.258739675042</v>
      </c>
      <c r="G143" s="44">
        <v>24628.934344214726</v>
      </c>
      <c r="H143" s="44">
        <v>35632.293302589365</v>
      </c>
      <c r="I143" s="44">
        <v>0</v>
      </c>
    </row>
    <row r="144" spans="1:9" ht="15">
      <c r="A144" s="43" t="str">
        <f>HLOOKUP(INDICE!$F$2,Nombres!$C$3:$D$636,53,FALSE)</f>
        <v>Activos financieros a valor razonable</v>
      </c>
      <c r="B144" s="58">
        <v>0</v>
      </c>
      <c r="C144" s="58">
        <v>2432.6779978716495</v>
      </c>
      <c r="D144" s="58">
        <v>0</v>
      </c>
      <c r="E144" s="64">
        <v>0</v>
      </c>
      <c r="F144" s="44">
        <v>0</v>
      </c>
      <c r="G144" s="44">
        <v>0</v>
      </c>
      <c r="H144" s="44">
        <v>0</v>
      </c>
      <c r="I144" s="44">
        <v>0</v>
      </c>
    </row>
    <row r="145" spans="1:9" ht="15">
      <c r="A145" s="43" t="str">
        <f>HLOOKUP(INDICE!$F$2,Nombres!$C$3:$D$636,54,FALSE)</f>
        <v>Activos financieros a coste amortizado</v>
      </c>
      <c r="B145" s="44">
        <v>1324641.8113747004</v>
      </c>
      <c r="C145" s="44">
        <v>1305028.6366613912</v>
      </c>
      <c r="D145" s="44">
        <v>1342079.813342471</v>
      </c>
      <c r="E145" s="45">
        <v>1396559.792168838</v>
      </c>
      <c r="F145" s="44">
        <v>1534307.0629885998</v>
      </c>
      <c r="G145" s="44">
        <v>1569185.3368876826</v>
      </c>
      <c r="H145" s="44">
        <v>1744296.8061553242</v>
      </c>
      <c r="I145" s="44">
        <v>0</v>
      </c>
    </row>
    <row r="146" spans="1:9" ht="15">
      <c r="A146" s="43" t="str">
        <f>HLOOKUP(INDICE!$F$2,Nombres!$C$3:$D$636,55,FALSE)</f>
        <v>    de los que préstamos y anticipos a la clientela</v>
      </c>
      <c r="B146" s="44">
        <v>1286071.3702453645</v>
      </c>
      <c r="C146" s="44">
        <v>1289868.9633190508</v>
      </c>
      <c r="D146" s="44">
        <v>1295909.5515154384</v>
      </c>
      <c r="E146" s="45">
        <v>1339829.6390382661</v>
      </c>
      <c r="F146" s="44">
        <v>1432766.697425615</v>
      </c>
      <c r="G146" s="44">
        <v>1544475.1788521793</v>
      </c>
      <c r="H146" s="44">
        <v>1704247.2008051013</v>
      </c>
      <c r="I146" s="44">
        <v>0</v>
      </c>
    </row>
    <row r="147" spans="1:9" ht="15" customHeight="1" hidden="1">
      <c r="A147" s="43"/>
      <c r="B147" s="44"/>
      <c r="C147" s="44"/>
      <c r="D147" s="44"/>
      <c r="E147" s="45"/>
      <c r="F147" s="44"/>
      <c r="G147" s="44"/>
      <c r="H147" s="44"/>
      <c r="I147" s="44"/>
    </row>
    <row r="148" spans="1:9" ht="15">
      <c r="A148" s="43" t="str">
        <f>HLOOKUP(INDICE!$F$2,Nombres!$C$3:$D$636,56,FALSE)</f>
        <v>Activos tangibles</v>
      </c>
      <c r="B148" s="44">
        <v>8408.87635597391</v>
      </c>
      <c r="C148" s="44">
        <v>7961.253318465731</v>
      </c>
      <c r="D148" s="44">
        <v>7479.173006160597</v>
      </c>
      <c r="E148" s="45">
        <v>7060.415698735576</v>
      </c>
      <c r="F148" s="44">
        <v>6654.18739576022</v>
      </c>
      <c r="G148" s="44">
        <v>6253.26865634132</v>
      </c>
      <c r="H148" s="44">
        <v>5861.813578451871</v>
      </c>
      <c r="I148" s="44">
        <v>0</v>
      </c>
    </row>
    <row r="149" spans="1:9" ht="15">
      <c r="A149" s="43" t="str">
        <f>HLOOKUP(INDICE!$F$2,Nombres!$C$3:$D$636,57,FALSE)</f>
        <v>Otros activos</v>
      </c>
      <c r="B149" s="58">
        <f>+B150-B148-B145-B144-B143</f>
        <v>164386.83724728733</v>
      </c>
      <c r="C149" s="58">
        <f aca="true" t="shared" si="25" ref="C149:I149">+C150-C148-C145-C144-C143</f>
        <v>160879.1825510571</v>
      </c>
      <c r="D149" s="58">
        <f t="shared" si="25"/>
        <v>170142.34657398672</v>
      </c>
      <c r="E149" s="64">
        <f t="shared" si="25"/>
        <v>198469.43349873557</v>
      </c>
      <c r="F149" s="44">
        <f t="shared" si="25"/>
        <v>204022.6206474671</v>
      </c>
      <c r="G149" s="44">
        <f t="shared" si="25"/>
        <v>261879.3069459534</v>
      </c>
      <c r="H149" s="44">
        <f t="shared" si="25"/>
        <v>290277.0141584593</v>
      </c>
      <c r="I149" s="44">
        <f t="shared" si="25"/>
        <v>0</v>
      </c>
    </row>
    <row r="150" spans="1:9" ht="15">
      <c r="A150" s="47" t="str">
        <f>HLOOKUP(INDICE!$F$2,Nombres!$C$3:$D$636,58,FALSE)</f>
        <v>Total activo / pasivo</v>
      </c>
      <c r="B150" s="47">
        <v>1514772.892271642</v>
      </c>
      <c r="C150" s="47">
        <v>1504088.8052458542</v>
      </c>
      <c r="D150" s="47">
        <v>1535776.2511677577</v>
      </c>
      <c r="E150" s="47">
        <v>1630995.2511117829</v>
      </c>
      <c r="F150" s="51">
        <v>1763404.1297715022</v>
      </c>
      <c r="G150" s="51">
        <v>1861946.846834192</v>
      </c>
      <c r="H150" s="51">
        <v>2076067.927194825</v>
      </c>
      <c r="I150" s="51">
        <v>0</v>
      </c>
    </row>
    <row r="151" spans="1:9" ht="15">
      <c r="A151" s="43" t="str">
        <f>HLOOKUP(INDICE!$F$2,Nombres!$C$3:$D$636,59,FALSE)</f>
        <v>Pasivos financieros mantenidos para negociar y designados a valor razonable con cambios en resultados</v>
      </c>
      <c r="B151" s="58">
        <v>0</v>
      </c>
      <c r="C151" s="58">
        <v>0</v>
      </c>
      <c r="D151" s="58">
        <v>0</v>
      </c>
      <c r="E151" s="64">
        <v>0</v>
      </c>
      <c r="F151" s="44">
        <v>0</v>
      </c>
      <c r="G151" s="44">
        <v>0</v>
      </c>
      <c r="H151" s="44">
        <v>0</v>
      </c>
      <c r="I151" s="44">
        <v>0</v>
      </c>
    </row>
    <row r="152" spans="1:9" ht="15">
      <c r="A152" s="43" t="str">
        <f>HLOOKUP(INDICE!$F$2,Nombres!$C$3:$D$636,60,FALSE)</f>
        <v>Depósitos de bancos centrales y entidades de crédito</v>
      </c>
      <c r="B152" s="58">
        <v>363994.6428247061</v>
      </c>
      <c r="C152" s="58">
        <v>369345.88082197413</v>
      </c>
      <c r="D152" s="58">
        <v>354919.23278475815</v>
      </c>
      <c r="E152" s="64">
        <v>454724.2553548659</v>
      </c>
      <c r="F152" s="44">
        <v>566628.3054292497</v>
      </c>
      <c r="G152" s="44">
        <v>521451.32020510035</v>
      </c>
      <c r="H152" s="44">
        <v>776227.4748277952</v>
      </c>
      <c r="I152" s="44">
        <v>0</v>
      </c>
    </row>
    <row r="153" spans="1:9" ht="15">
      <c r="A153" s="43" t="str">
        <f>HLOOKUP(INDICE!$F$2,Nombres!$C$3:$D$636,61,FALSE)</f>
        <v>Depósitos de la clientela</v>
      </c>
      <c r="B153" s="58">
        <v>4540.930576061861</v>
      </c>
      <c r="C153" s="58">
        <v>6279.175320655773</v>
      </c>
      <c r="D153" s="58">
        <v>5939.233801732159</v>
      </c>
      <c r="E153" s="64">
        <v>7178.089293714502</v>
      </c>
      <c r="F153" s="44">
        <v>13525.957544185481</v>
      </c>
      <c r="G153" s="44">
        <v>10386.12118364514</v>
      </c>
      <c r="H153" s="44">
        <v>8369.445636189594</v>
      </c>
      <c r="I153" s="44">
        <v>0</v>
      </c>
    </row>
    <row r="154" spans="1:9" ht="15">
      <c r="A154" s="43" t="str">
        <f>HLOOKUP(INDICE!$F$2,Nombres!$C$3:$D$636,62,FALSE)</f>
        <v>Valores representativos de deuda emitidos</v>
      </c>
      <c r="B154" s="44">
        <v>743024.1230893725</v>
      </c>
      <c r="C154" s="44">
        <v>748434.5377609772</v>
      </c>
      <c r="D154" s="44">
        <v>765676.3522037738</v>
      </c>
      <c r="E154" s="45">
        <v>735704.3837546099</v>
      </c>
      <c r="F154" s="44">
        <v>712712.7140436578</v>
      </c>
      <c r="G154" s="44">
        <v>836533.7818410009</v>
      </c>
      <c r="H154" s="44">
        <v>770835.7438570334</v>
      </c>
      <c r="I154" s="44">
        <v>0</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+B150-B151-B152-B153-B154-B157</f>
        <v>217060.66537235957</v>
      </c>
      <c r="C156" s="58">
        <f aca="true" t="shared" si="26" ref="C156:I156">+C150-C151-C152-C153-C154-C157</f>
        <v>196085.06071478894</v>
      </c>
      <c r="D156" s="58">
        <f t="shared" si="26"/>
        <v>200469.57149359534</v>
      </c>
      <c r="E156" s="64">
        <f t="shared" si="26"/>
        <v>220072.47495667438</v>
      </c>
      <c r="F156" s="44">
        <f t="shared" si="26"/>
        <v>258781.02457528442</v>
      </c>
      <c r="G156" s="44">
        <f t="shared" si="26"/>
        <v>244239.7228380093</v>
      </c>
      <c r="H156" s="44">
        <f t="shared" si="26"/>
        <v>243960.86360399745</v>
      </c>
      <c r="I156" s="44">
        <f t="shared" si="26"/>
        <v>0</v>
      </c>
    </row>
    <row r="157" spans="1:9" ht="15.75" customHeight="1">
      <c r="A157" s="43" t="str">
        <f>HLOOKUP(INDICE!$F$2,Nombres!$C$3:$D$636,282,FALSE)</f>
        <v>Dotación de capital regulatorio</v>
      </c>
      <c r="B157" s="58">
        <v>186152.53040914203</v>
      </c>
      <c r="C157" s="58">
        <v>183944.15062745803</v>
      </c>
      <c r="D157" s="58">
        <v>208771.86088389836</v>
      </c>
      <c r="E157" s="64">
        <v>213316.0477519181</v>
      </c>
      <c r="F157" s="44">
        <v>211756.12817912505</v>
      </c>
      <c r="G157" s="44">
        <v>249335.9007664363</v>
      </c>
      <c r="H157" s="44">
        <v>276674.3992698092</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HLOOKUP(INDICE!$F$2,Nombres!$C$3:$D$636,81,FALSE)</f>
        <v>(Millones de pesos chilenos)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Préstamos y anticipos a la clientela bruto (*)</v>
      </c>
      <c r="B163" s="44">
        <v>1339807.1460603876</v>
      </c>
      <c r="C163" s="44">
        <v>1338841.4627410038</v>
      </c>
      <c r="D163" s="44">
        <v>1345100.1412322442</v>
      </c>
      <c r="E163" s="45">
        <v>1391985.8290989662</v>
      </c>
      <c r="F163" s="44">
        <v>1486051.7523443364</v>
      </c>
      <c r="G163" s="44">
        <v>1605380.5248713156</v>
      </c>
      <c r="H163" s="44">
        <v>1768909.8315872238</v>
      </c>
      <c r="I163" s="44">
        <v>0</v>
      </c>
    </row>
    <row r="164" spans="1:9" ht="15">
      <c r="A164" s="43" t="str">
        <f>HLOOKUP(INDICE!$F$2,Nombres!$C$3:$D$636,67,FALSE)</f>
        <v>Depósitos de clientes en gestión (**)</v>
      </c>
      <c r="B164" s="44">
        <v>4540.93057606186</v>
      </c>
      <c r="C164" s="44">
        <v>6279.175320655774</v>
      </c>
      <c r="D164" s="44">
        <v>5939.233801732159</v>
      </c>
      <c r="E164" s="45">
        <v>7178.089293714502</v>
      </c>
      <c r="F164" s="44">
        <v>13525.957544185481</v>
      </c>
      <c r="G164" s="44">
        <v>10386.12118364514</v>
      </c>
      <c r="H164" s="44">
        <v>8369.445636189594</v>
      </c>
      <c r="I164" s="44">
        <v>0</v>
      </c>
    </row>
    <row r="165" spans="1:9" ht="15">
      <c r="A165" s="43" t="str">
        <f>HLOOKUP(INDICE!$F$2,Nombres!$C$3:$D$636,68,FALSE)</f>
        <v>Fondos de inversión y carteras gestionadas</v>
      </c>
      <c r="B165" s="44">
        <v>0</v>
      </c>
      <c r="C165" s="44">
        <v>0</v>
      </c>
      <c r="D165" s="44">
        <v>0</v>
      </c>
      <c r="E165" s="45">
        <v>0</v>
      </c>
      <c r="F165" s="44">
        <v>0</v>
      </c>
      <c r="G165" s="44">
        <v>0</v>
      </c>
      <c r="H165" s="44">
        <v>0</v>
      </c>
      <c r="I165" s="44">
        <v>0</v>
      </c>
    </row>
    <row r="166" spans="1:9" ht="15">
      <c r="A166" s="43" t="str">
        <f>HLOOKUP(INDICE!$F$2,Nombres!$C$3:$D$636,69,FALSE)</f>
        <v>Fondos de pensiones</v>
      </c>
      <c r="B166" s="44">
        <v>0</v>
      </c>
      <c r="C166" s="44">
        <v>0</v>
      </c>
      <c r="D166" s="44">
        <v>0</v>
      </c>
      <c r="E166" s="45">
        <v>0</v>
      </c>
      <c r="F166" s="44">
        <v>0</v>
      </c>
      <c r="G166" s="44">
        <v>0</v>
      </c>
      <c r="H166" s="44">
        <v>0</v>
      </c>
      <c r="I166" s="44">
        <v>0</v>
      </c>
    </row>
    <row r="167" spans="1:9" ht="15">
      <c r="A167" s="43" t="str">
        <f>HLOOKUP(INDICE!$F$2,Nombres!$C$3:$D$636,70,FALSE)</f>
        <v>Otros recursos fuera de balance</v>
      </c>
      <c r="B167" s="44">
        <v>0</v>
      </c>
      <c r="C167" s="44">
        <v>0</v>
      </c>
      <c r="D167" s="44">
        <v>0</v>
      </c>
      <c r="E167" s="45">
        <v>0</v>
      </c>
      <c r="F167" s="44">
        <v>0</v>
      </c>
      <c r="G167" s="44">
        <v>0</v>
      </c>
      <c r="H167" s="44">
        <v>0</v>
      </c>
      <c r="I167" s="44">
        <v>0</v>
      </c>
    </row>
    <row r="168" spans="1:9" ht="15">
      <c r="A168" s="62" t="str">
        <f>HLOOKUP(INDICE!$F$2,Nombres!$C$3:$D$636,71,FALSE)</f>
        <v>(*) No incluye las adquisiciones temporales de activos.</v>
      </c>
      <c r="B168" s="44"/>
      <c r="C168" s="58"/>
      <c r="D168" s="58"/>
      <c r="E168" s="58"/>
      <c r="F168" s="44"/>
      <c r="G168" s="44"/>
      <c r="H168" s="44"/>
      <c r="I168" s="44"/>
    </row>
    <row r="169" spans="1:9" ht="15">
      <c r="A169" s="62" t="str">
        <f>HLOOKUP(INDICE!$F$2,Nombres!$C$3:$D$636,72,FALSE)</f>
        <v>(**) No incluye las cesiones temporales de activos.</v>
      </c>
      <c r="B169" s="30"/>
      <c r="C169" s="30"/>
      <c r="D169" s="30"/>
      <c r="E169" s="30"/>
      <c r="F169" s="30"/>
      <c r="G169" s="30"/>
      <c r="H169" s="30"/>
      <c r="I169" s="30"/>
    </row>
    <row r="170" spans="1:9" ht="15">
      <c r="A170" s="30"/>
      <c r="B170" s="30"/>
      <c r="C170" s="30"/>
      <c r="D170" s="30"/>
      <c r="E170" s="30"/>
      <c r="F170" s="30"/>
      <c r="G170" s="30"/>
      <c r="H170" s="30"/>
      <c r="I170" s="30"/>
    </row>
    <row r="171" spans="1:9" ht="15">
      <c r="A171" s="30"/>
      <c r="B171" s="30"/>
      <c r="C171" s="30"/>
      <c r="D171" s="30"/>
      <c r="E171" s="30"/>
      <c r="F171" s="30"/>
      <c r="G171" s="30"/>
      <c r="H171" s="30"/>
      <c r="I171" s="30"/>
    </row>
    <row r="172" spans="1:9" ht="15">
      <c r="A172" s="72"/>
      <c r="B172" s="73"/>
      <c r="C172" s="74"/>
      <c r="D172" s="74"/>
      <c r="E172" s="74"/>
      <c r="F172" s="73"/>
      <c r="G172" s="73"/>
      <c r="H172" s="73"/>
      <c r="I172" s="73"/>
    </row>
    <row r="173" spans="1:13" ht="15">
      <c r="A173" s="72"/>
      <c r="B173" s="73"/>
      <c r="C173" s="74"/>
      <c r="D173" s="74"/>
      <c r="E173" s="74"/>
      <c r="F173" s="73"/>
      <c r="G173" s="73"/>
      <c r="H173" s="73"/>
      <c r="I173" s="73"/>
      <c r="J173" s="73"/>
      <c r="K173" s="73"/>
      <c r="L173" s="73"/>
      <c r="M173" s="73"/>
    </row>
    <row r="174" spans="1:13" ht="15">
      <c r="A174" s="73"/>
      <c r="B174" s="73"/>
      <c r="C174" s="73"/>
      <c r="D174" s="73"/>
      <c r="E174" s="73"/>
      <c r="F174" s="73"/>
      <c r="G174" s="73"/>
      <c r="H174" s="73"/>
      <c r="I174" s="73"/>
      <c r="J174" s="73"/>
      <c r="K174" s="73"/>
      <c r="L174" s="73"/>
      <c r="M174" s="73"/>
    </row>
    <row r="175" spans="1:13" ht="15">
      <c r="A175" s="73"/>
      <c r="B175" s="73"/>
      <c r="C175" s="73"/>
      <c r="D175" s="73"/>
      <c r="E175" s="73"/>
      <c r="F175" s="73"/>
      <c r="G175" s="73"/>
      <c r="H175" s="73"/>
      <c r="I175" s="73"/>
      <c r="J175" s="73"/>
      <c r="K175" s="73"/>
      <c r="L175" s="73"/>
      <c r="M175" s="73"/>
    </row>
    <row r="176" spans="1:15" ht="15">
      <c r="A176" s="73"/>
      <c r="B176" s="73"/>
      <c r="C176" s="73"/>
      <c r="D176" s="73"/>
      <c r="E176" s="73"/>
      <c r="F176" s="73"/>
      <c r="G176" s="73"/>
      <c r="H176" s="73"/>
      <c r="I176" s="73"/>
      <c r="J176" s="73"/>
      <c r="K176" s="73"/>
      <c r="L176" s="73"/>
      <c r="M176" s="73"/>
      <c r="N176" s="73"/>
      <c r="O176" s="73"/>
    </row>
    <row r="177" spans="1:15" ht="15">
      <c r="A177" s="73"/>
      <c r="B177" s="73"/>
      <c r="C177" s="73"/>
      <c r="D177" s="73"/>
      <c r="E177" s="73"/>
      <c r="F177" s="73"/>
      <c r="G177" s="73"/>
      <c r="H177" s="73"/>
      <c r="I177" s="73"/>
      <c r="J177" s="73"/>
      <c r="K177" s="73"/>
      <c r="L177" s="73"/>
      <c r="M177" s="73"/>
      <c r="N177" s="73"/>
      <c r="O177" s="73"/>
    </row>
    <row r="178" spans="1:15" ht="15">
      <c r="A178" s="73"/>
      <c r="B178" s="73"/>
      <c r="C178" s="73"/>
      <c r="D178" s="73"/>
      <c r="E178" s="73"/>
      <c r="F178" s="73"/>
      <c r="G178" s="73"/>
      <c r="H178" s="73"/>
      <c r="I178" s="73"/>
      <c r="J178" s="73"/>
      <c r="K178" s="73"/>
      <c r="L178" s="73"/>
      <c r="M178" s="73"/>
      <c r="N178" s="73"/>
      <c r="O178" s="73"/>
    </row>
    <row r="179" spans="1:15" ht="15">
      <c r="A179" s="73"/>
      <c r="B179" s="73"/>
      <c r="C179" s="73"/>
      <c r="D179" s="73"/>
      <c r="E179" s="73"/>
      <c r="F179" s="73"/>
      <c r="G179" s="73"/>
      <c r="H179" s="73"/>
      <c r="I179" s="73"/>
      <c r="J179" s="73"/>
      <c r="K179" s="73"/>
      <c r="L179" s="73"/>
      <c r="M179" s="73"/>
      <c r="N179" s="73"/>
      <c r="O179" s="73"/>
    </row>
    <row r="180" spans="1:15" ht="15">
      <c r="A180" s="73"/>
      <c r="B180" s="73"/>
      <c r="C180" s="73"/>
      <c r="D180" s="73"/>
      <c r="E180" s="73"/>
      <c r="F180" s="73"/>
      <c r="G180" s="73"/>
      <c r="H180" s="73"/>
      <c r="I180" s="73"/>
      <c r="J180" s="73"/>
      <c r="K180" s="73"/>
      <c r="L180" s="73"/>
      <c r="M180" s="73"/>
      <c r="N180" s="73"/>
      <c r="O180" s="73"/>
    </row>
    <row r="181" spans="14:15" ht="15">
      <c r="N181" s="73"/>
      <c r="O181" s="73"/>
    </row>
    <row r="182" spans="14:15" ht="15">
      <c r="N182" s="73"/>
      <c r="O182" s="73"/>
    </row>
    <row r="183" spans="14:15" ht="15">
      <c r="N183" s="73"/>
      <c r="O183" s="73"/>
    </row>
    <row r="997" ht="15">
      <c r="A997" s="31" t="s">
        <v>392</v>
      </c>
    </row>
  </sheetData>
  <sheetProtection/>
  <mergeCells count="6">
    <mergeCell ref="B6:E6"/>
    <mergeCell ref="F6:I6"/>
    <mergeCell ref="B62:E62"/>
    <mergeCell ref="F62:I62"/>
    <mergeCell ref="B118:E118"/>
    <mergeCell ref="F118:I118"/>
  </mergeCells>
  <conditionalFormatting sqref="G26:I26">
    <cfRule type="cellIs" priority="18" dxfId="131" operator="notBetween">
      <formula>0.5</formula>
      <formula>-0.5</formula>
    </cfRule>
  </conditionalFormatting>
  <conditionalFormatting sqref="C26">
    <cfRule type="cellIs" priority="17" dxfId="131" operator="notBetween">
      <formula>0.5</formula>
      <formula>-0.5</formula>
    </cfRule>
  </conditionalFormatting>
  <conditionalFormatting sqref="D26">
    <cfRule type="cellIs" priority="16" dxfId="131" operator="notBetween">
      <formula>0.5</formula>
      <formula>-0.5</formula>
    </cfRule>
  </conditionalFormatting>
  <conditionalFormatting sqref="E26">
    <cfRule type="cellIs" priority="15" dxfId="131" operator="notBetween">
      <formula>0.5</formula>
      <formula>-0.5</formula>
    </cfRule>
  </conditionalFormatting>
  <conditionalFormatting sqref="F26:I26">
    <cfRule type="cellIs" priority="14" dxfId="131" operator="notBetween">
      <formula>0.5</formula>
      <formula>-0.5</formula>
    </cfRule>
  </conditionalFormatting>
  <conditionalFormatting sqref="G82:I82">
    <cfRule type="cellIs" priority="13" dxfId="131" operator="notBetween">
      <formula>0.5</formula>
      <formula>-0.5</formula>
    </cfRule>
  </conditionalFormatting>
  <conditionalFormatting sqref="C82">
    <cfRule type="cellIs" priority="12" dxfId="131" operator="notBetween">
      <formula>0.5</formula>
      <formula>-0.5</formula>
    </cfRule>
  </conditionalFormatting>
  <conditionalFormatting sqref="D82">
    <cfRule type="cellIs" priority="11" dxfId="131" operator="notBetween">
      <formula>0.5</formula>
      <formula>-0.5</formula>
    </cfRule>
  </conditionalFormatting>
  <conditionalFormatting sqref="E82">
    <cfRule type="cellIs" priority="10" dxfId="131" operator="notBetween">
      <formula>0.5</formula>
      <formula>-0.5</formula>
    </cfRule>
  </conditionalFormatting>
  <conditionalFormatting sqref="F82:I82">
    <cfRule type="cellIs" priority="9" dxfId="131" operator="notBetween">
      <formula>0.5</formula>
      <formula>-0.5</formula>
    </cfRule>
  </conditionalFormatting>
  <conditionalFormatting sqref="G138:I138">
    <cfRule type="cellIs" priority="8" dxfId="131" operator="notBetween">
      <formula>0.5</formula>
      <formula>-0.5</formula>
    </cfRule>
  </conditionalFormatting>
  <conditionalFormatting sqref="C138">
    <cfRule type="cellIs" priority="7" dxfId="131" operator="notBetween">
      <formula>0.5</formula>
      <formula>-0.5</formula>
    </cfRule>
  </conditionalFormatting>
  <conditionalFormatting sqref="D138">
    <cfRule type="cellIs" priority="6" dxfId="131" operator="notBetween">
      <formula>0.5</formula>
      <formula>-0.5</formula>
    </cfRule>
  </conditionalFormatting>
  <conditionalFormatting sqref="E138">
    <cfRule type="cellIs" priority="5" dxfId="131" operator="notBetween">
      <formula>0.5</formula>
      <formula>-0.5</formula>
    </cfRule>
  </conditionalFormatting>
  <conditionalFormatting sqref="F138:I138">
    <cfRule type="cellIs" priority="4" dxfId="131" operator="notBetween">
      <formula>0.5</formula>
      <formula>-0.5</formula>
    </cfRule>
  </conditionalFormatting>
  <conditionalFormatting sqref="B26:I26">
    <cfRule type="cellIs" priority="3" dxfId="131" operator="notBetween">
      <formula>0.5</formula>
      <formula>-0.5</formula>
    </cfRule>
  </conditionalFormatting>
  <conditionalFormatting sqref="B82:I82">
    <cfRule type="cellIs" priority="2" dxfId="131" operator="notBetween">
      <formula>0.5</formula>
      <formula>-0.5</formula>
    </cfRule>
  </conditionalFormatting>
  <conditionalFormatting sqref="B138:I138">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29" t="str">
        <f>HLOOKUP(INDICE!$F$2,Nombres!$C$3:$D$636,16,FALSE)</f>
        <v>Colombia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13">
        <f>+España!B6</f>
        <v>2021</v>
      </c>
      <c r="C6" s="313"/>
      <c r="D6" s="313"/>
      <c r="E6" s="314"/>
      <c r="F6" s="313">
        <f>+España!F6</f>
        <v>2022</v>
      </c>
      <c r="G6" s="313"/>
      <c r="H6" s="313"/>
      <c r="I6" s="313"/>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200.88199999999998</v>
      </c>
      <c r="C8" s="41">
        <v>187.75100000000003</v>
      </c>
      <c r="D8" s="41">
        <v>186.068</v>
      </c>
      <c r="E8" s="42">
        <v>194.73200000000008</v>
      </c>
      <c r="F8" s="50">
        <v>212.54699999999997</v>
      </c>
      <c r="G8" s="50">
        <v>229.45900000000006</v>
      </c>
      <c r="H8" s="50">
        <v>209.98399999999998</v>
      </c>
      <c r="I8" s="50">
        <v>0</v>
      </c>
    </row>
    <row r="9" spans="1:9" ht="15">
      <c r="A9" s="43" t="str">
        <f>HLOOKUP(INDICE!$F$2,Nombres!$C$3:$D$636,34,FALSE)</f>
        <v>Comisiones netas</v>
      </c>
      <c r="B9" s="44">
        <v>21.442577090000007</v>
      </c>
      <c r="C9" s="44">
        <v>21.786242820000002</v>
      </c>
      <c r="D9" s="44">
        <v>19.6519719</v>
      </c>
      <c r="E9" s="45">
        <v>19.83739961000001</v>
      </c>
      <c r="F9" s="44">
        <v>25.100369359999995</v>
      </c>
      <c r="G9" s="44">
        <v>26.831253300000007</v>
      </c>
      <c r="H9" s="44">
        <v>26.33378805</v>
      </c>
      <c r="I9" s="44">
        <v>0</v>
      </c>
    </row>
    <row r="10" spans="1:9" ht="15">
      <c r="A10" s="43" t="str">
        <f>HLOOKUP(INDICE!$F$2,Nombres!$C$3:$D$636,35,FALSE)</f>
        <v>Resultados de operaciones financieras</v>
      </c>
      <c r="B10" s="44">
        <v>7.323841200000001</v>
      </c>
      <c r="C10" s="44">
        <v>21.407726229999998</v>
      </c>
      <c r="D10" s="44">
        <v>18.564150070000004</v>
      </c>
      <c r="E10" s="45">
        <v>23.17207716</v>
      </c>
      <c r="F10" s="44">
        <v>24.080761770000002</v>
      </c>
      <c r="G10" s="44">
        <v>27.28842504999998</v>
      </c>
      <c r="H10" s="44">
        <v>28.27491731999998</v>
      </c>
      <c r="I10" s="44">
        <v>0</v>
      </c>
    </row>
    <row r="11" spans="1:9" ht="15">
      <c r="A11" s="43" t="str">
        <f>HLOOKUP(INDICE!$F$2,Nombres!$C$3:$D$636,36,FALSE)</f>
        <v>Otros ingresos y cargas de explotación</v>
      </c>
      <c r="B11" s="44">
        <v>-4.484</v>
      </c>
      <c r="C11" s="44">
        <v>-9.119</v>
      </c>
      <c r="D11" s="44">
        <v>-9.748999999999999</v>
      </c>
      <c r="E11" s="45">
        <v>-8.159000000000017</v>
      </c>
      <c r="F11" s="44">
        <v>-3.629000000000004</v>
      </c>
      <c r="G11" s="44">
        <v>-4.538999999999997</v>
      </c>
      <c r="H11" s="44">
        <v>-9.156999999999996</v>
      </c>
      <c r="I11" s="44">
        <v>0</v>
      </c>
    </row>
    <row r="12" spans="1:9" ht="15">
      <c r="A12" s="41" t="str">
        <f>HLOOKUP(INDICE!$F$2,Nombres!$C$3:$D$636,37,FALSE)</f>
        <v>Margen bruto</v>
      </c>
      <c r="B12" s="41">
        <f>+SUM(B8:B11)</f>
        <v>225.16441829</v>
      </c>
      <c r="C12" s="41">
        <f aca="true" t="shared" si="0" ref="C12:I12">+SUM(C8:C11)</f>
        <v>221.82596905000005</v>
      </c>
      <c r="D12" s="41">
        <f t="shared" si="0"/>
        <v>214.53512197000003</v>
      </c>
      <c r="E12" s="42">
        <f t="shared" si="0"/>
        <v>229.58247677000006</v>
      </c>
      <c r="F12" s="50">
        <f t="shared" si="0"/>
        <v>258.09913112999993</v>
      </c>
      <c r="G12" s="50">
        <f t="shared" si="0"/>
        <v>279.0396783500001</v>
      </c>
      <c r="H12" s="50">
        <f t="shared" si="0"/>
        <v>255.43570537</v>
      </c>
      <c r="I12" s="50">
        <f t="shared" si="0"/>
        <v>0</v>
      </c>
    </row>
    <row r="13" spans="1:9" ht="15">
      <c r="A13" s="43" t="str">
        <f>HLOOKUP(INDICE!$F$2,Nombres!$C$3:$D$636,38,FALSE)</f>
        <v>Gastos de explotación</v>
      </c>
      <c r="B13" s="44">
        <v>-82.39568934000002</v>
      </c>
      <c r="C13" s="44">
        <v>-79.25102936</v>
      </c>
      <c r="D13" s="44">
        <v>-82.50551233</v>
      </c>
      <c r="E13" s="45">
        <v>-85.82463134000001</v>
      </c>
      <c r="F13" s="44">
        <v>-88.63072147999999</v>
      </c>
      <c r="G13" s="44">
        <v>-98.69991742</v>
      </c>
      <c r="H13" s="44">
        <v>-102.64975664999999</v>
      </c>
      <c r="I13" s="44">
        <v>0</v>
      </c>
    </row>
    <row r="14" spans="1:9" ht="15">
      <c r="A14" s="43" t="str">
        <f>HLOOKUP(INDICE!$F$2,Nombres!$C$3:$D$636,39,FALSE)</f>
        <v>  Gastos de administración</v>
      </c>
      <c r="B14" s="44">
        <v>-75.29368934000001</v>
      </c>
      <c r="C14" s="44">
        <v>-72.44402936</v>
      </c>
      <c r="D14" s="44">
        <v>-75.91251233</v>
      </c>
      <c r="E14" s="45">
        <v>-79.05763134</v>
      </c>
      <c r="F14" s="44">
        <v>-81.40872148</v>
      </c>
      <c r="G14" s="44">
        <v>-91.13491742000002</v>
      </c>
      <c r="H14" s="44">
        <v>-95.46175664999998</v>
      </c>
      <c r="I14" s="44">
        <v>0</v>
      </c>
    </row>
    <row r="15" spans="1:9" ht="15">
      <c r="A15" s="46" t="str">
        <f>HLOOKUP(INDICE!$F$2,Nombres!$C$3:$D$636,40,FALSE)</f>
        <v>  Gastos de personal</v>
      </c>
      <c r="B15" s="44">
        <v>-37.051</v>
      </c>
      <c r="C15" s="44">
        <v>-34.51000001</v>
      </c>
      <c r="D15" s="44">
        <v>-37.00099999</v>
      </c>
      <c r="E15" s="45">
        <v>-35.537</v>
      </c>
      <c r="F15" s="44">
        <v>-41.048</v>
      </c>
      <c r="G15" s="44">
        <v>-45.84</v>
      </c>
      <c r="H15" s="44">
        <v>-44.34999999</v>
      </c>
      <c r="I15" s="44">
        <v>0</v>
      </c>
    </row>
    <row r="16" spans="1:9" ht="15">
      <c r="A16" s="46" t="str">
        <f>HLOOKUP(INDICE!$F$2,Nombres!$C$3:$D$636,41,FALSE)</f>
        <v>  Otros gastos de administración</v>
      </c>
      <c r="B16" s="44">
        <v>-38.24268934</v>
      </c>
      <c r="C16" s="44">
        <v>-37.93402935</v>
      </c>
      <c r="D16" s="44">
        <v>-38.91151234</v>
      </c>
      <c r="E16" s="45">
        <v>-43.52063134000001</v>
      </c>
      <c r="F16" s="44">
        <v>-40.36072148</v>
      </c>
      <c r="G16" s="44">
        <v>-45.294917420000004</v>
      </c>
      <c r="H16" s="44">
        <v>-51.11175665999998</v>
      </c>
      <c r="I16" s="44">
        <v>0</v>
      </c>
    </row>
    <row r="17" spans="1:9" ht="15">
      <c r="A17" s="43" t="str">
        <f>HLOOKUP(INDICE!$F$2,Nombres!$C$3:$D$636,42,FALSE)</f>
        <v>  Amortización</v>
      </c>
      <c r="B17" s="44">
        <v>-7.102</v>
      </c>
      <c r="C17" s="44">
        <v>-6.807</v>
      </c>
      <c r="D17" s="44">
        <v>-6.593</v>
      </c>
      <c r="E17" s="45">
        <v>-6.767</v>
      </c>
      <c r="F17" s="44">
        <v>-7.2219999999999995</v>
      </c>
      <c r="G17" s="44">
        <v>-7.565</v>
      </c>
      <c r="H17" s="44">
        <v>-7.188000000000001</v>
      </c>
      <c r="I17" s="44">
        <v>0</v>
      </c>
    </row>
    <row r="18" spans="1:9" ht="15">
      <c r="A18" s="41" t="str">
        <f>HLOOKUP(INDICE!$F$2,Nombres!$C$3:$D$636,43,FALSE)</f>
        <v>Margen neto</v>
      </c>
      <c r="B18" s="41">
        <f>+B12+B13</f>
        <v>142.76872894999997</v>
      </c>
      <c r="C18" s="41">
        <f aca="true" t="shared" si="1" ref="C18:I18">+C12+C13</f>
        <v>142.57493969000006</v>
      </c>
      <c r="D18" s="41">
        <f t="shared" si="1"/>
        <v>132.02960964000005</v>
      </c>
      <c r="E18" s="42">
        <f t="shared" si="1"/>
        <v>143.75784543000003</v>
      </c>
      <c r="F18" s="50">
        <f t="shared" si="1"/>
        <v>169.46840964999996</v>
      </c>
      <c r="G18" s="50">
        <f t="shared" si="1"/>
        <v>180.33976093000007</v>
      </c>
      <c r="H18" s="50">
        <f t="shared" si="1"/>
        <v>152.78594872000002</v>
      </c>
      <c r="I18" s="50">
        <f t="shared" si="1"/>
        <v>0</v>
      </c>
    </row>
    <row r="19" spans="1:9" ht="15">
      <c r="A19" s="43" t="str">
        <f>HLOOKUP(INDICE!$F$2,Nombres!$C$3:$D$636,44,FALSE)</f>
        <v>Deterioro de activos financieros no valorados a valor razonable con cambios en resultados</v>
      </c>
      <c r="B19" s="44">
        <v>-68.209</v>
      </c>
      <c r="C19" s="44">
        <v>-66.84700000000001</v>
      </c>
      <c r="D19" s="44">
        <v>-49.621</v>
      </c>
      <c r="E19" s="45">
        <v>-41.258999999999986</v>
      </c>
      <c r="F19" s="44">
        <v>-55.44199999999999</v>
      </c>
      <c r="G19" s="44">
        <v>-54.81700000000001</v>
      </c>
      <c r="H19" s="44">
        <v>-55.49100000000002</v>
      </c>
      <c r="I19" s="44">
        <v>0</v>
      </c>
    </row>
    <row r="20" spans="1:9" ht="15">
      <c r="A20" s="43" t="str">
        <f>HLOOKUP(INDICE!$F$2,Nombres!$C$3:$D$636,45,FALSE)</f>
        <v>Provisiones o reversión de provisiones y otros resultados</v>
      </c>
      <c r="B20" s="44">
        <v>-7.4769999999999985</v>
      </c>
      <c r="C20" s="44">
        <v>3.812</v>
      </c>
      <c r="D20" s="44">
        <v>2.474</v>
      </c>
      <c r="E20" s="45">
        <v>-3.8530000000000006</v>
      </c>
      <c r="F20" s="44">
        <v>-1.6279999999999997</v>
      </c>
      <c r="G20" s="44">
        <v>-3.370000000000001</v>
      </c>
      <c r="H20" s="44">
        <v>-5.473000000000001</v>
      </c>
      <c r="I20" s="44">
        <v>0</v>
      </c>
    </row>
    <row r="21" spans="1:9" ht="15">
      <c r="A21" s="41" t="str">
        <f>HLOOKUP(INDICE!$F$2,Nombres!$C$3:$D$636,46,FALSE)</f>
        <v>Resultado antes de impuestos</v>
      </c>
      <c r="B21" s="41">
        <f>+B18+B19+B20</f>
        <v>67.08272894999996</v>
      </c>
      <c r="C21" s="41">
        <f aca="true" t="shared" si="2" ref="C21:I21">+C18+C19+C20</f>
        <v>79.53993969000005</v>
      </c>
      <c r="D21" s="41">
        <f t="shared" si="2"/>
        <v>84.88260964000004</v>
      </c>
      <c r="E21" s="42">
        <f t="shared" si="2"/>
        <v>98.64584543000005</v>
      </c>
      <c r="F21" s="50">
        <f t="shared" si="2"/>
        <v>112.39840964999996</v>
      </c>
      <c r="G21" s="50">
        <f t="shared" si="2"/>
        <v>122.15276093000006</v>
      </c>
      <c r="H21" s="50">
        <f t="shared" si="2"/>
        <v>91.82194872000001</v>
      </c>
      <c r="I21" s="50">
        <f t="shared" si="2"/>
        <v>0</v>
      </c>
    </row>
    <row r="22" spans="1:9" ht="15">
      <c r="A22" s="43" t="str">
        <f>HLOOKUP(INDICE!$F$2,Nombres!$C$3:$D$636,47,FALSE)</f>
        <v>Impuesto sobre beneficios</v>
      </c>
      <c r="B22" s="44">
        <v>-18.26494178</v>
      </c>
      <c r="C22" s="44">
        <v>-20.94797282</v>
      </c>
      <c r="D22" s="44">
        <v>-30.519016289999996</v>
      </c>
      <c r="E22" s="45">
        <v>-28.29888186000001</v>
      </c>
      <c r="F22" s="44">
        <v>-40.56970269</v>
      </c>
      <c r="G22" s="44">
        <v>-40.13303441</v>
      </c>
      <c r="H22" s="44">
        <v>-32.08847906</v>
      </c>
      <c r="I22" s="44">
        <v>0</v>
      </c>
    </row>
    <row r="23" spans="1:9" ht="15">
      <c r="A23" s="41" t="str">
        <f>HLOOKUP(INDICE!$F$2,Nombres!$C$3:$D$636,48,FALSE)</f>
        <v>Resultado del ejercicio</v>
      </c>
      <c r="B23" s="41">
        <f>+B21+B22</f>
        <v>48.81778716999996</v>
      </c>
      <c r="C23" s="41">
        <f aca="true" t="shared" si="3" ref="C23:I23">+C21+C22</f>
        <v>58.59196687000005</v>
      </c>
      <c r="D23" s="41">
        <f t="shared" si="3"/>
        <v>54.363593350000045</v>
      </c>
      <c r="E23" s="42">
        <f t="shared" si="3"/>
        <v>70.34696357000004</v>
      </c>
      <c r="F23" s="50">
        <f t="shared" si="3"/>
        <v>71.82870695999996</v>
      </c>
      <c r="G23" s="50">
        <f t="shared" si="3"/>
        <v>82.01972652000006</v>
      </c>
      <c r="H23" s="50">
        <f t="shared" si="3"/>
        <v>59.73346966000001</v>
      </c>
      <c r="I23" s="50">
        <f t="shared" si="3"/>
        <v>0</v>
      </c>
    </row>
    <row r="24" spans="1:9" ht="15">
      <c r="A24" s="43" t="str">
        <f>HLOOKUP(INDICE!$F$2,Nombres!$C$3:$D$636,49,FALSE)</f>
        <v>Minoritarios</v>
      </c>
      <c r="B24" s="44">
        <v>-1.9025127199999998</v>
      </c>
      <c r="C24" s="44">
        <v>-2.2688781899999997</v>
      </c>
      <c r="D24" s="44">
        <v>-2.0351615499999998</v>
      </c>
      <c r="E24" s="45">
        <v>-2.7948472599999996</v>
      </c>
      <c r="F24" s="44">
        <v>-2.6336704399999995</v>
      </c>
      <c r="G24" s="44">
        <v>-2.46849901</v>
      </c>
      <c r="H24" s="44">
        <v>-1.7643560000000005</v>
      </c>
      <c r="I24" s="44">
        <v>0</v>
      </c>
    </row>
    <row r="25" spans="1:9" ht="15">
      <c r="A25" s="47" t="str">
        <f>HLOOKUP(INDICE!$F$2,Nombres!$C$3:$D$636,50,FALSE)</f>
        <v>Resultado atribuido</v>
      </c>
      <c r="B25" s="47">
        <f>+B23+B24</f>
        <v>46.91527444999996</v>
      </c>
      <c r="C25" s="47">
        <f aca="true" t="shared" si="4" ref="C25:I25">+C23+C24</f>
        <v>56.32308868000005</v>
      </c>
      <c r="D25" s="47">
        <f t="shared" si="4"/>
        <v>52.32843180000005</v>
      </c>
      <c r="E25" s="47">
        <f t="shared" si="4"/>
        <v>67.55211631000005</v>
      </c>
      <c r="F25" s="51">
        <f t="shared" si="4"/>
        <v>69.19503651999996</v>
      </c>
      <c r="G25" s="51">
        <f t="shared" si="4"/>
        <v>79.55122751000006</v>
      </c>
      <c r="H25" s="51">
        <f t="shared" si="4"/>
        <v>57.96911366000001</v>
      </c>
      <c r="I25" s="51">
        <f t="shared" si="4"/>
        <v>0</v>
      </c>
    </row>
    <row r="26" spans="1:9" ht="15">
      <c r="A26" s="62"/>
      <c r="B26" s="63">
        <v>0</v>
      </c>
      <c r="C26" s="63">
        <v>0</v>
      </c>
      <c r="D26" s="63">
        <v>5.684341886080802E-14</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Efectivo, saldos en efectivo en bancos centrales y otros depósitos a la vista</v>
      </c>
      <c r="B31" s="44">
        <v>850.8539999999999</v>
      </c>
      <c r="C31" s="44">
        <v>1637.203</v>
      </c>
      <c r="D31" s="44">
        <v>1604.7279999999998</v>
      </c>
      <c r="E31" s="45">
        <v>2291.037</v>
      </c>
      <c r="F31" s="44">
        <v>1954.2510000000002</v>
      </c>
      <c r="G31" s="44">
        <v>2289.665</v>
      </c>
      <c r="H31" s="44">
        <v>2473.2560000000003</v>
      </c>
      <c r="I31" s="44">
        <v>0</v>
      </c>
    </row>
    <row r="32" spans="1:9" ht="15">
      <c r="A32" s="43" t="str">
        <f>HLOOKUP(INDICE!$F$2,Nombres!$C$3:$D$636,53,FALSE)</f>
        <v>Activos financieros a valor razonable</v>
      </c>
      <c r="B32" s="58">
        <v>2339.992</v>
      </c>
      <c r="C32" s="58">
        <v>1797.245</v>
      </c>
      <c r="D32" s="58">
        <v>1874.4669999999996</v>
      </c>
      <c r="E32" s="64">
        <v>2070.1910000000007</v>
      </c>
      <c r="F32" s="44">
        <v>2833.606</v>
      </c>
      <c r="G32" s="44">
        <v>3459.0099999999998</v>
      </c>
      <c r="H32" s="44">
        <v>3412.79</v>
      </c>
      <c r="I32" s="44">
        <v>0</v>
      </c>
    </row>
    <row r="33" spans="1:9" ht="15">
      <c r="A33" s="43" t="str">
        <f>HLOOKUP(INDICE!$F$2,Nombres!$C$3:$D$636,54,FALSE)</f>
        <v>Activos financieros a coste amortizado</v>
      </c>
      <c r="B33" s="44">
        <v>12129.947000000002</v>
      </c>
      <c r="C33" s="44">
        <v>12130.293</v>
      </c>
      <c r="D33" s="44">
        <v>12569.425</v>
      </c>
      <c r="E33" s="45">
        <v>13134.494000000002</v>
      </c>
      <c r="F33" s="44">
        <v>14983.569999999998</v>
      </c>
      <c r="G33" s="44">
        <v>15759.891999999998</v>
      </c>
      <c r="H33" s="44">
        <v>15630.280000000002</v>
      </c>
      <c r="I33" s="44">
        <v>0</v>
      </c>
    </row>
    <row r="34" spans="1:9" ht="15">
      <c r="A34" s="43" t="str">
        <f>HLOOKUP(INDICE!$F$2,Nombres!$C$3:$D$636,55,FALSE)</f>
        <v>    de los que préstamos y anticipos a la clientela</v>
      </c>
      <c r="B34" s="44">
        <v>11305.914999999997</v>
      </c>
      <c r="C34" s="44">
        <v>11350.898000000003</v>
      </c>
      <c r="D34" s="44">
        <v>11754.867000000002</v>
      </c>
      <c r="E34" s="45">
        <v>12328.554999999998</v>
      </c>
      <c r="F34" s="44">
        <v>14033.595</v>
      </c>
      <c r="G34" s="44">
        <v>14554.254</v>
      </c>
      <c r="H34" s="44">
        <v>14626.701</v>
      </c>
      <c r="I34" s="44">
        <v>0</v>
      </c>
    </row>
    <row r="35" spans="1:9" ht="15" customHeight="1" hidden="1">
      <c r="A35" s="43"/>
      <c r="B35" s="44"/>
      <c r="C35" s="44"/>
      <c r="D35" s="44"/>
      <c r="E35" s="45"/>
      <c r="F35" s="44"/>
      <c r="G35" s="44"/>
      <c r="H35" s="44"/>
      <c r="I35" s="44"/>
    </row>
    <row r="36" spans="1:9" ht="15">
      <c r="A36" s="43" t="str">
        <f>HLOOKUP(INDICE!$F$2,Nombres!$C$3:$D$636,56,FALSE)</f>
        <v>Activos tangibles</v>
      </c>
      <c r="B36" s="44">
        <v>106.25500000000001</v>
      </c>
      <c r="C36" s="44">
        <v>101.18100000000003</v>
      </c>
      <c r="D36" s="44">
        <v>100.869</v>
      </c>
      <c r="E36" s="45">
        <v>99.553</v>
      </c>
      <c r="F36" s="44">
        <v>105.84</v>
      </c>
      <c r="G36" s="44">
        <v>101.583</v>
      </c>
      <c r="H36" s="44">
        <v>98.19400000000002</v>
      </c>
      <c r="I36" s="44">
        <v>0</v>
      </c>
    </row>
    <row r="37" spans="1:9" ht="15">
      <c r="A37" s="43" t="str">
        <f>HLOOKUP(INDICE!$F$2,Nombres!$C$3:$D$636,57,FALSE)</f>
        <v>Otros activos</v>
      </c>
      <c r="B37" s="58">
        <f>+B38-B36-B33-B32-B31</f>
        <v>665.5359999999995</v>
      </c>
      <c r="C37" s="58">
        <f aca="true" t="shared" si="5" ref="C37:I37">+C38-C36-C33-C32-C31</f>
        <v>725.4700020199984</v>
      </c>
      <c r="D37" s="58">
        <f t="shared" si="5"/>
        <v>716.0520000000035</v>
      </c>
      <c r="E37" s="64">
        <f t="shared" si="5"/>
        <v>614.4509999999959</v>
      </c>
      <c r="F37" s="44">
        <f t="shared" si="5"/>
        <v>638.2563698599965</v>
      </c>
      <c r="G37" s="44">
        <f t="shared" si="5"/>
        <v>686.4183542299957</v>
      </c>
      <c r="H37" s="44">
        <f t="shared" si="5"/>
        <v>711.1058793799984</v>
      </c>
      <c r="I37" s="44">
        <f t="shared" si="5"/>
        <v>0</v>
      </c>
    </row>
    <row r="38" spans="1:9" ht="15">
      <c r="A38" s="47" t="str">
        <f>HLOOKUP(INDICE!$F$2,Nombres!$C$3:$D$636,58,FALSE)</f>
        <v>Total activo / pasivo</v>
      </c>
      <c r="B38" s="47">
        <v>16092.584</v>
      </c>
      <c r="C38" s="47">
        <v>16391.39200202</v>
      </c>
      <c r="D38" s="47">
        <v>16865.541</v>
      </c>
      <c r="E38" s="47">
        <v>18209.726</v>
      </c>
      <c r="F38" s="51">
        <v>20515.523369859995</v>
      </c>
      <c r="G38" s="51">
        <v>22296.568354229992</v>
      </c>
      <c r="H38" s="51">
        <v>22325.62587938</v>
      </c>
      <c r="I38" s="51">
        <v>0</v>
      </c>
    </row>
    <row r="39" spans="1:9" ht="15">
      <c r="A39" s="43" t="str">
        <f>HLOOKUP(INDICE!$F$2,Nombres!$C$3:$D$636,59,FALSE)</f>
        <v>Pasivos financieros mantenidos para negociar y designados a valor razonable con cambios en resultados</v>
      </c>
      <c r="B39" s="58">
        <v>953.83</v>
      </c>
      <c r="C39" s="58">
        <v>801.3800000000001</v>
      </c>
      <c r="D39" s="58">
        <v>1070.816</v>
      </c>
      <c r="E39" s="64">
        <v>1526.2820000000002</v>
      </c>
      <c r="F39" s="44">
        <v>2159.98</v>
      </c>
      <c r="G39" s="44">
        <v>2693.205</v>
      </c>
      <c r="H39" s="44">
        <v>3097.04</v>
      </c>
      <c r="I39" s="44">
        <v>0</v>
      </c>
    </row>
    <row r="40" spans="1:9" ht="15.75" customHeight="1">
      <c r="A40" s="43" t="str">
        <f>HLOOKUP(INDICE!$F$2,Nombres!$C$3:$D$636,60,FALSE)</f>
        <v>Depósitos de bancos centrales y entidades de crédito</v>
      </c>
      <c r="B40" s="58">
        <v>395.64700000999994</v>
      </c>
      <c r="C40" s="58">
        <v>439.034</v>
      </c>
      <c r="D40" s="58">
        <v>509.10799998999994</v>
      </c>
      <c r="E40" s="64">
        <v>707.2239999999999</v>
      </c>
      <c r="F40" s="44">
        <v>1515.10800001</v>
      </c>
      <c r="G40" s="44">
        <v>866.4019999899999</v>
      </c>
      <c r="H40" s="44">
        <v>1194.093</v>
      </c>
      <c r="I40" s="44">
        <v>0</v>
      </c>
    </row>
    <row r="41" spans="1:9" ht="15">
      <c r="A41" s="43" t="str">
        <f>HLOOKUP(INDICE!$F$2,Nombres!$C$3:$D$636,61,FALSE)</f>
        <v>Depósitos de la clientela</v>
      </c>
      <c r="B41" s="58">
        <v>11750.15199999</v>
      </c>
      <c r="C41" s="58">
        <v>12172.918</v>
      </c>
      <c r="D41" s="58">
        <v>12192.843000009998</v>
      </c>
      <c r="E41" s="64">
        <v>12808.773000000001</v>
      </c>
      <c r="F41" s="44">
        <v>13447.496999990002</v>
      </c>
      <c r="G41" s="44">
        <v>15291.701000009998</v>
      </c>
      <c r="H41" s="44">
        <v>14512.007999999998</v>
      </c>
      <c r="I41" s="44">
        <v>0</v>
      </c>
    </row>
    <row r="42" spans="1:9" ht="15">
      <c r="A42" s="43" t="str">
        <f>HLOOKUP(INDICE!$F$2,Nombres!$C$3:$D$636,62,FALSE)</f>
        <v>Valores representativos de deuda emitidos</v>
      </c>
      <c r="B42" s="44">
        <v>786.25855903</v>
      </c>
      <c r="C42" s="44">
        <v>781.3103575099999</v>
      </c>
      <c r="D42" s="44">
        <v>812.9652056699999</v>
      </c>
      <c r="E42" s="45">
        <v>825.57491559</v>
      </c>
      <c r="F42" s="44">
        <v>878.09216156</v>
      </c>
      <c r="G42" s="44">
        <v>926.68810403</v>
      </c>
      <c r="H42" s="44">
        <v>967.88829056</v>
      </c>
      <c r="I42" s="44">
        <v>0</v>
      </c>
    </row>
    <row r="43" spans="1:9" ht="15" customHeight="1" hidden="1">
      <c r="A43" s="43"/>
      <c r="B43" s="44"/>
      <c r="C43" s="44"/>
      <c r="D43" s="44"/>
      <c r="E43" s="45"/>
      <c r="F43" s="44"/>
      <c r="G43" s="44"/>
      <c r="H43" s="44"/>
      <c r="I43" s="44"/>
    </row>
    <row r="44" spans="1:9" ht="15">
      <c r="A44" s="43" t="str">
        <f>HLOOKUP(INDICE!$F$2,Nombres!$C$3:$D$636,63,FALSE)</f>
        <v>Otros pasivos</v>
      </c>
      <c r="B44" s="58">
        <f>+B38-B39-B40-B41-B42-B45</f>
        <v>725.877412850002</v>
      </c>
      <c r="C44" s="58">
        <f aca="true" t="shared" si="6" ref="C44:I44">+C38-C39-C40-C41-C42-C45</f>
        <v>740.6406283899983</v>
      </c>
      <c r="D44" s="58">
        <f t="shared" si="6"/>
        <v>768.2748206700035</v>
      </c>
      <c r="E44" s="64">
        <f t="shared" si="6"/>
        <v>732.391322399998</v>
      </c>
      <c r="F44" s="44">
        <f t="shared" si="6"/>
        <v>691.0029178499922</v>
      </c>
      <c r="G44" s="44">
        <f t="shared" si="6"/>
        <v>507.77871122999454</v>
      </c>
      <c r="H44" s="44">
        <f t="shared" si="6"/>
        <v>524.1015022400011</v>
      </c>
      <c r="I44" s="44">
        <f t="shared" si="6"/>
        <v>0</v>
      </c>
    </row>
    <row r="45" spans="1:9" ht="15">
      <c r="A45" s="43" t="str">
        <f>HLOOKUP(INDICE!$F$2,Nombres!$C$3:$D$636,282,FALSE)</f>
        <v>Dotación de capital regulatorio</v>
      </c>
      <c r="B45" s="58">
        <v>1480.8190281199998</v>
      </c>
      <c r="C45" s="58">
        <v>1456.10901612</v>
      </c>
      <c r="D45" s="58">
        <v>1511.53397366</v>
      </c>
      <c r="E45" s="64">
        <v>1609.48076201</v>
      </c>
      <c r="F45" s="44">
        <v>1823.84329045</v>
      </c>
      <c r="G45" s="44">
        <v>2010.7935389700003</v>
      </c>
      <c r="H45" s="44">
        <v>2030.4950865800001</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Indicadores relevantes y de gestión</v>
      </c>
      <c r="B48" s="34"/>
      <c r="C48" s="34"/>
      <c r="D48" s="34"/>
      <c r="E48" s="34"/>
      <c r="F48" s="68"/>
      <c r="G48" s="68"/>
      <c r="H48" s="68"/>
      <c r="I48" s="68"/>
    </row>
    <row r="49" spans="1:9" ht="15">
      <c r="A49" s="35" t="str">
        <f>HLOOKUP(INDICE!$F$2,Nombres!$C$3:$D$636,32,FALSE)</f>
        <v>(Millones de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43" t="str">
        <f>HLOOKUP(INDICE!$F$2,Nombres!$C$3:$D$636,66,FALSE)</f>
        <v>Préstamos y anticipos a la clientela bruto (*)</v>
      </c>
      <c r="B51" s="44">
        <v>12036.97017208</v>
      </c>
      <c r="C51" s="44">
        <v>12081.27330734</v>
      </c>
      <c r="D51" s="44">
        <v>12486.544080319998</v>
      </c>
      <c r="E51" s="45">
        <v>13032.426773160003</v>
      </c>
      <c r="F51" s="44">
        <v>14795.368867159998</v>
      </c>
      <c r="G51" s="44">
        <v>15289.196495580001</v>
      </c>
      <c r="H51" s="44">
        <v>15343.507025570001</v>
      </c>
      <c r="I51" s="44">
        <v>0</v>
      </c>
    </row>
    <row r="52" spans="1:9" ht="15">
      <c r="A52" s="43" t="str">
        <f>HLOOKUP(INDICE!$F$2,Nombres!$C$3:$D$636,67,FALSE)</f>
        <v>Depósitos de clientes en gestión (**)</v>
      </c>
      <c r="B52" s="44">
        <v>11749.840563439999</v>
      </c>
      <c r="C52" s="44">
        <v>12156.89869217</v>
      </c>
      <c r="D52" s="44">
        <v>12170.919346829998</v>
      </c>
      <c r="E52" s="45">
        <v>12813.57684951</v>
      </c>
      <c r="F52" s="44">
        <v>13454.03386858</v>
      </c>
      <c r="G52" s="44">
        <v>15291.150695029997</v>
      </c>
      <c r="H52" s="44">
        <v>14522.02052336</v>
      </c>
      <c r="I52" s="44">
        <v>0</v>
      </c>
    </row>
    <row r="53" spans="1:9" ht="15">
      <c r="A53" s="43" t="str">
        <f>HLOOKUP(INDICE!$F$2,Nombres!$C$3:$D$636,68,FALSE)</f>
        <v>Fondos de inversión y carteras gestionadas</v>
      </c>
      <c r="B53" s="44">
        <v>1418.3319806199997</v>
      </c>
      <c r="C53" s="44">
        <v>1290.78533827</v>
      </c>
      <c r="D53" s="44">
        <v>1362.3609899599999</v>
      </c>
      <c r="E53" s="45">
        <v>2375.4923008099995</v>
      </c>
      <c r="F53" s="44">
        <v>2572.59723743</v>
      </c>
      <c r="G53" s="44">
        <v>2309.0974927700004</v>
      </c>
      <c r="H53" s="44">
        <v>2286.9094191</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13">
        <f>+B$6</f>
        <v>2021</v>
      </c>
      <c r="C62" s="313"/>
      <c r="D62" s="313"/>
      <c r="E62" s="314"/>
      <c r="F62" s="313">
        <f>+F$6</f>
        <v>2022</v>
      </c>
      <c r="G62" s="313"/>
      <c r="H62" s="313"/>
      <c r="I62" s="313"/>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199.04932878612024</v>
      </c>
      <c r="C64" s="41">
        <v>193.59371012120326</v>
      </c>
      <c r="D64" s="41">
        <v>195.4594989566013</v>
      </c>
      <c r="E64" s="42">
        <v>199.79206658712383</v>
      </c>
      <c r="F64" s="50">
        <v>215.77234518756035</v>
      </c>
      <c r="G64" s="50">
        <v>221.88202476311395</v>
      </c>
      <c r="H64" s="50">
        <v>214.33563004932574</v>
      </c>
      <c r="I64" s="50">
        <v>0</v>
      </c>
    </row>
    <row r="65" spans="1:9" ht="15">
      <c r="A65" s="43" t="str">
        <f>HLOOKUP(INDICE!$F$2,Nombres!$C$3:$D$636,34,FALSE)</f>
        <v>Comisiones netas</v>
      </c>
      <c r="B65" s="44">
        <v>21.246953819700813</v>
      </c>
      <c r="C65" s="44">
        <v>22.427914804013092</v>
      </c>
      <c r="D65" s="44">
        <v>20.6722496975594</v>
      </c>
      <c r="E65" s="45">
        <v>20.35579500551019</v>
      </c>
      <c r="F65" s="44">
        <v>25.481260906440372</v>
      </c>
      <c r="G65" s="44">
        <v>25.93908541414906</v>
      </c>
      <c r="H65" s="44">
        <v>26.84506438941056</v>
      </c>
      <c r="I65" s="44">
        <v>0</v>
      </c>
    </row>
    <row r="66" spans="1:9" ht="15">
      <c r="A66" s="43" t="str">
        <f>HLOOKUP(INDICE!$F$2,Nombres!$C$3:$D$636,35,FALSE)</f>
        <v>Resultados de operaciones financieras</v>
      </c>
      <c r="B66" s="44">
        <v>7.257024895192867</v>
      </c>
      <c r="C66" s="44">
        <v>21.771003986260524</v>
      </c>
      <c r="D66" s="44">
        <v>19.37058447026382</v>
      </c>
      <c r="E66" s="45">
        <v>23.759969916973347</v>
      </c>
      <c r="F66" s="44">
        <v>24.446181037680347</v>
      </c>
      <c r="G66" s="44">
        <v>26.417266726796978</v>
      </c>
      <c r="H66" s="44">
        <v>28.780656375522625</v>
      </c>
      <c r="I66" s="44">
        <v>0</v>
      </c>
    </row>
    <row r="67" spans="1:9" ht="15">
      <c r="A67" s="43" t="str">
        <f>HLOOKUP(INDICE!$F$2,Nombres!$C$3:$D$636,36,FALSE)</f>
        <v>Otros ingresos y cargas de explotación</v>
      </c>
      <c r="B67" s="44">
        <v>-4.443091916035099</v>
      </c>
      <c r="C67" s="44">
        <v>-9.30026816469999</v>
      </c>
      <c r="D67" s="44">
        <v>-10.153188671047793</v>
      </c>
      <c r="E67" s="45">
        <v>-8.37051918117163</v>
      </c>
      <c r="F67" s="44">
        <v>-3.6840691267609382</v>
      </c>
      <c r="G67" s="44">
        <v>-4.4035154167907535</v>
      </c>
      <c r="H67" s="44">
        <v>-9.237415456448304</v>
      </c>
      <c r="I67" s="44">
        <v>0</v>
      </c>
    </row>
    <row r="68" spans="1:9" ht="15">
      <c r="A68" s="41" t="str">
        <f>HLOOKUP(INDICE!$F$2,Nombres!$C$3:$D$636,37,FALSE)</f>
        <v>Margen bruto</v>
      </c>
      <c r="B68" s="41">
        <f>+SUM(B64:B67)</f>
        <v>223.11021558497885</v>
      </c>
      <c r="C68" s="41">
        <f aca="true" t="shared" si="9" ref="C68:I68">+SUM(C64:C67)</f>
        <v>228.49236074677688</v>
      </c>
      <c r="D68" s="41">
        <f t="shared" si="9"/>
        <v>225.34914445337674</v>
      </c>
      <c r="E68" s="42">
        <f t="shared" si="9"/>
        <v>235.53731232843572</v>
      </c>
      <c r="F68" s="50">
        <f t="shared" si="9"/>
        <v>262.01571800492013</v>
      </c>
      <c r="G68" s="50">
        <f t="shared" si="9"/>
        <v>269.8348614872692</v>
      </c>
      <c r="H68" s="50">
        <f t="shared" si="9"/>
        <v>260.72393535781066</v>
      </c>
      <c r="I68" s="50">
        <f t="shared" si="9"/>
        <v>0</v>
      </c>
    </row>
    <row r="69" spans="1:9" ht="15">
      <c r="A69" s="43" t="str">
        <f>HLOOKUP(INDICE!$F$2,Nombres!$C$3:$D$636,38,FALSE)</f>
        <v>Gastos de explotación</v>
      </c>
      <c r="B69" s="44">
        <v>-81.64398332352665</v>
      </c>
      <c r="C69" s="44">
        <v>-81.67065763533496</v>
      </c>
      <c r="D69" s="44">
        <v>-86.53101216142578</v>
      </c>
      <c r="E69" s="45">
        <v>-88.04860077187635</v>
      </c>
      <c r="F69" s="44">
        <v>-89.9756695197066</v>
      </c>
      <c r="G69" s="44">
        <v>-95.51066491972809</v>
      </c>
      <c r="H69" s="44">
        <v>-104.49406111056533</v>
      </c>
      <c r="I69" s="44">
        <v>0</v>
      </c>
    </row>
    <row r="70" spans="1:9" ht="15">
      <c r="A70" s="43" t="str">
        <f>HLOOKUP(INDICE!$F$2,Nombres!$C$3:$D$636,39,FALSE)</f>
        <v>  Gastos de administración</v>
      </c>
      <c r="B70" s="44">
        <v>-74.60677574375829</v>
      </c>
      <c r="C70" s="44">
        <v>-74.65534772903816</v>
      </c>
      <c r="D70" s="44">
        <v>-79.60344046844621</v>
      </c>
      <c r="E70" s="45">
        <v>-81.1054036234882</v>
      </c>
      <c r="F70" s="44">
        <v>-82.64407755677811</v>
      </c>
      <c r="G70" s="44">
        <v>-88.20083760676299</v>
      </c>
      <c r="H70" s="44">
        <v>-97.1604803864589</v>
      </c>
      <c r="I70" s="44">
        <v>0</v>
      </c>
    </row>
    <row r="71" spans="1:9" ht="15">
      <c r="A71" s="46" t="str">
        <f>HLOOKUP(INDICE!$F$2,Nombres!$C$3:$D$636,40,FALSE)</f>
        <v>  Gastos de personal</v>
      </c>
      <c r="B71" s="44">
        <v>-36.71297916614998</v>
      </c>
      <c r="C71" s="44">
        <v>-35.586410003512405</v>
      </c>
      <c r="D71" s="44">
        <v>-38.79418421124942</v>
      </c>
      <c r="E71" s="45">
        <v>-36.462906009485565</v>
      </c>
      <c r="F71" s="44">
        <v>-41.67089267436839</v>
      </c>
      <c r="G71" s="44">
        <v>-44.36167904699781</v>
      </c>
      <c r="H71" s="44">
        <v>-45.20542826863382</v>
      </c>
      <c r="I71" s="44">
        <v>0</v>
      </c>
    </row>
    <row r="72" spans="1:9" ht="15">
      <c r="A72" s="46" t="str">
        <f>HLOOKUP(INDICE!$F$2,Nombres!$C$3:$D$636,41,FALSE)</f>
        <v>  Otros gastos de administración</v>
      </c>
      <c r="B72" s="44">
        <v>-37.89379657760831</v>
      </c>
      <c r="C72" s="44">
        <v>-39.06893772552574</v>
      </c>
      <c r="D72" s="44">
        <v>-40.809256257196765</v>
      </c>
      <c r="E72" s="45">
        <v>-44.64249761400264</v>
      </c>
      <c r="F72" s="44">
        <v>-40.97318488240974</v>
      </c>
      <c r="G72" s="44">
        <v>-43.839158559765174</v>
      </c>
      <c r="H72" s="44">
        <v>-51.95505211782509</v>
      </c>
      <c r="I72" s="44">
        <v>0</v>
      </c>
    </row>
    <row r="73" spans="1:9" ht="15">
      <c r="A73" s="43" t="str">
        <f>HLOOKUP(INDICE!$F$2,Nombres!$C$3:$D$636,42,FALSE)</f>
        <v>  Amortización</v>
      </c>
      <c r="B73" s="44">
        <v>-7.037207579768349</v>
      </c>
      <c r="C73" s="44">
        <v>-7.01530990629681</v>
      </c>
      <c r="D73" s="44">
        <v>-6.927571692979567</v>
      </c>
      <c r="E73" s="45">
        <v>-6.94319714838812</v>
      </c>
      <c r="F73" s="44">
        <v>-7.331591962928485</v>
      </c>
      <c r="G73" s="44">
        <v>-7.309827312965099</v>
      </c>
      <c r="H73" s="44">
        <v>-7.333580724106417</v>
      </c>
      <c r="I73" s="44">
        <v>0</v>
      </c>
    </row>
    <row r="74" spans="1:9" ht="15">
      <c r="A74" s="41" t="str">
        <f>HLOOKUP(INDICE!$F$2,Nombres!$C$3:$D$636,43,FALSE)</f>
        <v>Margen neto</v>
      </c>
      <c r="B74" s="41">
        <f>+B68+B69</f>
        <v>141.4662322614522</v>
      </c>
      <c r="C74" s="41">
        <f aca="true" t="shared" si="10" ref="C74:I74">+C68+C69</f>
        <v>146.82170311144193</v>
      </c>
      <c r="D74" s="41">
        <f t="shared" si="10"/>
        <v>138.81813229195097</v>
      </c>
      <c r="E74" s="42">
        <f t="shared" si="10"/>
        <v>147.48871155655937</v>
      </c>
      <c r="F74" s="50">
        <f t="shared" si="10"/>
        <v>172.04004848521353</v>
      </c>
      <c r="G74" s="50">
        <f t="shared" si="10"/>
        <v>174.32419656754115</v>
      </c>
      <c r="H74" s="50">
        <f t="shared" si="10"/>
        <v>156.22987424724533</v>
      </c>
      <c r="I74" s="50">
        <f t="shared" si="10"/>
        <v>0</v>
      </c>
    </row>
    <row r="75" spans="1:9" ht="15">
      <c r="A75" s="43" t="str">
        <f>HLOOKUP(INDICE!$F$2,Nombres!$C$3:$D$636,44,FALSE)</f>
        <v>Deterioro de activos financieros no valorados a valor razonable con cambios en resultados</v>
      </c>
      <c r="B75" s="44">
        <v>-67.58672089670789</v>
      </c>
      <c r="C75" s="44">
        <v>-68.86282986884078</v>
      </c>
      <c r="D75" s="44">
        <v>-52.533959590438265</v>
      </c>
      <c r="E75" s="45">
        <v>-42.373547830043655</v>
      </c>
      <c r="F75" s="44">
        <v>-56.28331786329009</v>
      </c>
      <c r="G75" s="44">
        <v>-52.89016208130655</v>
      </c>
      <c r="H75" s="44">
        <v>-56.57652005540336</v>
      </c>
      <c r="I75" s="44">
        <v>0</v>
      </c>
    </row>
    <row r="76" spans="1:9" ht="15">
      <c r="A76" s="43" t="str">
        <f>HLOOKUP(INDICE!$F$2,Nombres!$C$3:$D$636,45,FALSE)</f>
        <v>Provisiones o reversión de provisiones y otros resultados</v>
      </c>
      <c r="B76" s="44">
        <v>-7.408786408607146</v>
      </c>
      <c r="C76" s="44">
        <v>3.7059697728728143</v>
      </c>
      <c r="D76" s="44">
        <v>2.4840435300742847</v>
      </c>
      <c r="E76" s="45">
        <v>-3.9462515096749957</v>
      </c>
      <c r="F76" s="44">
        <v>-1.6527044746119601</v>
      </c>
      <c r="G76" s="44">
        <v>-3.296089299711171</v>
      </c>
      <c r="H76" s="44">
        <v>-5.52220622567687</v>
      </c>
      <c r="I76" s="44">
        <v>0</v>
      </c>
    </row>
    <row r="77" spans="1:9" ht="15">
      <c r="A77" s="41" t="str">
        <f>HLOOKUP(INDICE!$F$2,Nombres!$C$3:$D$636,46,FALSE)</f>
        <v>Resultado antes de impuestos</v>
      </c>
      <c r="B77" s="41">
        <f>+B74+B75+B76</f>
        <v>66.47072495613718</v>
      </c>
      <c r="C77" s="41">
        <f aca="true" t="shared" si="11" ref="C77:I77">+C74+C75+C76</f>
        <v>81.66484301547398</v>
      </c>
      <c r="D77" s="41">
        <f t="shared" si="11"/>
        <v>88.768216231587</v>
      </c>
      <c r="E77" s="42">
        <f t="shared" si="11"/>
        <v>101.16891221684071</v>
      </c>
      <c r="F77" s="50">
        <f t="shared" si="11"/>
        <v>114.10402614731149</v>
      </c>
      <c r="G77" s="50">
        <f t="shared" si="11"/>
        <v>118.13794518652342</v>
      </c>
      <c r="H77" s="50">
        <f t="shared" si="11"/>
        <v>94.1311479661651</v>
      </c>
      <c r="I77" s="50">
        <f t="shared" si="11"/>
        <v>0</v>
      </c>
    </row>
    <row r="78" spans="1:9" ht="15">
      <c r="A78" s="43" t="str">
        <f>HLOOKUP(INDICE!$F$2,Nombres!$C$3:$D$636,47,FALSE)</f>
        <v>Impuesto sobre beneficios</v>
      </c>
      <c r="B78" s="44">
        <v>-18.098308467789863</v>
      </c>
      <c r="C78" s="44">
        <v>-21.51921745758793</v>
      </c>
      <c r="D78" s="44">
        <v>-31.740494204325834</v>
      </c>
      <c r="E78" s="45">
        <v>-29.02492216114696</v>
      </c>
      <c r="F78" s="44">
        <v>-41.18533732766576</v>
      </c>
      <c r="G78" s="44">
        <v>-38.72286654014462</v>
      </c>
      <c r="H78" s="44">
        <v>-32.88301229218961</v>
      </c>
      <c r="I78" s="44">
        <v>0</v>
      </c>
    </row>
    <row r="79" spans="1:9" ht="15">
      <c r="A79" s="41" t="str">
        <f>HLOOKUP(INDICE!$F$2,Nombres!$C$3:$D$636,48,FALSE)</f>
        <v>Resultado del ejercicio</v>
      </c>
      <c r="B79" s="41">
        <f>+B77+B78</f>
        <v>48.37241648834731</v>
      </c>
      <c r="C79" s="41">
        <f aca="true" t="shared" si="12" ref="C79:I79">+C77+C78</f>
        <v>60.14562555788605</v>
      </c>
      <c r="D79" s="41">
        <f t="shared" si="12"/>
        <v>57.02772202726117</v>
      </c>
      <c r="E79" s="42">
        <f t="shared" si="12"/>
        <v>72.14399005569375</v>
      </c>
      <c r="F79" s="50">
        <f t="shared" si="12"/>
        <v>72.91868881964572</v>
      </c>
      <c r="G79" s="50">
        <f t="shared" si="12"/>
        <v>79.4150786463788</v>
      </c>
      <c r="H79" s="50">
        <f t="shared" si="12"/>
        <v>61.24813567397549</v>
      </c>
      <c r="I79" s="50">
        <f t="shared" si="12"/>
        <v>0</v>
      </c>
    </row>
    <row r="80" spans="1:9" ht="15">
      <c r="A80" s="43" t="str">
        <f>HLOOKUP(INDICE!$F$2,Nombres!$C$3:$D$636,49,FALSE)</f>
        <v>Minoritarios</v>
      </c>
      <c r="B80" s="44">
        <v>-1.8851558622627007</v>
      </c>
      <c r="C80" s="44">
        <v>-2.329276785949842</v>
      </c>
      <c r="D80" s="44">
        <v>-2.1368513292149975</v>
      </c>
      <c r="E80" s="45">
        <v>-2.8660933275427136</v>
      </c>
      <c r="F80" s="44">
        <v>-2.6736357007624387</v>
      </c>
      <c r="G80" s="44">
        <v>-2.3783019562406977</v>
      </c>
      <c r="H80" s="44">
        <v>-1.8145877929968648</v>
      </c>
      <c r="I80" s="44">
        <v>0</v>
      </c>
    </row>
    <row r="81" spans="1:9" ht="15">
      <c r="A81" s="47" t="str">
        <f>HLOOKUP(INDICE!$F$2,Nombres!$C$3:$D$636,50,FALSE)</f>
        <v>Resultado atribuido</v>
      </c>
      <c r="B81" s="47">
        <f>+B79+B80</f>
        <v>46.48726062608461</v>
      </c>
      <c r="C81" s="47">
        <f aca="true" t="shared" si="13" ref="C81:I81">+C79+C80</f>
        <v>57.816348771936205</v>
      </c>
      <c r="D81" s="47">
        <f t="shared" si="13"/>
        <v>54.89087069804617</v>
      </c>
      <c r="E81" s="47">
        <f t="shared" si="13"/>
        <v>69.27789672815103</v>
      </c>
      <c r="F81" s="51">
        <f t="shared" si="13"/>
        <v>70.24505311888329</v>
      </c>
      <c r="G81" s="51">
        <f t="shared" si="13"/>
        <v>77.03677669013811</v>
      </c>
      <c r="H81" s="51">
        <f t="shared" si="13"/>
        <v>59.43354788097862</v>
      </c>
      <c r="I81" s="51">
        <f t="shared" si="13"/>
        <v>0</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Efectivo, saldos en efectivo en bancos centrales y otros depósitos a la vista</v>
      </c>
      <c r="B87" s="44">
        <v>843.8561226639498</v>
      </c>
      <c r="C87" s="44">
        <v>1654.4593134431784</v>
      </c>
      <c r="D87" s="44">
        <v>1612.8333063717378</v>
      </c>
      <c r="E87" s="45">
        <v>2338.331949024993</v>
      </c>
      <c r="F87" s="44">
        <v>1840.5485563680588</v>
      </c>
      <c r="G87" s="44">
        <v>2221.9479111465926</v>
      </c>
      <c r="H87" s="44">
        <v>2473.2560000000003</v>
      </c>
      <c r="I87" s="44">
        <v>0</v>
      </c>
    </row>
    <row r="88" spans="1:9" ht="15">
      <c r="A88" s="43" t="str">
        <f>HLOOKUP(INDICE!$F$2,Nombres!$C$3:$D$636,53,FALSE)</f>
        <v>Activos financieros a valor razonable</v>
      </c>
      <c r="B88" s="58">
        <v>2320.7466571052864</v>
      </c>
      <c r="C88" s="58">
        <v>1816.188175070034</v>
      </c>
      <c r="D88" s="58">
        <v>1883.9347286859283</v>
      </c>
      <c r="E88" s="64">
        <v>2112.9269216883004</v>
      </c>
      <c r="F88" s="44">
        <v>2668.74082838687</v>
      </c>
      <c r="G88" s="44">
        <v>3356.7094068936613</v>
      </c>
      <c r="H88" s="44">
        <v>3412.79</v>
      </c>
      <c r="I88" s="44">
        <v>0</v>
      </c>
    </row>
    <row r="89" spans="1:9" ht="15">
      <c r="A89" s="43" t="str">
        <f>HLOOKUP(INDICE!$F$2,Nombres!$C$3:$D$636,54,FALSE)</f>
        <v>Activos financieros a coste amortizado</v>
      </c>
      <c r="B89" s="44">
        <v>12030.18384298506</v>
      </c>
      <c r="C89" s="44">
        <v>12258.147724286233</v>
      </c>
      <c r="D89" s="44">
        <v>12632.911796853787</v>
      </c>
      <c r="E89" s="45">
        <v>13405.635506749595</v>
      </c>
      <c r="F89" s="44">
        <v>14111.794305204272</v>
      </c>
      <c r="G89" s="44">
        <v>15293.791497575367</v>
      </c>
      <c r="H89" s="44">
        <v>15630.280000000002</v>
      </c>
      <c r="I89" s="44">
        <v>0</v>
      </c>
    </row>
    <row r="90" spans="1:9" ht="15">
      <c r="A90" s="43" t="str">
        <f>HLOOKUP(INDICE!$F$2,Nombres!$C$3:$D$636,55,FALSE)</f>
        <v>    de los que préstamos y anticipos a la clientela</v>
      </c>
      <c r="B90" s="44">
        <v>11212.929121880125</v>
      </c>
      <c r="C90" s="44">
        <v>11470.537808716172</v>
      </c>
      <c r="D90" s="44">
        <v>11814.239553101857</v>
      </c>
      <c r="E90" s="45">
        <v>12583.059130783056</v>
      </c>
      <c r="F90" s="44">
        <v>13217.090853684616</v>
      </c>
      <c r="G90" s="44">
        <v>14123.810371210177</v>
      </c>
      <c r="H90" s="44">
        <v>14626.701</v>
      </c>
      <c r="I90" s="44">
        <v>0</v>
      </c>
    </row>
    <row r="91" spans="1:9" ht="15" customHeight="1" hidden="1">
      <c r="A91" s="43"/>
      <c r="B91" s="44"/>
      <c r="C91" s="44"/>
      <c r="D91" s="44"/>
      <c r="E91" s="45"/>
      <c r="F91" s="44"/>
      <c r="G91" s="44"/>
      <c r="H91" s="44"/>
      <c r="I91" s="44"/>
    </row>
    <row r="92" spans="1:9" ht="15">
      <c r="A92" s="43" t="str">
        <f>HLOOKUP(INDICE!$F$2,Nombres!$C$3:$D$636,56,FALSE)</f>
        <v>Activos tangibles</v>
      </c>
      <c r="B92" s="44">
        <v>105.38110217929042</v>
      </c>
      <c r="C92" s="44">
        <v>102.24745971849201</v>
      </c>
      <c r="D92" s="44">
        <v>101.37847833427898</v>
      </c>
      <c r="E92" s="45">
        <v>101.6081191710501</v>
      </c>
      <c r="F92" s="44">
        <v>99.6820056410335</v>
      </c>
      <c r="G92" s="44">
        <v>98.57867183976886</v>
      </c>
      <c r="H92" s="44">
        <v>98.19400000000002</v>
      </c>
      <c r="I92" s="44">
        <v>0</v>
      </c>
    </row>
    <row r="93" spans="1:9" ht="15">
      <c r="A93" s="43" t="str">
        <f>HLOOKUP(INDICE!$F$2,Nombres!$C$3:$D$636,57,FALSE)</f>
        <v>Otros activos</v>
      </c>
      <c r="B93" s="58">
        <f>+B94-B92-B89-B88-B87</f>
        <v>660.0622767869378</v>
      </c>
      <c r="C93" s="58">
        <f aca="true" t="shared" si="15" ref="C93:I93">+C94-C92-C89-C88-C87</f>
        <v>733.1165417273419</v>
      </c>
      <c r="D93" s="58">
        <f t="shared" si="15"/>
        <v>719.6687006733232</v>
      </c>
      <c r="E93" s="64">
        <f t="shared" si="15"/>
        <v>627.1353995637523</v>
      </c>
      <c r="F93" s="44">
        <f t="shared" si="15"/>
        <v>601.1212685261733</v>
      </c>
      <c r="G93" s="44">
        <f t="shared" si="15"/>
        <v>666.1174575119276</v>
      </c>
      <c r="H93" s="44">
        <f t="shared" si="15"/>
        <v>711.1058793799984</v>
      </c>
      <c r="I93" s="44">
        <f t="shared" si="15"/>
        <v>0</v>
      </c>
    </row>
    <row r="94" spans="1:9" ht="15">
      <c r="A94" s="47" t="str">
        <f>HLOOKUP(INDICE!$F$2,Nombres!$C$3:$D$636,58,FALSE)</f>
        <v>Total activo / pasivo</v>
      </c>
      <c r="B94" s="47">
        <v>15960.230001720523</v>
      </c>
      <c r="C94" s="47">
        <v>16564.15921424528</v>
      </c>
      <c r="D94" s="47">
        <v>16950.727010919054</v>
      </c>
      <c r="E94" s="47">
        <v>18585.63789619769</v>
      </c>
      <c r="F94" s="51">
        <v>19321.886964126406</v>
      </c>
      <c r="G94" s="51">
        <v>21637.144944967316</v>
      </c>
      <c r="H94" s="51">
        <v>22325.62587938</v>
      </c>
      <c r="I94" s="51">
        <v>0</v>
      </c>
    </row>
    <row r="95" spans="1:9" ht="15">
      <c r="A95" s="43" t="str">
        <f>HLOOKUP(INDICE!$F$2,Nombres!$C$3:$D$636,59,FALSE)</f>
        <v>Pasivos financieros mantenidos para negociar y designados a valor razonable con cambios en resultados</v>
      </c>
      <c r="B95" s="58">
        <v>945.9851930890088</v>
      </c>
      <c r="C95" s="58">
        <v>809.8266400727916</v>
      </c>
      <c r="D95" s="58">
        <v>1076.2245750032148</v>
      </c>
      <c r="E95" s="64">
        <v>1557.7897536450803</v>
      </c>
      <c r="F95" s="44">
        <v>2034.3078093775466</v>
      </c>
      <c r="G95" s="44">
        <v>2613.553172206222</v>
      </c>
      <c r="H95" s="44">
        <v>3097.04</v>
      </c>
      <c r="I95" s="44">
        <v>0</v>
      </c>
    </row>
    <row r="96" spans="1:9" ht="15">
      <c r="A96" s="43" t="str">
        <f>HLOOKUP(INDICE!$F$2,Nombres!$C$3:$D$636,60,FALSE)</f>
        <v>Depósitos de bancos centrales y entidades de crédito</v>
      </c>
      <c r="B96" s="58">
        <v>392.3929879533531</v>
      </c>
      <c r="C96" s="58">
        <v>443.66147033581814</v>
      </c>
      <c r="D96" s="58">
        <v>511.67944905564957</v>
      </c>
      <c r="E96" s="64">
        <v>721.8235560216842</v>
      </c>
      <c r="F96" s="44">
        <v>1426.9558220311017</v>
      </c>
      <c r="G96" s="44">
        <v>840.7780675736453</v>
      </c>
      <c r="H96" s="44">
        <v>1194.093</v>
      </c>
      <c r="I96" s="44">
        <v>0</v>
      </c>
    </row>
    <row r="97" spans="1:9" ht="15">
      <c r="A97" s="43" t="str">
        <f>HLOOKUP(INDICE!$F$2,Nombres!$C$3:$D$636,61,FALSE)</f>
        <v>Depósitos de la clientela</v>
      </c>
      <c r="B97" s="58">
        <v>11653.512479724628</v>
      </c>
      <c r="C97" s="58">
        <v>12301.221996832472</v>
      </c>
      <c r="D97" s="58">
        <v>12254.427722191938</v>
      </c>
      <c r="E97" s="64">
        <v>13073.19049570509</v>
      </c>
      <c r="F97" s="44">
        <v>12665.093271076948</v>
      </c>
      <c r="G97" s="44">
        <v>14839.447296810005</v>
      </c>
      <c r="H97" s="44">
        <v>14512.007999999998</v>
      </c>
      <c r="I97" s="44">
        <v>0</v>
      </c>
    </row>
    <row r="98" spans="1:9" ht="15">
      <c r="A98" s="43" t="str">
        <f>HLOOKUP(INDICE!$F$2,Nombres!$C$3:$D$636,62,FALSE)</f>
        <v>Valores representativos de deuda emitidos</v>
      </c>
      <c r="B98" s="44">
        <v>779.7919490704635</v>
      </c>
      <c r="C98" s="44">
        <v>789.5454611749667</v>
      </c>
      <c r="D98" s="44">
        <v>817.0714043912277</v>
      </c>
      <c r="E98" s="45">
        <v>842.6176449519185</v>
      </c>
      <c r="F98" s="44">
        <v>827.0029081818898</v>
      </c>
      <c r="G98" s="44">
        <v>899.2812035969694</v>
      </c>
      <c r="H98" s="44">
        <v>967.88829056</v>
      </c>
      <c r="I98" s="44">
        <v>0</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719.9074096577503</v>
      </c>
      <c r="C100" s="58">
        <f aca="true" t="shared" si="16" ref="C100:I100">+C94-C95-C96-C97-C98-C101</f>
        <v>748.447068295281</v>
      </c>
      <c r="D100" s="58">
        <f t="shared" si="16"/>
        <v>772.15529312342</v>
      </c>
      <c r="E100" s="64">
        <f t="shared" si="16"/>
        <v>747.5104192366048</v>
      </c>
      <c r="F100" s="44">
        <f t="shared" si="16"/>
        <v>650.7989111403444</v>
      </c>
      <c r="G100" s="44">
        <f t="shared" si="16"/>
        <v>492.7611011838958</v>
      </c>
      <c r="H100" s="44">
        <f t="shared" si="16"/>
        <v>524.1015022400011</v>
      </c>
      <c r="I100" s="44">
        <f t="shared" si="16"/>
        <v>0</v>
      </c>
    </row>
    <row r="101" spans="1:9" ht="15">
      <c r="A101" s="43" t="str">
        <f>HLOOKUP(INDICE!$F$2,Nombres!$C$3:$D$636,282,FALSE)</f>
        <v>Dotación de capital regulatorio</v>
      </c>
      <c r="B101" s="58">
        <v>1468.639982225319</v>
      </c>
      <c r="C101" s="58">
        <v>1471.456577533951</v>
      </c>
      <c r="D101" s="58">
        <v>1519.1685671536043</v>
      </c>
      <c r="E101" s="64">
        <v>1642.7060266373146</v>
      </c>
      <c r="F101" s="44">
        <v>1717.7282423185752</v>
      </c>
      <c r="G101" s="44">
        <v>1951.324103596577</v>
      </c>
      <c r="H101" s="44">
        <v>2030.4950865800001</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Préstamos y anticipos a la clientela bruto (*)</v>
      </c>
      <c r="B107" s="44">
        <v>11937.971706112972</v>
      </c>
      <c r="C107" s="44">
        <v>12208.611358262311</v>
      </c>
      <c r="D107" s="44">
        <v>12549.612254674286</v>
      </c>
      <c r="E107" s="45">
        <v>13301.461258377198</v>
      </c>
      <c r="F107" s="44">
        <v>13934.543111086683</v>
      </c>
      <c r="G107" s="44">
        <v>14837.016863368131</v>
      </c>
      <c r="H107" s="44">
        <v>15343.507025570001</v>
      </c>
      <c r="I107" s="44">
        <v>0</v>
      </c>
    </row>
    <row r="108" spans="1:9" ht="15">
      <c r="A108" s="43" t="str">
        <f>HLOOKUP(INDICE!$F$2,Nombres!$C$3:$D$636,67,FALSE)</f>
        <v>Depósitos de clientes en gestión (**)</v>
      </c>
      <c r="B108" s="44">
        <v>11653.203604595006</v>
      </c>
      <c r="C108" s="44">
        <v>12285.03384360147</v>
      </c>
      <c r="D108" s="44">
        <v>12232.393335027233</v>
      </c>
      <c r="E108" s="45">
        <v>13078.093513328788</v>
      </c>
      <c r="F108" s="44">
        <v>12671.249810869684</v>
      </c>
      <c r="G108" s="44">
        <v>14838.913267159029</v>
      </c>
      <c r="H108" s="44">
        <v>14522.02052336</v>
      </c>
      <c r="I108" s="44">
        <v>0</v>
      </c>
    </row>
    <row r="109" spans="1:9" ht="15">
      <c r="A109" s="43" t="str">
        <f>HLOOKUP(INDICE!$F$2,Nombres!$C$3:$D$636,68,FALSE)</f>
        <v>Fondos de inversión y carteras gestionadas</v>
      </c>
      <c r="B109" s="44">
        <v>1406.6668615488366</v>
      </c>
      <c r="C109" s="44">
        <v>1304.3903685472756</v>
      </c>
      <c r="D109" s="44">
        <v>1369.2421269580022</v>
      </c>
      <c r="E109" s="45">
        <v>2424.530700135751</v>
      </c>
      <c r="F109" s="44">
        <v>2422.918105948644</v>
      </c>
      <c r="G109" s="44">
        <v>2240.8056858510463</v>
      </c>
      <c r="H109" s="44">
        <v>2286.9094191</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HLOOKUP(INDICE!$F$2,Nombres!$C$3:$D$636,75,FALSE)</f>
        <v>(Millones de pesos colombianos)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13">
        <f>+B$6</f>
        <v>2021</v>
      </c>
      <c r="C118" s="313"/>
      <c r="D118" s="313"/>
      <c r="E118" s="314"/>
      <c r="F118" s="313">
        <f>+F$6</f>
        <v>2022</v>
      </c>
      <c r="G118" s="313"/>
      <c r="H118" s="313"/>
      <c r="I118" s="313"/>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860613.8709447717</v>
      </c>
      <c r="C120" s="41">
        <v>837025.8431616802</v>
      </c>
      <c r="D120" s="41">
        <v>845092.8070735396</v>
      </c>
      <c r="E120" s="42">
        <v>863825.1877470778</v>
      </c>
      <c r="F120" s="50">
        <v>932917.8569309828</v>
      </c>
      <c r="G120" s="50">
        <v>959333.7962451973</v>
      </c>
      <c r="H120" s="50">
        <v>926706.0450946839</v>
      </c>
      <c r="I120" s="50">
        <v>0</v>
      </c>
    </row>
    <row r="121" spans="1:9" ht="15">
      <c r="A121" s="43" t="str">
        <f>HLOOKUP(INDICE!$F$2,Nombres!$C$3:$D$636,34,FALSE)</f>
        <v>Comisiones netas</v>
      </c>
      <c r="B121" s="44">
        <v>91863.77710524874</v>
      </c>
      <c r="C121" s="44">
        <v>96969.80489414834</v>
      </c>
      <c r="D121" s="44">
        <v>89378.97425652639</v>
      </c>
      <c r="E121" s="45">
        <v>88010.74408381492</v>
      </c>
      <c r="F121" s="44">
        <v>110171.316421814</v>
      </c>
      <c r="G121" s="44">
        <v>112150.77610748782</v>
      </c>
      <c r="H121" s="44">
        <v>116067.88588951659</v>
      </c>
      <c r="I121" s="44">
        <v>0</v>
      </c>
    </row>
    <row r="122" spans="1:9" ht="15">
      <c r="A122" s="43" t="str">
        <f>HLOOKUP(INDICE!$F$2,Nombres!$C$3:$D$636,35,FALSE)</f>
        <v>Resultados de operaciones financieras</v>
      </c>
      <c r="B122" s="44">
        <v>31376.625707215208</v>
      </c>
      <c r="C122" s="44">
        <v>94129.5714445847</v>
      </c>
      <c r="D122" s="44">
        <v>83751.06706001046</v>
      </c>
      <c r="E122" s="45">
        <v>102729.10644049168</v>
      </c>
      <c r="F122" s="44">
        <v>105696.02329712459</v>
      </c>
      <c r="G122" s="44">
        <v>114218.25090381627</v>
      </c>
      <c r="H122" s="44">
        <v>124436.65217421726</v>
      </c>
      <c r="I122" s="44">
        <v>0</v>
      </c>
    </row>
    <row r="123" spans="1:9" ht="15">
      <c r="A123" s="43" t="str">
        <f>HLOOKUP(INDICE!$F$2,Nombres!$C$3:$D$636,36,FALSE)</f>
        <v>Otros ingresos y cargas de explotación</v>
      </c>
      <c r="B123" s="44">
        <v>-19210.24580259236</v>
      </c>
      <c r="C123" s="44">
        <v>-40210.835348493805</v>
      </c>
      <c r="D123" s="44">
        <v>-43898.540416642405</v>
      </c>
      <c r="E123" s="45">
        <v>-36190.95305800348</v>
      </c>
      <c r="F123" s="44">
        <v>-15928.518881953374</v>
      </c>
      <c r="G123" s="44">
        <v>-19039.13201677433</v>
      </c>
      <c r="H123" s="44">
        <v>-39939.08405509482</v>
      </c>
      <c r="I123" s="44">
        <v>0</v>
      </c>
    </row>
    <row r="124" spans="1:9" ht="15">
      <c r="A124" s="41" t="str">
        <f>HLOOKUP(INDICE!$F$2,Nombres!$C$3:$D$636,37,FALSE)</f>
        <v>Margen bruto</v>
      </c>
      <c r="B124" s="41">
        <f>+SUM(B120:B123)</f>
        <v>964644.0279546432</v>
      </c>
      <c r="C124" s="41">
        <f aca="true" t="shared" si="19" ref="C124:I124">+SUM(C120:C123)</f>
        <v>987914.3841519194</v>
      </c>
      <c r="D124" s="41">
        <f t="shared" si="19"/>
        <v>974324.3079734341</v>
      </c>
      <c r="E124" s="42">
        <f t="shared" si="19"/>
        <v>1018374.0852133809</v>
      </c>
      <c r="F124" s="50">
        <f t="shared" si="19"/>
        <v>1132856.677767968</v>
      </c>
      <c r="G124" s="50">
        <f t="shared" si="19"/>
        <v>1166663.691239727</v>
      </c>
      <c r="H124" s="50">
        <f t="shared" si="19"/>
        <v>1127271.4991033229</v>
      </c>
      <c r="I124" s="50">
        <f t="shared" si="19"/>
        <v>0</v>
      </c>
    </row>
    <row r="125" spans="1:9" ht="15">
      <c r="A125" s="43" t="str">
        <f>HLOOKUP(INDICE!$F$2,Nombres!$C$3:$D$636,38,FALSE)</f>
        <v>Gastos de explotación</v>
      </c>
      <c r="B125" s="44">
        <v>-352997.64614082035</v>
      </c>
      <c r="C125" s="44">
        <v>-353112.97575725336</v>
      </c>
      <c r="D125" s="44">
        <v>-374127.3069703843</v>
      </c>
      <c r="E125" s="45">
        <v>-380688.78505476867</v>
      </c>
      <c r="F125" s="44">
        <v>-389020.70008689095</v>
      </c>
      <c r="G125" s="44">
        <v>-412951.9227939637</v>
      </c>
      <c r="H125" s="44">
        <v>-451792.72380130703</v>
      </c>
      <c r="I125" s="44">
        <v>0</v>
      </c>
    </row>
    <row r="126" spans="1:9" ht="15">
      <c r="A126" s="43" t="str">
        <f>HLOOKUP(INDICE!$F$2,Nombres!$C$3:$D$636,39,FALSE)</f>
        <v>  Gastos de administración</v>
      </c>
      <c r="B126" s="44">
        <v>-322571.4272090605</v>
      </c>
      <c r="C126" s="44">
        <v>-322781.434067793</v>
      </c>
      <c r="D126" s="44">
        <v>-344175.11206824146</v>
      </c>
      <c r="E126" s="45">
        <v>-350669.0316044688</v>
      </c>
      <c r="F126" s="44">
        <v>-357321.67463484715</v>
      </c>
      <c r="G126" s="44">
        <v>-381346.99944097735</v>
      </c>
      <c r="H126" s="44">
        <v>-420085.0996995407</v>
      </c>
      <c r="I126" s="44">
        <v>0</v>
      </c>
    </row>
    <row r="127" spans="1:9" ht="15">
      <c r="A127" s="46" t="str">
        <f>HLOOKUP(INDICE!$F$2,Nombres!$C$3:$D$636,40,FALSE)</f>
        <v>  Gastos de personal</v>
      </c>
      <c r="B127" s="44">
        <v>-158733.01008738833</v>
      </c>
      <c r="C127" s="44">
        <v>-153862.15192445373</v>
      </c>
      <c r="D127" s="44">
        <v>-167731.3520612886</v>
      </c>
      <c r="E127" s="45">
        <v>-157651.78851940407</v>
      </c>
      <c r="F127" s="44">
        <v>-180169.14937074142</v>
      </c>
      <c r="G127" s="44">
        <v>-191803.09001327585</v>
      </c>
      <c r="H127" s="44">
        <v>-195451.14192164998</v>
      </c>
      <c r="I127" s="44">
        <v>0</v>
      </c>
    </row>
    <row r="128" spans="1:9" ht="15">
      <c r="A128" s="46" t="str">
        <f>HLOOKUP(INDICE!$F$2,Nombres!$C$3:$D$636,41,FALSE)</f>
        <v>  Otros gastos de administración</v>
      </c>
      <c r="B128" s="44">
        <v>-163838.41712167225</v>
      </c>
      <c r="C128" s="44">
        <v>-168919.2821433393</v>
      </c>
      <c r="D128" s="44">
        <v>-176443.76000695289</v>
      </c>
      <c r="E128" s="45">
        <v>-193017.24308506475</v>
      </c>
      <c r="F128" s="44">
        <v>-177152.52526410576</v>
      </c>
      <c r="G128" s="44">
        <v>-189543.90942770144</v>
      </c>
      <c r="H128" s="44">
        <v>-224633.95777789076</v>
      </c>
      <c r="I128" s="44">
        <v>0</v>
      </c>
    </row>
    <row r="129" spans="1:9" ht="15">
      <c r="A129" s="43" t="str">
        <f>HLOOKUP(INDICE!$F$2,Nombres!$C$3:$D$636,42,FALSE)</f>
        <v>  Amortización</v>
      </c>
      <c r="B129" s="44">
        <v>-30426.218931759788</v>
      </c>
      <c r="C129" s="44">
        <v>-30331.54168946034</v>
      </c>
      <c r="D129" s="44">
        <v>-29952.194902142783</v>
      </c>
      <c r="E129" s="45">
        <v>-30019.753450299842</v>
      </c>
      <c r="F129" s="44">
        <v>-31699.02545204381</v>
      </c>
      <c r="G129" s="44">
        <v>-31604.923352986378</v>
      </c>
      <c r="H129" s="44">
        <v>-31707.624101766276</v>
      </c>
      <c r="I129" s="44">
        <v>0</v>
      </c>
    </row>
    <row r="130" spans="1:9" ht="15">
      <c r="A130" s="41" t="str">
        <f>HLOOKUP(INDICE!$F$2,Nombres!$C$3:$D$636,43,FALSE)</f>
        <v>Margen neto</v>
      </c>
      <c r="B130" s="41">
        <f>+B124+B125</f>
        <v>611646.3818138229</v>
      </c>
      <c r="C130" s="41">
        <f aca="true" t="shared" si="20" ref="C130:I130">+C124+C125</f>
        <v>634801.408394666</v>
      </c>
      <c r="D130" s="41">
        <f t="shared" si="20"/>
        <v>600197.0010030498</v>
      </c>
      <c r="E130" s="42">
        <f t="shared" si="20"/>
        <v>637685.3001586122</v>
      </c>
      <c r="F130" s="50">
        <f t="shared" si="20"/>
        <v>743835.9776810771</v>
      </c>
      <c r="G130" s="50">
        <f t="shared" si="20"/>
        <v>753711.7684457633</v>
      </c>
      <c r="H130" s="50">
        <f t="shared" si="20"/>
        <v>675478.7753020158</v>
      </c>
      <c r="I130" s="50">
        <f t="shared" si="20"/>
        <v>0</v>
      </c>
    </row>
    <row r="131" spans="1:9" ht="15">
      <c r="A131" s="43" t="str">
        <f>HLOOKUP(INDICE!$F$2,Nombres!$C$3:$D$636,44,FALSE)</f>
        <v>Deterioro de activos financieros no valorados a valor razonable con cambios en resultados</v>
      </c>
      <c r="B131" s="44">
        <v>-292219.3701938051</v>
      </c>
      <c r="C131" s="44">
        <v>-297736.78182715294</v>
      </c>
      <c r="D131" s="44">
        <v>-227136.93432125694</v>
      </c>
      <c r="E131" s="45">
        <v>-183207.1640033592</v>
      </c>
      <c r="F131" s="44">
        <v>-243347.73873057507</v>
      </c>
      <c r="G131" s="44">
        <v>-228677.0189142361</v>
      </c>
      <c r="H131" s="44">
        <v>-244615.4339047458</v>
      </c>
      <c r="I131" s="44">
        <v>0</v>
      </c>
    </row>
    <row r="132" spans="1:9" ht="15">
      <c r="A132" s="43" t="str">
        <f>HLOOKUP(INDICE!$F$2,Nombres!$C$3:$D$636,45,FALSE)</f>
        <v>Provisiones o reversión de provisiones y otros resultados</v>
      </c>
      <c r="B132" s="44">
        <v>-32032.78498349309</v>
      </c>
      <c r="C132" s="44">
        <v>16023.20897682318</v>
      </c>
      <c r="D132" s="44">
        <v>10740.062933392892</v>
      </c>
      <c r="E132" s="45">
        <v>-17062.096155633284</v>
      </c>
      <c r="F132" s="44">
        <v>-7145.667880909348</v>
      </c>
      <c r="G132" s="44">
        <v>-14251.041128865514</v>
      </c>
      <c r="H132" s="44">
        <v>-23875.927163470453</v>
      </c>
      <c r="I132" s="44">
        <v>0</v>
      </c>
    </row>
    <row r="133" spans="1:9" ht="15">
      <c r="A133" s="41" t="str">
        <f>HLOOKUP(INDICE!$F$2,Nombres!$C$3:$D$636,46,FALSE)</f>
        <v>Resultado antes de impuestos</v>
      </c>
      <c r="B133" s="41">
        <f>+B130+B131+B132</f>
        <v>287394.2266365247</v>
      </c>
      <c r="C133" s="41">
        <f aca="true" t="shared" si="21" ref="C133:I133">+C130+C131+C132</f>
        <v>353087.8355443363</v>
      </c>
      <c r="D133" s="41">
        <f t="shared" si="21"/>
        <v>383800.1296151857</v>
      </c>
      <c r="E133" s="42">
        <f t="shared" si="21"/>
        <v>437416.0399996197</v>
      </c>
      <c r="F133" s="50">
        <f t="shared" si="21"/>
        <v>493342.57106959267</v>
      </c>
      <c r="G133" s="50">
        <f t="shared" si="21"/>
        <v>510783.70840266166</v>
      </c>
      <c r="H133" s="50">
        <f t="shared" si="21"/>
        <v>406987.41423379956</v>
      </c>
      <c r="I133" s="50">
        <f t="shared" si="21"/>
        <v>0</v>
      </c>
    </row>
    <row r="134" spans="1:9" ht="15">
      <c r="A134" s="43" t="str">
        <f>HLOOKUP(INDICE!$F$2,Nombres!$C$3:$D$636,47,FALSE)</f>
        <v>Impuesto sobre beneficios</v>
      </c>
      <c r="B134" s="44">
        <v>-78250.227735022</v>
      </c>
      <c r="C134" s="44">
        <v>-93040.94190529347</v>
      </c>
      <c r="D134" s="44">
        <v>-137233.8693602755</v>
      </c>
      <c r="E134" s="45">
        <v>-125492.7648704394</v>
      </c>
      <c r="F134" s="44">
        <v>-178069.792045439</v>
      </c>
      <c r="G134" s="44">
        <v>-167423.00147618205</v>
      </c>
      <c r="H134" s="44">
        <v>-142173.68463228474</v>
      </c>
      <c r="I134" s="44">
        <v>0</v>
      </c>
    </row>
    <row r="135" spans="1:9" ht="15">
      <c r="A135" s="41" t="str">
        <f>HLOOKUP(INDICE!$F$2,Nombres!$C$3:$D$636,48,FALSE)</f>
        <v>Resultado del ejercicio</v>
      </c>
      <c r="B135" s="41">
        <f>+B133+B134</f>
        <v>209143.99890150272</v>
      </c>
      <c r="C135" s="41">
        <f aca="true" t="shared" si="22" ref="C135:I135">+C133+C134</f>
        <v>260046.89363904283</v>
      </c>
      <c r="D135" s="41">
        <f t="shared" si="22"/>
        <v>246566.26025491022</v>
      </c>
      <c r="E135" s="42">
        <f t="shared" si="22"/>
        <v>311923.2751291803</v>
      </c>
      <c r="F135" s="50">
        <f t="shared" si="22"/>
        <v>315272.77902415366</v>
      </c>
      <c r="G135" s="50">
        <f t="shared" si="22"/>
        <v>343360.7069264796</v>
      </c>
      <c r="H135" s="50">
        <f t="shared" si="22"/>
        <v>264813.7296015148</v>
      </c>
      <c r="I135" s="50">
        <f t="shared" si="22"/>
        <v>0</v>
      </c>
    </row>
    <row r="136" spans="1:9" ht="15">
      <c r="A136" s="43" t="str">
        <f>HLOOKUP(INDICE!$F$2,Nombres!$C$3:$D$636,49,FALSE)</f>
        <v>Minoritarios</v>
      </c>
      <c r="B136" s="44">
        <v>-8150.699597180766</v>
      </c>
      <c r="C136" s="44">
        <v>-10070.910178310898</v>
      </c>
      <c r="D136" s="44">
        <v>-9238.935420099922</v>
      </c>
      <c r="E136" s="45">
        <v>-12391.901485665856</v>
      </c>
      <c r="F136" s="44">
        <v>-11559.787636368794</v>
      </c>
      <c r="G136" s="44">
        <v>-10282.876437303285</v>
      </c>
      <c r="H136" s="44">
        <v>-7845.590006375633</v>
      </c>
      <c r="I136" s="44">
        <v>0</v>
      </c>
    </row>
    <row r="137" spans="1:9" ht="15">
      <c r="A137" s="47" t="str">
        <f>HLOOKUP(INDICE!$F$2,Nombres!$C$3:$D$636,50,FALSE)</f>
        <v>Resultado atribuido</v>
      </c>
      <c r="B137" s="47">
        <f>+B135+B136</f>
        <v>200993.29930432196</v>
      </c>
      <c r="C137" s="47">
        <f aca="true" t="shared" si="23" ref="C137:I137">+C135+C136</f>
        <v>249975.98346073192</v>
      </c>
      <c r="D137" s="47">
        <f t="shared" si="23"/>
        <v>237327.32483481028</v>
      </c>
      <c r="E137" s="47">
        <f t="shared" si="23"/>
        <v>299531.3736435144</v>
      </c>
      <c r="F137" s="51">
        <f t="shared" si="23"/>
        <v>303712.9913877849</v>
      </c>
      <c r="G137" s="51">
        <f t="shared" si="23"/>
        <v>333077.8304891763</v>
      </c>
      <c r="H137" s="51">
        <f t="shared" si="23"/>
        <v>256968.1395951392</v>
      </c>
      <c r="I137" s="51">
        <f t="shared" si="23"/>
        <v>0</v>
      </c>
    </row>
    <row r="138" spans="1:9" ht="15">
      <c r="A138" s="62"/>
      <c r="B138" s="63">
        <v>0</v>
      </c>
      <c r="C138" s="63">
        <v>0</v>
      </c>
      <c r="D138" s="63">
        <v>0</v>
      </c>
      <c r="E138" s="63">
        <v>0</v>
      </c>
      <c r="F138" s="63">
        <v>0</v>
      </c>
      <c r="G138" s="63">
        <v>0</v>
      </c>
      <c r="H138" s="63">
        <v>2.3283064365386963E-10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HLOOKUP(INDICE!$F$2,Nombres!$C$3:$D$636,75,FALSE)</f>
        <v>(Millones de pesos colombianos)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Efectivo, saldos en efectivo en bancos centrales y otros depósitos a la vista</v>
      </c>
      <c r="B143" s="44">
        <v>3728039.759377931</v>
      </c>
      <c r="C143" s="44">
        <v>7309172.660047796</v>
      </c>
      <c r="D143" s="44">
        <v>7125274.712022508</v>
      </c>
      <c r="E143" s="45">
        <v>10330427.477458026</v>
      </c>
      <c r="F143" s="44">
        <v>8131289.224452657</v>
      </c>
      <c r="G143" s="44">
        <v>9816258.878197405</v>
      </c>
      <c r="H143" s="44">
        <v>10926503.29301678</v>
      </c>
      <c r="I143" s="44">
        <v>0</v>
      </c>
    </row>
    <row r="144" spans="1:9" ht="15">
      <c r="A144" s="43" t="str">
        <f>HLOOKUP(INDICE!$F$2,Nombres!$C$3:$D$636,53,FALSE)</f>
        <v>Activos financieros a valor razonable</v>
      </c>
      <c r="B144" s="58">
        <v>10252738.087411333</v>
      </c>
      <c r="C144" s="58">
        <v>8023668.425606111</v>
      </c>
      <c r="D144" s="58">
        <v>8322963.339345169</v>
      </c>
      <c r="E144" s="64">
        <v>9334619.209548473</v>
      </c>
      <c r="F144" s="44">
        <v>11790128.255860886</v>
      </c>
      <c r="G144" s="44">
        <v>14829478.383201739</v>
      </c>
      <c r="H144" s="44">
        <v>15077234.69522554</v>
      </c>
      <c r="I144" s="44">
        <v>0</v>
      </c>
    </row>
    <row r="145" spans="1:9" ht="15">
      <c r="A145" s="43" t="str">
        <f>HLOOKUP(INDICE!$F$2,Nombres!$C$3:$D$636,54,FALSE)</f>
        <v>Activos financieros a coste amortizado</v>
      </c>
      <c r="B145" s="44">
        <v>53147690.07978696</v>
      </c>
      <c r="C145" s="44">
        <v>54154803.01097002</v>
      </c>
      <c r="D145" s="44">
        <v>55810458.904663906</v>
      </c>
      <c r="E145" s="45">
        <v>59224245.49237206</v>
      </c>
      <c r="F145" s="44">
        <v>62343957.498208836</v>
      </c>
      <c r="G145" s="44">
        <v>67565857.7846245</v>
      </c>
      <c r="H145" s="44">
        <v>69052417.49773349</v>
      </c>
      <c r="I145" s="44">
        <v>0</v>
      </c>
    </row>
    <row r="146" spans="1:9" ht="15">
      <c r="A146" s="43" t="str">
        <f>HLOOKUP(INDICE!$F$2,Nombres!$C$3:$D$636,55,FALSE)</f>
        <v>    de los que préstamos y anticipos a la clientela</v>
      </c>
      <c r="B146" s="44">
        <v>49537171.63714026</v>
      </c>
      <c r="C146" s="44">
        <v>50675251.22333102</v>
      </c>
      <c r="D146" s="44">
        <v>52193678.04281339</v>
      </c>
      <c r="E146" s="45">
        <v>55590216.713808015</v>
      </c>
      <c r="F146" s="44">
        <v>58391281.265217565</v>
      </c>
      <c r="G146" s="44">
        <v>62397042.817634925</v>
      </c>
      <c r="H146" s="44">
        <v>64618744.13423918</v>
      </c>
      <c r="I146" s="44">
        <v>0</v>
      </c>
    </row>
    <row r="147" spans="1:9" ht="15" customHeight="1" hidden="1">
      <c r="A147" s="43"/>
      <c r="B147" s="44"/>
      <c r="C147" s="44"/>
      <c r="D147" s="44"/>
      <c r="E147" s="45"/>
      <c r="F147" s="44"/>
      <c r="G147" s="44"/>
      <c r="H147" s="44"/>
      <c r="I147" s="44"/>
    </row>
    <row r="148" spans="1:9" ht="15">
      <c r="A148" s="43" t="str">
        <f>HLOOKUP(INDICE!$F$2,Nombres!$C$3:$D$636,56,FALSE)</f>
        <v>Activos tangibles</v>
      </c>
      <c r="B148" s="44">
        <v>465559.1495517467</v>
      </c>
      <c r="C148" s="44">
        <v>451715.15011656843</v>
      </c>
      <c r="D148" s="44">
        <v>447876.11042307375</v>
      </c>
      <c r="E148" s="45">
        <v>448890.6319118281</v>
      </c>
      <c r="F148" s="44">
        <v>440381.3284557966</v>
      </c>
      <c r="G148" s="44">
        <v>435506.95216283906</v>
      </c>
      <c r="H148" s="44">
        <v>433807.52512254694</v>
      </c>
      <c r="I148" s="44">
        <v>0</v>
      </c>
    </row>
    <row r="149" spans="1:9" ht="15">
      <c r="A149" s="43" t="str">
        <f>HLOOKUP(INDICE!$F$2,Nombres!$C$3:$D$636,57,FALSE)</f>
        <v>Otros activos</v>
      </c>
      <c r="B149" s="58">
        <f>+B150-B148-B145-B144-B143</f>
        <v>2916063.94198928</v>
      </c>
      <c r="C149" s="58">
        <f aca="true" t="shared" si="25" ref="C149:I149">+C150-C148-C145-C144-C143</f>
        <v>3238807.5910253245</v>
      </c>
      <c r="D149" s="58">
        <f t="shared" si="25"/>
        <v>3179396.8872563783</v>
      </c>
      <c r="E149" s="64">
        <f t="shared" si="25"/>
        <v>2770597.5477268957</v>
      </c>
      <c r="F149" s="44">
        <f t="shared" si="25"/>
        <v>2655670.711019662</v>
      </c>
      <c r="G149" s="44">
        <f t="shared" si="25"/>
        <v>2942814.8938241657</v>
      </c>
      <c r="H149" s="44">
        <f t="shared" si="25"/>
        <v>3141567.525856264</v>
      </c>
      <c r="I149" s="44">
        <f t="shared" si="25"/>
        <v>0</v>
      </c>
    </row>
    <row r="150" spans="1:9" ht="15">
      <c r="A150" s="47" t="str">
        <f>HLOOKUP(INDICE!$F$2,Nombres!$C$3:$D$636,58,FALSE)</f>
        <v>Total activo / pasivo</v>
      </c>
      <c r="B150" s="47">
        <v>70510091.01811725</v>
      </c>
      <c r="C150" s="47">
        <v>73178166.83776581</v>
      </c>
      <c r="D150" s="47">
        <v>74885969.95371103</v>
      </c>
      <c r="E150" s="47">
        <v>82108780.35901728</v>
      </c>
      <c r="F150" s="51">
        <v>85361427.01799783</v>
      </c>
      <c r="G150" s="51">
        <v>95589916.89201064</v>
      </c>
      <c r="H150" s="51">
        <v>98631530.53695463</v>
      </c>
      <c r="I150" s="51">
        <v>0</v>
      </c>
    </row>
    <row r="151" spans="1:9" ht="15">
      <c r="A151" s="43" t="str">
        <f>HLOOKUP(INDICE!$F$2,Nombres!$C$3:$D$636,59,FALSE)</f>
        <v>Pasivos financieros mantenidos para negociar y designados a valor razonable con cambios en resultados</v>
      </c>
      <c r="B151" s="58">
        <v>4179231.881953251</v>
      </c>
      <c r="C151" s="58">
        <v>3577702.2069401927</v>
      </c>
      <c r="D151" s="58">
        <v>4754611.476854079</v>
      </c>
      <c r="E151" s="64">
        <v>6882099.901114469</v>
      </c>
      <c r="F151" s="44">
        <v>8987290.83369191</v>
      </c>
      <c r="G151" s="44">
        <v>11546316.81580303</v>
      </c>
      <c r="H151" s="44">
        <v>13682294.820513805</v>
      </c>
      <c r="I151" s="44">
        <v>0</v>
      </c>
    </row>
    <row r="152" spans="1:9" ht="15">
      <c r="A152" s="43" t="str">
        <f>HLOOKUP(INDICE!$F$2,Nombres!$C$3:$D$636,60,FALSE)</f>
        <v>Depósitos de bancos centrales y entidades de crédito</v>
      </c>
      <c r="B152" s="58">
        <v>1733538.0061865845</v>
      </c>
      <c r="C152" s="58">
        <v>1960035.0778928602</v>
      </c>
      <c r="D152" s="58">
        <v>2260529.1102399295</v>
      </c>
      <c r="E152" s="64">
        <v>3188916.740461972</v>
      </c>
      <c r="F152" s="44">
        <v>6304093.667785421</v>
      </c>
      <c r="G152" s="44">
        <v>3714441.337265419</v>
      </c>
      <c r="H152" s="44">
        <v>5275337.893314839</v>
      </c>
      <c r="I152" s="44">
        <v>0</v>
      </c>
    </row>
    <row r="153" spans="1:9" ht="15">
      <c r="A153" s="43" t="str">
        <f>HLOOKUP(INDICE!$F$2,Nombres!$C$3:$D$636,61,FALSE)</f>
        <v>Depósitos de la clientela</v>
      </c>
      <c r="B153" s="58">
        <v>51483608.039330855</v>
      </c>
      <c r="C153" s="58">
        <v>54345099.195764795</v>
      </c>
      <c r="D153" s="58">
        <v>54138368.55568788</v>
      </c>
      <c r="E153" s="64">
        <v>57755549.36551548</v>
      </c>
      <c r="F153" s="44">
        <v>55952632.21146009</v>
      </c>
      <c r="G153" s="44">
        <v>65558627.87966287</v>
      </c>
      <c r="H153" s="44">
        <v>64112046.30668473</v>
      </c>
      <c r="I153" s="44">
        <v>0</v>
      </c>
    </row>
    <row r="154" spans="1:9" ht="15">
      <c r="A154" s="43" t="str">
        <f>HLOOKUP(INDICE!$F$2,Nombres!$C$3:$D$636,62,FALSE)</f>
        <v>Valores representativos de deuda emitidos</v>
      </c>
      <c r="B154" s="44">
        <v>3445013.0918054557</v>
      </c>
      <c r="C154" s="44">
        <v>3488102.760698742</v>
      </c>
      <c r="D154" s="44">
        <v>3609708.5747333057</v>
      </c>
      <c r="E154" s="45">
        <v>3722568.3359592305</v>
      </c>
      <c r="F154" s="44">
        <v>3653584.586303995</v>
      </c>
      <c r="G154" s="44">
        <v>3972900.1091882037</v>
      </c>
      <c r="H154" s="44">
        <v>4275996.740360166</v>
      </c>
      <c r="I154" s="44">
        <v>0</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+B150-B151-B152-B153-B154-B157</f>
        <v>3180451.470568632</v>
      </c>
      <c r="C156" s="58">
        <f aca="true" t="shared" si="26" ref="C156:I156">+C150-C151-C152-C153-C154-C157</f>
        <v>3306535.7392753474</v>
      </c>
      <c r="D156" s="58">
        <f t="shared" si="26"/>
        <v>3411275.4009424504</v>
      </c>
      <c r="E156" s="64">
        <f t="shared" si="26"/>
        <v>3302397.7531453315</v>
      </c>
      <c r="F156" s="44">
        <f t="shared" si="26"/>
        <v>2875139.6724264612</v>
      </c>
      <c r="G156" s="44">
        <f t="shared" si="26"/>
        <v>2176950.463177422</v>
      </c>
      <c r="H156" s="44">
        <f t="shared" si="26"/>
        <v>2315408.024927644</v>
      </c>
      <c r="I156" s="44">
        <f t="shared" si="26"/>
        <v>0</v>
      </c>
    </row>
    <row r="157" spans="1:9" ht="15.75" customHeight="1">
      <c r="A157" s="43" t="str">
        <f>HLOOKUP(INDICE!$F$2,Nombres!$C$3:$D$636,282,FALSE)</f>
        <v>Dotación de capital regulatorio</v>
      </c>
      <c r="B157" s="58">
        <v>6488248.5282724695</v>
      </c>
      <c r="C157" s="58">
        <v>6500691.857193885</v>
      </c>
      <c r="D157" s="58">
        <v>6711476.835253386</v>
      </c>
      <c r="E157" s="64">
        <v>7257248.2628208045</v>
      </c>
      <c r="F157" s="44">
        <v>7588686.046329954</v>
      </c>
      <c r="G157" s="44">
        <v>8620680.286913695</v>
      </c>
      <c r="H157" s="44">
        <v>8970446.751153445</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HLOOKUP(INDICE!$F$2,Nombres!$C$3:$D$636,75,FALSE)</f>
        <v>(Millones de pesos colombianos)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Préstamos y anticipos a la clientela bruto (*)</v>
      </c>
      <c r="B163" s="44">
        <v>52740309.599485286</v>
      </c>
      <c r="C163" s="44">
        <v>53935958.19001965</v>
      </c>
      <c r="D163" s="44">
        <v>55442453.036314204</v>
      </c>
      <c r="E163" s="45">
        <v>58764018.0561954</v>
      </c>
      <c r="F163" s="44">
        <v>61560886.212334245</v>
      </c>
      <c r="G163" s="44">
        <v>65547890.5605151</v>
      </c>
      <c r="H163" s="44">
        <v>67785494.11840776</v>
      </c>
      <c r="I163" s="44">
        <v>0</v>
      </c>
    </row>
    <row r="164" spans="1:9" ht="15">
      <c r="A164" s="43" t="str">
        <f>HLOOKUP(INDICE!$F$2,Nombres!$C$3:$D$636,67,FALSE)</f>
        <v>Depósitos de clientes en gestión (**)</v>
      </c>
      <c r="B164" s="44">
        <v>51482243.47168362</v>
      </c>
      <c r="C164" s="44">
        <v>54273582.1714105</v>
      </c>
      <c r="D164" s="44">
        <v>54041023.67755364</v>
      </c>
      <c r="E164" s="45">
        <v>57777210.21995637</v>
      </c>
      <c r="F164" s="44">
        <v>55979830.953652136</v>
      </c>
      <c r="G164" s="44">
        <v>65556268.61044855</v>
      </c>
      <c r="H164" s="44">
        <v>64156280.25151877</v>
      </c>
      <c r="I164" s="44">
        <v>0</v>
      </c>
    </row>
    <row r="165" spans="1:9" ht="15">
      <c r="A165" s="43" t="str">
        <f>HLOOKUP(INDICE!$F$2,Nombres!$C$3:$D$636,68,FALSE)</f>
        <v>Fondos de inversión y carteras gestionadas</v>
      </c>
      <c r="B165" s="44">
        <v>6214459.843579048</v>
      </c>
      <c r="C165" s="44">
        <v>5762616.428429238</v>
      </c>
      <c r="D165" s="44">
        <v>6049122.536908397</v>
      </c>
      <c r="E165" s="45">
        <v>10711241.650299674</v>
      </c>
      <c r="F165" s="44">
        <v>10704117.431983523</v>
      </c>
      <c r="G165" s="44">
        <v>9899569.921375781</v>
      </c>
      <c r="H165" s="44">
        <v>10103249.84499269</v>
      </c>
      <c r="I165" s="44">
        <v>0</v>
      </c>
    </row>
    <row r="166" spans="1:9" ht="15">
      <c r="A166" s="43" t="str">
        <f>HLOOKUP(INDICE!$F$2,Nombres!$C$3:$D$636,69,FALSE)</f>
        <v>Fondos de pensiones</v>
      </c>
      <c r="B166" s="44">
        <v>0</v>
      </c>
      <c r="C166" s="44">
        <v>0</v>
      </c>
      <c r="D166" s="44">
        <v>0</v>
      </c>
      <c r="E166" s="45">
        <v>0</v>
      </c>
      <c r="F166" s="44">
        <v>0</v>
      </c>
      <c r="G166" s="44">
        <v>0</v>
      </c>
      <c r="H166" s="44">
        <v>0</v>
      </c>
      <c r="I166" s="44">
        <v>0</v>
      </c>
    </row>
    <row r="167" spans="1:15" ht="15">
      <c r="A167" s="43"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62" t="str">
        <f>HLOOKUP(INDICE!$F$2,Nombres!$C$3:$D$636,71,FALSE)</f>
        <v>(*) No incluye las adquisiciones temporales de activos.</v>
      </c>
      <c r="B168" s="58"/>
      <c r="C168" s="58"/>
      <c r="D168" s="58"/>
      <c r="E168" s="58"/>
      <c r="F168" s="44"/>
      <c r="G168" s="44"/>
      <c r="H168" s="44"/>
      <c r="I168" s="44"/>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392</v>
      </c>
    </row>
  </sheetData>
  <sheetProtection/>
  <mergeCells count="6">
    <mergeCell ref="B118:E118"/>
    <mergeCell ref="F118:I118"/>
    <mergeCell ref="B6:E6"/>
    <mergeCell ref="F6:I6"/>
    <mergeCell ref="B62:E62"/>
    <mergeCell ref="F62:I62"/>
  </mergeCells>
  <conditionalFormatting sqref="B26:I26">
    <cfRule type="cellIs" priority="3" dxfId="131" operator="notBetween">
      <formula>0.5</formula>
      <formula>-0.5</formula>
    </cfRule>
  </conditionalFormatting>
  <conditionalFormatting sqref="B82:I82">
    <cfRule type="cellIs" priority="2" dxfId="131" operator="notBetween">
      <formula>0.5</formula>
      <formula>-0.5</formula>
    </cfRule>
  </conditionalFormatting>
  <conditionalFormatting sqref="B138:I138">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O180"/>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82" t="str">
        <f>HLOOKUP(INDICE!$F$2,Nombres!$C$3:$D$636,17,FALSE)</f>
        <v>Perú</v>
      </c>
      <c r="B1" s="30"/>
      <c r="C1" s="30"/>
      <c r="D1" s="30"/>
      <c r="E1" s="30"/>
      <c r="F1" s="30"/>
      <c r="G1" s="30"/>
      <c r="H1" s="30"/>
      <c r="I1" s="30"/>
    </row>
    <row r="2" spans="1:9" ht="19.5">
      <c r="A2" s="32"/>
      <c r="B2" s="30"/>
      <c r="C2" s="30"/>
      <c r="D2" s="30"/>
      <c r="E2" s="30"/>
      <c r="F2" s="30"/>
      <c r="G2" s="30"/>
      <c r="H2" s="30"/>
      <c r="I2" s="30"/>
    </row>
    <row r="3" spans="1:9" ht="18">
      <c r="A3" s="92" t="str">
        <f>HLOOKUP(INDICE!$F$2,Nombres!$C$3:$D$636,31,FALSE)</f>
        <v>Cuenta de resultados  </v>
      </c>
      <c r="B3" s="34"/>
      <c r="C3" s="34"/>
      <c r="D3" s="34"/>
      <c r="E3" s="34"/>
      <c r="F3" s="34"/>
      <c r="G3" s="34"/>
      <c r="H3" s="34"/>
      <c r="I3" s="34"/>
    </row>
    <row r="4" spans="1:9" ht="15">
      <c r="A4" s="83"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13">
        <f>+España!B6</f>
        <v>2021</v>
      </c>
      <c r="C6" s="313"/>
      <c r="D6" s="313"/>
      <c r="E6" s="314"/>
      <c r="F6" s="313">
        <f>+España!F6</f>
        <v>2022</v>
      </c>
      <c r="G6" s="313"/>
      <c r="H6" s="313"/>
      <c r="I6" s="313"/>
    </row>
    <row r="7" spans="1:9" ht="15.75">
      <c r="A7" s="38"/>
      <c r="B7" s="84" t="str">
        <f>+España!B7</f>
        <v>1er Trim.</v>
      </c>
      <c r="C7" s="84" t="str">
        <f>+España!C7</f>
        <v>2º Trim.</v>
      </c>
      <c r="D7" s="84" t="str">
        <f>+España!D7</f>
        <v>3er Trim.</v>
      </c>
      <c r="E7" s="85" t="str">
        <f>+España!E7</f>
        <v>4º Trim.</v>
      </c>
      <c r="F7" s="84" t="str">
        <f>+España!F7</f>
        <v>1er Trim.</v>
      </c>
      <c r="G7" s="84" t="str">
        <f>+España!G7</f>
        <v>2º Trim.</v>
      </c>
      <c r="H7" s="84" t="str">
        <f>+España!H7</f>
        <v>3er Trim.</v>
      </c>
      <c r="I7" s="84" t="str">
        <f>+España!I7</f>
        <v>4º Trim.</v>
      </c>
    </row>
    <row r="8" spans="1:15" ht="15">
      <c r="A8" s="41" t="str">
        <f>HLOOKUP(INDICE!$F$2,Nombres!$C$3:$D$636,33,FALSE)</f>
        <v>Margen de intereses</v>
      </c>
      <c r="B8" s="41">
        <v>182.101</v>
      </c>
      <c r="C8" s="41">
        <v>177.758</v>
      </c>
      <c r="D8" s="41">
        <v>192.64100000000005</v>
      </c>
      <c r="E8" s="42">
        <v>208.13799999999998</v>
      </c>
      <c r="F8" s="50">
        <v>218.20399999999995</v>
      </c>
      <c r="G8" s="50">
        <v>262.255</v>
      </c>
      <c r="H8" s="239">
        <v>292.43999999999994</v>
      </c>
      <c r="I8" s="239">
        <v>0</v>
      </c>
      <c r="J8" s="86"/>
      <c r="K8" s="86"/>
      <c r="L8" s="86"/>
      <c r="M8" s="86"/>
      <c r="N8" s="86"/>
      <c r="O8" s="86"/>
    </row>
    <row r="9" spans="1:9" ht="15">
      <c r="A9" s="87" t="str">
        <f>HLOOKUP(INDICE!$F$2,Nombres!$C$3:$D$636,34,FALSE)</f>
        <v>Comisiones netas</v>
      </c>
      <c r="B9" s="44">
        <v>54.90512817</v>
      </c>
      <c r="C9" s="44">
        <v>59.07316048999999</v>
      </c>
      <c r="D9" s="44">
        <v>58.71583201999999</v>
      </c>
      <c r="E9" s="45">
        <v>58.1263661</v>
      </c>
      <c r="F9" s="44">
        <v>63.51501187999999</v>
      </c>
      <c r="G9" s="44">
        <v>75.50539903</v>
      </c>
      <c r="H9" s="44">
        <v>71.98586402999999</v>
      </c>
      <c r="I9" s="44">
        <v>0</v>
      </c>
    </row>
    <row r="10" spans="1:9" ht="15">
      <c r="A10" s="87" t="str">
        <f>HLOOKUP(INDICE!$F$2,Nombres!$C$3:$D$636,35,FALSE)</f>
        <v>Resultados de operaciones financieras</v>
      </c>
      <c r="B10" s="44">
        <v>33.87019303999999</v>
      </c>
      <c r="C10" s="44">
        <v>55.55867029999999</v>
      </c>
      <c r="D10" s="44">
        <v>22.65121704000002</v>
      </c>
      <c r="E10" s="45">
        <v>29.103929020000006</v>
      </c>
      <c r="F10" s="44">
        <v>33.20376918000001</v>
      </c>
      <c r="G10" s="44">
        <v>41.37323429</v>
      </c>
      <c r="H10" s="44">
        <v>45.19068422</v>
      </c>
      <c r="I10" s="44">
        <v>0</v>
      </c>
    </row>
    <row r="11" spans="1:9" ht="15">
      <c r="A11" s="87" t="str">
        <f>HLOOKUP(INDICE!$F$2,Nombres!$C$3:$D$636,36,FALSE)</f>
        <v>Otros ingresos y cargas de explotación</v>
      </c>
      <c r="B11" s="44">
        <v>-8.507</v>
      </c>
      <c r="C11" s="44">
        <v>-10.249000000000002</v>
      </c>
      <c r="D11" s="44">
        <v>-8.525999999999998</v>
      </c>
      <c r="E11" s="45">
        <v>-7.714000000000003</v>
      </c>
      <c r="F11" s="44">
        <v>-8.483000000000002</v>
      </c>
      <c r="G11" s="44">
        <v>-8.852</v>
      </c>
      <c r="H11" s="44">
        <v>-8.345999999999997</v>
      </c>
      <c r="I11" s="44">
        <v>0</v>
      </c>
    </row>
    <row r="12" spans="1:9" ht="15">
      <c r="A12" s="41" t="str">
        <f>HLOOKUP(INDICE!$F$2,Nombres!$C$3:$D$636,37,FALSE)</f>
        <v>Margen bruto</v>
      </c>
      <c r="B12" s="41">
        <f aca="true" t="shared" si="0" ref="B12:I12">+SUM(B8:B11)</f>
        <v>262.36932121</v>
      </c>
      <c r="C12" s="41">
        <f t="shared" si="0"/>
        <v>282.14083079</v>
      </c>
      <c r="D12" s="41">
        <f t="shared" si="0"/>
        <v>265.48204906000007</v>
      </c>
      <c r="E12" s="42">
        <f t="shared" si="0"/>
        <v>287.65429512</v>
      </c>
      <c r="F12" s="50">
        <f t="shared" si="0"/>
        <v>306.4397810599999</v>
      </c>
      <c r="G12" s="50">
        <f t="shared" si="0"/>
        <v>370.2816333200001</v>
      </c>
      <c r="H12" s="50">
        <f t="shared" si="0"/>
        <v>401.27054824999993</v>
      </c>
      <c r="I12" s="50">
        <f t="shared" si="0"/>
        <v>0</v>
      </c>
    </row>
    <row r="13" spans="1:9" ht="15">
      <c r="A13" s="87" t="str">
        <f>HLOOKUP(INDICE!$F$2,Nombres!$C$3:$D$636,38,FALSE)</f>
        <v>Gastos de explotación</v>
      </c>
      <c r="B13" s="44">
        <v>-102.38831486000001</v>
      </c>
      <c r="C13" s="44">
        <v>-102.50110823</v>
      </c>
      <c r="D13" s="44">
        <v>-101.13769025</v>
      </c>
      <c r="E13" s="45">
        <v>-112.82812424999999</v>
      </c>
      <c r="F13" s="44">
        <v>-119.00970702000001</v>
      </c>
      <c r="G13" s="44">
        <v>-130.94358369</v>
      </c>
      <c r="H13" s="44">
        <v>-148.16788755000005</v>
      </c>
      <c r="I13" s="44">
        <v>0</v>
      </c>
    </row>
    <row r="14" spans="1:9" ht="15">
      <c r="A14" s="87" t="str">
        <f>HLOOKUP(INDICE!$F$2,Nombres!$C$3:$D$636,39,FALSE)</f>
        <v>  Gastos de administración</v>
      </c>
      <c r="B14" s="44">
        <v>-87.45931486</v>
      </c>
      <c r="C14" s="44">
        <v>-88.41310822999998</v>
      </c>
      <c r="D14" s="44">
        <v>-87.67369025</v>
      </c>
      <c r="E14" s="45">
        <v>-99.13412424999996</v>
      </c>
      <c r="F14" s="44">
        <v>-102.51670702000001</v>
      </c>
      <c r="G14" s="44">
        <v>-113.09858369</v>
      </c>
      <c r="H14" s="44">
        <v>-130.19688755</v>
      </c>
      <c r="I14" s="44">
        <v>0</v>
      </c>
    </row>
    <row r="15" spans="1:9" ht="15">
      <c r="A15" s="88" t="str">
        <f>HLOOKUP(INDICE!$F$2,Nombres!$C$3:$D$636,40,FALSE)</f>
        <v>  Gastos de personal</v>
      </c>
      <c r="B15" s="44">
        <v>-47.685</v>
      </c>
      <c r="C15" s="44">
        <v>-47.566</v>
      </c>
      <c r="D15" s="44">
        <v>-48.599000000000004</v>
      </c>
      <c r="E15" s="45">
        <v>-58.57062599999999</v>
      </c>
      <c r="F15" s="44">
        <v>-53.595</v>
      </c>
      <c r="G15" s="44">
        <v>-59.07700000000001</v>
      </c>
      <c r="H15" s="44">
        <v>-67.195</v>
      </c>
      <c r="I15" s="44">
        <v>0</v>
      </c>
    </row>
    <row r="16" spans="1:9" ht="15">
      <c r="A16" s="88" t="str">
        <f>HLOOKUP(INDICE!$F$2,Nombres!$C$3:$D$636,41,FALSE)</f>
        <v>  Otros gastos de administración</v>
      </c>
      <c r="B16" s="44">
        <v>-39.774314860000004</v>
      </c>
      <c r="C16" s="44">
        <v>-40.847108229999996</v>
      </c>
      <c r="D16" s="44">
        <v>-39.07469025000001</v>
      </c>
      <c r="E16" s="45">
        <v>-40.56349824999997</v>
      </c>
      <c r="F16" s="44">
        <v>-48.92170701999999</v>
      </c>
      <c r="G16" s="44">
        <v>-54.021583690000014</v>
      </c>
      <c r="H16" s="44">
        <v>-63.001887550000006</v>
      </c>
      <c r="I16" s="44">
        <v>0</v>
      </c>
    </row>
    <row r="17" spans="1:9" ht="15">
      <c r="A17" s="87" t="str">
        <f>HLOOKUP(INDICE!$F$2,Nombres!$C$3:$D$636,42,FALSE)</f>
        <v>  Amortización</v>
      </c>
      <c r="B17" s="44">
        <v>-14.929</v>
      </c>
      <c r="C17" s="44">
        <v>-14.088</v>
      </c>
      <c r="D17" s="44">
        <v>-13.463999999999999</v>
      </c>
      <c r="E17" s="45">
        <v>-13.694000000000003</v>
      </c>
      <c r="F17" s="44">
        <v>-16.493000000000002</v>
      </c>
      <c r="G17" s="44">
        <v>-17.845</v>
      </c>
      <c r="H17" s="44">
        <v>-17.971000000000004</v>
      </c>
      <c r="I17" s="44">
        <v>0</v>
      </c>
    </row>
    <row r="18" spans="1:9" ht="15">
      <c r="A18" s="41" t="str">
        <f>HLOOKUP(INDICE!$F$2,Nombres!$C$3:$D$636,43,FALSE)</f>
        <v>Margen neto</v>
      </c>
      <c r="B18" s="41">
        <f aca="true" t="shared" si="1" ref="B18:I18">+B12+B13</f>
        <v>159.98100635</v>
      </c>
      <c r="C18" s="41">
        <f t="shared" si="1"/>
        <v>179.63972256</v>
      </c>
      <c r="D18" s="41">
        <f t="shared" si="1"/>
        <v>164.34435881000007</v>
      </c>
      <c r="E18" s="42">
        <f t="shared" si="1"/>
        <v>174.82617087</v>
      </c>
      <c r="F18" s="50">
        <f t="shared" si="1"/>
        <v>187.4300740399999</v>
      </c>
      <c r="G18" s="50">
        <f t="shared" si="1"/>
        <v>239.33804963000009</v>
      </c>
      <c r="H18" s="50">
        <f t="shared" si="1"/>
        <v>253.1026606999999</v>
      </c>
      <c r="I18" s="50">
        <f t="shared" si="1"/>
        <v>0</v>
      </c>
    </row>
    <row r="19" spans="1:9" ht="15">
      <c r="A19" s="87" t="str">
        <f>HLOOKUP(INDICE!$F$2,Nombres!$C$3:$D$636,44,FALSE)</f>
        <v>Deterioro de activos financieros no valorados a valor razonable con cambios en resultados</v>
      </c>
      <c r="B19" s="44">
        <v>-66.37799999999997</v>
      </c>
      <c r="C19" s="44">
        <v>-81.15900000000002</v>
      </c>
      <c r="D19" s="44">
        <v>-72.707</v>
      </c>
      <c r="E19" s="45">
        <v>-34.973</v>
      </c>
      <c r="F19" s="44">
        <v>-30.826999999999998</v>
      </c>
      <c r="G19" s="44">
        <v>-43.44600000000002</v>
      </c>
      <c r="H19" s="44">
        <v>-88.217</v>
      </c>
      <c r="I19" s="44">
        <v>0</v>
      </c>
    </row>
    <row r="20" spans="1:9" ht="15">
      <c r="A20" s="87" t="str">
        <f>HLOOKUP(INDICE!$F$2,Nombres!$C$3:$D$636,45,FALSE)</f>
        <v>Provisiones o reversión de provisiones y otros resultados</v>
      </c>
      <c r="B20" s="44">
        <v>-6.544999999999999</v>
      </c>
      <c r="C20" s="44">
        <v>-12.276</v>
      </c>
      <c r="D20" s="44">
        <v>-14.729</v>
      </c>
      <c r="E20" s="45">
        <v>-9.948000000000008</v>
      </c>
      <c r="F20" s="44">
        <v>-9.047</v>
      </c>
      <c r="G20" s="44">
        <v>-8.422999999999977</v>
      </c>
      <c r="H20" s="44">
        <v>-11.660000000000002</v>
      </c>
      <c r="I20" s="44">
        <v>0</v>
      </c>
    </row>
    <row r="21" spans="1:9" ht="15">
      <c r="A21" s="89" t="str">
        <f>HLOOKUP(INDICE!$F$2,Nombres!$C$3:$D$636,46,FALSE)</f>
        <v>Resultado antes de impuestos</v>
      </c>
      <c r="B21" s="41">
        <f aca="true" t="shared" si="2" ref="B21:I21">+B18+B19+B20</f>
        <v>87.05800635000003</v>
      </c>
      <c r="C21" s="41">
        <f t="shared" si="2"/>
        <v>86.20472255999998</v>
      </c>
      <c r="D21" s="41">
        <f t="shared" si="2"/>
        <v>76.90835881000008</v>
      </c>
      <c r="E21" s="42">
        <f t="shared" si="2"/>
        <v>129.90517086999998</v>
      </c>
      <c r="F21" s="50">
        <f t="shared" si="2"/>
        <v>147.5560740399999</v>
      </c>
      <c r="G21" s="50">
        <f t="shared" si="2"/>
        <v>187.4690496300001</v>
      </c>
      <c r="H21" s="50">
        <f t="shared" si="2"/>
        <v>153.2256606999999</v>
      </c>
      <c r="I21" s="50">
        <f t="shared" si="2"/>
        <v>0</v>
      </c>
    </row>
    <row r="22" spans="1:9" ht="15">
      <c r="A22" s="43" t="str">
        <f>HLOOKUP(INDICE!$F$2,Nombres!$C$3:$D$636,47,FALSE)</f>
        <v>Impuesto sobre beneficios</v>
      </c>
      <c r="B22" s="44">
        <v>-26.959631610000002</v>
      </c>
      <c r="C22" s="44">
        <v>-29.657473080000003</v>
      </c>
      <c r="D22" s="44">
        <v>-25.605789299999998</v>
      </c>
      <c r="E22" s="45">
        <v>-36.37013999</v>
      </c>
      <c r="F22" s="44">
        <v>-37.16825010000001</v>
      </c>
      <c r="G22" s="44">
        <v>-50.69169471</v>
      </c>
      <c r="H22" s="44">
        <v>-39.59375947000001</v>
      </c>
      <c r="I22" s="44">
        <v>0</v>
      </c>
    </row>
    <row r="23" spans="1:9" ht="15">
      <c r="A23" s="89" t="str">
        <f>HLOOKUP(INDICE!$F$2,Nombres!$C$3:$D$636,48,FALSE)</f>
        <v>Resultado del ejercicio</v>
      </c>
      <c r="B23" s="41">
        <f aca="true" t="shared" si="3" ref="B23:I23">+B21+B22</f>
        <v>60.098374740000025</v>
      </c>
      <c r="C23" s="41">
        <f t="shared" si="3"/>
        <v>56.54724947999998</v>
      </c>
      <c r="D23" s="41">
        <f t="shared" si="3"/>
        <v>51.30256951000008</v>
      </c>
      <c r="E23" s="42">
        <f t="shared" si="3"/>
        <v>93.53503087999998</v>
      </c>
      <c r="F23" s="50">
        <f t="shared" si="3"/>
        <v>110.3878239399999</v>
      </c>
      <c r="G23" s="50">
        <f t="shared" si="3"/>
        <v>136.77735492000008</v>
      </c>
      <c r="H23" s="50">
        <f t="shared" si="3"/>
        <v>113.6319012299999</v>
      </c>
      <c r="I23" s="50">
        <f t="shared" si="3"/>
        <v>0</v>
      </c>
    </row>
    <row r="24" spans="1:9" ht="15">
      <c r="A24" s="87" t="str">
        <f>HLOOKUP(INDICE!$F$2,Nombres!$C$3:$D$636,49,FALSE)</f>
        <v>Minoritarios</v>
      </c>
      <c r="B24" s="44">
        <v>-33.19100227</v>
      </c>
      <c r="C24" s="44">
        <v>-30.662351949999998</v>
      </c>
      <c r="D24" s="44">
        <v>-28.361814059999997</v>
      </c>
      <c r="E24" s="45">
        <v>-51.32902664000001</v>
      </c>
      <c r="F24" s="44">
        <v>-59.35333915</v>
      </c>
      <c r="G24" s="44">
        <v>-70.39765243000001</v>
      </c>
      <c r="H24" s="44">
        <v>-62.72391561</v>
      </c>
      <c r="I24" s="44">
        <v>0</v>
      </c>
    </row>
    <row r="25" spans="1:9" ht="15">
      <c r="A25" s="90" t="str">
        <f>HLOOKUP(INDICE!$F$2,Nombres!$C$3:$D$636,50,FALSE)</f>
        <v>Resultado atribuido</v>
      </c>
      <c r="B25" s="47">
        <f aca="true" t="shared" si="4" ref="B25:I25">+B23+B24</f>
        <v>26.907372470000027</v>
      </c>
      <c r="C25" s="47">
        <f t="shared" si="4"/>
        <v>25.88489752999998</v>
      </c>
      <c r="D25" s="47">
        <f t="shared" si="4"/>
        <v>22.940755450000086</v>
      </c>
      <c r="E25" s="47">
        <f t="shared" si="4"/>
        <v>42.20600423999997</v>
      </c>
      <c r="F25" s="51">
        <f t="shared" si="4"/>
        <v>51.03448478999991</v>
      </c>
      <c r="G25" s="51">
        <f t="shared" si="4"/>
        <v>66.37970249000007</v>
      </c>
      <c r="H25" s="51">
        <f t="shared" si="4"/>
        <v>50.9079856199999</v>
      </c>
      <c r="I25" s="51">
        <f t="shared" si="4"/>
        <v>0</v>
      </c>
    </row>
    <row r="26" spans="1:9" ht="15">
      <c r="A26" s="91"/>
      <c r="B26" s="63">
        <v>0</v>
      </c>
      <c r="C26" s="63">
        <v>0</v>
      </c>
      <c r="D26" s="63">
        <v>4.618527782440651E-14</v>
      </c>
      <c r="E26" s="63">
        <v>0</v>
      </c>
      <c r="F26" s="63">
        <v>-9.947598300641403E-14</v>
      </c>
      <c r="G26" s="63">
        <v>0</v>
      </c>
      <c r="H26" s="63">
        <v>-7.105427357601002E-14</v>
      </c>
      <c r="I26" s="63">
        <v>0</v>
      </c>
    </row>
    <row r="27" spans="1:9" ht="15">
      <c r="A27" s="89"/>
      <c r="B27" s="41"/>
      <c r="C27" s="41"/>
      <c r="D27" s="41"/>
      <c r="E27" s="41"/>
      <c r="F27" s="41"/>
      <c r="G27" s="41"/>
      <c r="H27" s="41"/>
      <c r="I27" s="41"/>
    </row>
    <row r="28" spans="1:9" ht="18">
      <c r="A28" s="92" t="str">
        <f>HLOOKUP(INDICE!$F$2,Nombres!$C$3:$D$636,51,FALSE)</f>
        <v>Balances</v>
      </c>
      <c r="B28" s="34"/>
      <c r="C28" s="34"/>
      <c r="D28" s="34"/>
      <c r="E28" s="34"/>
      <c r="F28" s="34"/>
      <c r="G28" s="34"/>
      <c r="H28" s="34"/>
      <c r="I28" s="34"/>
    </row>
    <row r="29" spans="1:9" ht="15">
      <c r="A29" s="83"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87" t="str">
        <f>HLOOKUP(INDICE!$F$2,Nombres!$C$3:$D$636,52,FALSE)</f>
        <v>Efectivo, saldos en efectivo en bancos centrales y otros depósitos a la vista</v>
      </c>
      <c r="B31" s="44">
        <v>3055.0239999999994</v>
      </c>
      <c r="C31" s="44">
        <v>2519.9790000000003</v>
      </c>
      <c r="D31" s="44">
        <v>3426.904</v>
      </c>
      <c r="E31" s="45">
        <v>3290.2690000000002</v>
      </c>
      <c r="F31" s="44">
        <v>3470.1679999999997</v>
      </c>
      <c r="G31" s="44">
        <v>3729.0200000000004</v>
      </c>
      <c r="H31" s="44">
        <v>4383.277</v>
      </c>
      <c r="I31" s="44">
        <v>0</v>
      </c>
    </row>
    <row r="32" spans="1:9" ht="15">
      <c r="A32" s="87" t="str">
        <f>HLOOKUP(INDICE!$F$2,Nombres!$C$3:$D$636,53,FALSE)</f>
        <v>Activos financieros a valor razonable</v>
      </c>
      <c r="B32" s="58">
        <v>2774.0229999999997</v>
      </c>
      <c r="C32" s="58">
        <v>3046.906</v>
      </c>
      <c r="D32" s="58">
        <v>2781.4759999999997</v>
      </c>
      <c r="E32" s="64">
        <v>2548.754</v>
      </c>
      <c r="F32" s="44">
        <v>2913.6949999999997</v>
      </c>
      <c r="G32" s="44">
        <v>2986.973</v>
      </c>
      <c r="H32" s="44">
        <v>3344.2919999999995</v>
      </c>
      <c r="I32" s="44">
        <v>0</v>
      </c>
    </row>
    <row r="33" spans="1:9" ht="15">
      <c r="A33" s="43" t="str">
        <f>HLOOKUP(INDICE!$F$2,Nombres!$C$3:$D$636,54,FALSE)</f>
        <v>Activos financieros a coste amortizado</v>
      </c>
      <c r="B33" s="44">
        <v>17518.131999999998</v>
      </c>
      <c r="C33" s="44">
        <v>16835.772999999997</v>
      </c>
      <c r="D33" s="44">
        <v>16144.789999999999</v>
      </c>
      <c r="E33" s="45">
        <v>16098.956</v>
      </c>
      <c r="F33" s="44">
        <v>17268.314000000002</v>
      </c>
      <c r="G33" s="44">
        <v>18041.945</v>
      </c>
      <c r="H33" s="44">
        <v>19025.966000000004</v>
      </c>
      <c r="I33" s="44">
        <v>0</v>
      </c>
    </row>
    <row r="34" spans="1:9" ht="15">
      <c r="A34" s="87" t="str">
        <f>HLOOKUP(INDICE!$F$2,Nombres!$C$3:$D$636,55,FALSE)</f>
        <v>    de los que préstamos y anticipos a la clientela</v>
      </c>
      <c r="B34" s="44">
        <v>15276.72</v>
      </c>
      <c r="C34" s="44">
        <v>15395.269999999997</v>
      </c>
      <c r="D34" s="44">
        <v>14612.89</v>
      </c>
      <c r="E34" s="45">
        <v>15648.623000000003</v>
      </c>
      <c r="F34" s="44">
        <v>16947.196</v>
      </c>
      <c r="G34" s="44">
        <v>17677.086</v>
      </c>
      <c r="H34" s="44">
        <v>18066.41</v>
      </c>
      <c r="I34" s="44">
        <v>0</v>
      </c>
    </row>
    <row r="35" spans="1:9" ht="15" customHeight="1" hidden="1">
      <c r="A35" s="87"/>
      <c r="B35" s="44"/>
      <c r="C35" s="44"/>
      <c r="D35" s="44"/>
      <c r="E35" s="45"/>
      <c r="F35" s="44"/>
      <c r="G35" s="44"/>
      <c r="H35" s="44"/>
      <c r="I35" s="44"/>
    </row>
    <row r="36" spans="1:9" ht="15">
      <c r="A36" s="43" t="str">
        <f>HLOOKUP(INDICE!$F$2,Nombres!$C$3:$D$636,56,FALSE)</f>
        <v>Activos tangibles</v>
      </c>
      <c r="B36" s="44">
        <v>262.35299999999995</v>
      </c>
      <c r="C36" s="44">
        <v>247.649</v>
      </c>
      <c r="D36" s="44">
        <v>239.67399999999998</v>
      </c>
      <c r="E36" s="45">
        <v>270.206</v>
      </c>
      <c r="F36" s="44">
        <v>288.717</v>
      </c>
      <c r="G36" s="44">
        <v>298.78</v>
      </c>
      <c r="H36" s="44">
        <v>315.13899999999995</v>
      </c>
      <c r="I36" s="44">
        <v>0</v>
      </c>
    </row>
    <row r="37" spans="1:9" ht="15">
      <c r="A37" s="87" t="str">
        <f>HLOOKUP(INDICE!$F$2,Nombres!$C$3:$D$636,57,FALSE)</f>
        <v>Otros activos</v>
      </c>
      <c r="B37" s="58">
        <f aca="true" t="shared" si="5" ref="B37:I37">+B38-B36-B33-B32-B31</f>
        <v>362.5350000000067</v>
      </c>
      <c r="C37" s="58">
        <f t="shared" si="5"/>
        <v>352.3049318799949</v>
      </c>
      <c r="D37" s="58">
        <f t="shared" si="5"/>
        <v>354.51499999999896</v>
      </c>
      <c r="E37" s="64">
        <f t="shared" si="5"/>
        <v>405.79277088000435</v>
      </c>
      <c r="F37" s="44">
        <f t="shared" si="5"/>
        <v>443.0927348899986</v>
      </c>
      <c r="G37" s="44">
        <f t="shared" si="5"/>
        <v>470.6485883399964</v>
      </c>
      <c r="H37" s="44">
        <f t="shared" si="5"/>
        <v>469.59934287000215</v>
      </c>
      <c r="I37" s="44">
        <f t="shared" si="5"/>
        <v>0</v>
      </c>
    </row>
    <row r="38" spans="1:9" ht="15">
      <c r="A38" s="90" t="str">
        <f>HLOOKUP(INDICE!$F$2,Nombres!$C$3:$D$636,58,FALSE)</f>
        <v>Total activo / pasivo</v>
      </c>
      <c r="B38" s="47">
        <v>23972.067000000003</v>
      </c>
      <c r="C38" s="47">
        <v>23002.611931879994</v>
      </c>
      <c r="D38" s="47">
        <v>22947.358999999997</v>
      </c>
      <c r="E38" s="47">
        <v>22613.977770880003</v>
      </c>
      <c r="F38" s="51">
        <v>24383.98673489</v>
      </c>
      <c r="G38" s="51">
        <v>25527.366588339995</v>
      </c>
      <c r="H38" s="51">
        <v>27538.273342870005</v>
      </c>
      <c r="I38" s="51">
        <v>0</v>
      </c>
    </row>
    <row r="39" spans="1:9" ht="15">
      <c r="A39" s="87" t="str">
        <f>HLOOKUP(INDICE!$F$2,Nombres!$C$3:$D$636,59,FALSE)</f>
        <v>Pasivos financieros mantenidos para negociar y designados a valor razonable con cambios en resultados</v>
      </c>
      <c r="B39" s="58">
        <v>265.115</v>
      </c>
      <c r="C39" s="58">
        <v>374.055</v>
      </c>
      <c r="D39" s="58">
        <v>513.88</v>
      </c>
      <c r="E39" s="64">
        <v>354.679</v>
      </c>
      <c r="F39" s="44">
        <v>421.15200000000004</v>
      </c>
      <c r="G39" s="44">
        <v>410.173</v>
      </c>
      <c r="H39" s="44">
        <v>459.85699999999997</v>
      </c>
      <c r="I39" s="44">
        <v>0</v>
      </c>
    </row>
    <row r="40" spans="1:9" ht="15.75" customHeight="1">
      <c r="A40" s="87" t="str">
        <f>HLOOKUP(INDICE!$F$2,Nombres!$C$3:$D$636,60,FALSE)</f>
        <v>Depósitos de bancos centrales y entidades de crédito</v>
      </c>
      <c r="B40" s="58">
        <v>4194.721</v>
      </c>
      <c r="C40" s="58">
        <v>4325.62</v>
      </c>
      <c r="D40" s="58">
        <v>4183.368</v>
      </c>
      <c r="E40" s="64">
        <v>4130.728</v>
      </c>
      <c r="F40" s="44">
        <v>4168.018</v>
      </c>
      <c r="G40" s="44">
        <v>4008.562</v>
      </c>
      <c r="H40" s="44">
        <v>3885.9220000000005</v>
      </c>
      <c r="I40" s="44">
        <v>0</v>
      </c>
    </row>
    <row r="41" spans="1:9" ht="15">
      <c r="A41" s="87" t="str">
        <f>HLOOKUP(INDICE!$F$2,Nombres!$C$3:$D$636,61,FALSE)</f>
        <v>Depósitos de la clientela</v>
      </c>
      <c r="B41" s="58">
        <v>15191.590000000002</v>
      </c>
      <c r="C41" s="58">
        <v>14250.752</v>
      </c>
      <c r="D41" s="58">
        <v>14239.42</v>
      </c>
      <c r="E41" s="64">
        <v>13945.919</v>
      </c>
      <c r="F41" s="44">
        <v>14966.210000000001</v>
      </c>
      <c r="G41" s="44">
        <v>16149.865000000002</v>
      </c>
      <c r="H41" s="44">
        <v>18199.582000000002</v>
      </c>
      <c r="I41" s="44">
        <v>0</v>
      </c>
    </row>
    <row r="42" spans="1:9" ht="15">
      <c r="A42" s="43" t="str">
        <f>HLOOKUP(INDICE!$F$2,Nombres!$C$3:$D$636,62,FALSE)</f>
        <v>Valores representativos de deuda emitidos</v>
      </c>
      <c r="B42" s="44">
        <v>1330.2121669000003</v>
      </c>
      <c r="C42" s="44">
        <v>1252.4018942</v>
      </c>
      <c r="D42" s="44">
        <v>1261.7598223500001</v>
      </c>
      <c r="E42" s="45">
        <v>1331.59579592</v>
      </c>
      <c r="F42" s="44">
        <v>1371.86706993</v>
      </c>
      <c r="G42" s="44">
        <v>1657.98805191</v>
      </c>
      <c r="H42" s="44">
        <v>1109.12309372</v>
      </c>
      <c r="I42" s="44">
        <v>0</v>
      </c>
    </row>
    <row r="43" spans="1:9" ht="15" customHeight="1" hidden="1">
      <c r="A43" s="43"/>
      <c r="B43" s="44"/>
      <c r="C43" s="44"/>
      <c r="D43" s="44"/>
      <c r="E43" s="45"/>
      <c r="F43" s="44"/>
      <c r="G43" s="44"/>
      <c r="H43" s="44"/>
      <c r="I43" s="44"/>
    </row>
    <row r="44" spans="1:9" ht="15">
      <c r="A44" s="87" t="str">
        <f>HLOOKUP(INDICE!$F$2,Nombres!$C$3:$D$636,63,FALSE)</f>
        <v>Otros pasivos</v>
      </c>
      <c r="B44" s="58">
        <f aca="true" t="shared" si="6" ref="B44:I44">+B38-B39-B40-B41-B42-B45</f>
        <v>1075.1838846899977</v>
      </c>
      <c r="C44" s="58">
        <f t="shared" si="6"/>
        <v>936.8081084299938</v>
      </c>
      <c r="D44" s="58">
        <f t="shared" si="6"/>
        <v>861.282845539997</v>
      </c>
      <c r="E44" s="64">
        <f t="shared" si="6"/>
        <v>766.9513349600038</v>
      </c>
      <c r="F44" s="44">
        <f t="shared" si="6"/>
        <v>1103.4058635199976</v>
      </c>
      <c r="G44" s="44">
        <f t="shared" si="6"/>
        <v>826.3090805699935</v>
      </c>
      <c r="H44" s="44">
        <f t="shared" si="6"/>
        <v>1301.7892427900042</v>
      </c>
      <c r="I44" s="44">
        <f t="shared" si="6"/>
        <v>0</v>
      </c>
    </row>
    <row r="45" spans="1:9" ht="15">
      <c r="A45" s="43" t="str">
        <f>HLOOKUP(INDICE!$F$2,Nombres!$C$3:$D$636,282,FALSE)</f>
        <v>Dotación de capital regulatorio</v>
      </c>
      <c r="B45" s="58">
        <v>1915.2449484099998</v>
      </c>
      <c r="C45" s="58">
        <v>1862.97492925</v>
      </c>
      <c r="D45" s="58">
        <v>1887.6483321100002</v>
      </c>
      <c r="E45" s="64">
        <v>2084.10464</v>
      </c>
      <c r="F45" s="44">
        <v>2353.33380144</v>
      </c>
      <c r="G45" s="44">
        <v>2474.46945586</v>
      </c>
      <c r="H45" s="44">
        <v>2582.00000636</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92" t="str">
        <f>HLOOKUP(INDICE!$F$2,Nombres!$C$3:$D$636,65,FALSE)</f>
        <v>Indicadores relevantes y de gestión</v>
      </c>
      <c r="B48" s="34"/>
      <c r="C48" s="34"/>
      <c r="D48" s="34"/>
      <c r="E48" s="34"/>
      <c r="F48" s="68"/>
      <c r="G48" s="68"/>
      <c r="H48" s="68"/>
      <c r="I48" s="68"/>
    </row>
    <row r="49" spans="1:9" ht="15">
      <c r="A49" s="83" t="str">
        <f>HLOOKUP(INDICE!$F$2,Nombres!$C$3:$D$636,32,FALSE)</f>
        <v>(Millones de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87" t="str">
        <f>HLOOKUP(INDICE!$F$2,Nombres!$C$3:$D$636,66,FALSE)</f>
        <v>Préstamos y anticipos a la clientela bruto (*)</v>
      </c>
      <c r="B51" s="44">
        <v>16203.4205379</v>
      </c>
      <c r="C51" s="44">
        <v>16301.067692819997</v>
      </c>
      <c r="D51" s="44">
        <v>15449.167464920003</v>
      </c>
      <c r="E51" s="45">
        <v>16450.41984845</v>
      </c>
      <c r="F51" s="44">
        <v>17801.57115025</v>
      </c>
      <c r="G51" s="44">
        <v>18596.378356939997</v>
      </c>
      <c r="H51" s="44">
        <v>19004.988381440002</v>
      </c>
      <c r="I51" s="44">
        <v>0</v>
      </c>
    </row>
    <row r="52" spans="1:9" ht="15">
      <c r="A52" s="87" t="str">
        <f>HLOOKUP(INDICE!$F$2,Nombres!$C$3:$D$636,67,FALSE)</f>
        <v>Depósitos de clientes en gestión (**)</v>
      </c>
      <c r="B52" s="44">
        <v>15191.590106359998</v>
      </c>
      <c r="C52" s="44">
        <v>14250.75032512</v>
      </c>
      <c r="D52" s="44">
        <v>14239.41983855</v>
      </c>
      <c r="E52" s="45">
        <v>13945.907744039998</v>
      </c>
      <c r="F52" s="44">
        <v>14961.13244227</v>
      </c>
      <c r="G52" s="44">
        <v>16146.37809049</v>
      </c>
      <c r="H52" s="44">
        <v>18197.51001594</v>
      </c>
      <c r="I52" s="44">
        <v>0</v>
      </c>
    </row>
    <row r="53" spans="1:9" ht="15">
      <c r="A53" s="43" t="str">
        <f>HLOOKUP(INDICE!$F$2,Nombres!$C$3:$D$636,68,FALSE)</f>
        <v>Fondos de inversión y carteras gestionadas</v>
      </c>
      <c r="B53" s="44">
        <v>2426.3901238900003</v>
      </c>
      <c r="C53" s="44">
        <v>2012.74475383</v>
      </c>
      <c r="D53" s="44">
        <v>1650.81825037</v>
      </c>
      <c r="E53" s="45">
        <v>1633.0466088100002</v>
      </c>
      <c r="F53" s="44">
        <v>1538.61888526</v>
      </c>
      <c r="G53" s="44">
        <v>1445.36195754</v>
      </c>
      <c r="H53" s="44">
        <v>1516.4828849299997</v>
      </c>
      <c r="I53" s="44">
        <v>0</v>
      </c>
    </row>
    <row r="54" spans="1:9" ht="15">
      <c r="A54" s="87" t="str">
        <f>HLOOKUP(INDICE!$F$2,Nombres!$C$3:$D$636,69,FALSE)</f>
        <v>Fondos de pensiones</v>
      </c>
      <c r="B54" s="44">
        <v>0</v>
      </c>
      <c r="C54" s="44">
        <v>0</v>
      </c>
      <c r="D54" s="44">
        <v>0</v>
      </c>
      <c r="E54" s="45">
        <v>0</v>
      </c>
      <c r="F54" s="44">
        <v>0</v>
      </c>
      <c r="G54" s="44">
        <v>0</v>
      </c>
      <c r="H54" s="44">
        <v>0</v>
      </c>
      <c r="I54" s="44">
        <v>0</v>
      </c>
    </row>
    <row r="55" spans="1:9" ht="15">
      <c r="A55" s="87" t="str">
        <f>HLOOKUP(INDICE!$F$2,Nombres!$C$3:$D$636,70,FALSE)</f>
        <v>Otros recursos fuera de balance</v>
      </c>
      <c r="B55" s="44">
        <v>0</v>
      </c>
      <c r="C55" s="44">
        <v>0</v>
      </c>
      <c r="D55" s="44">
        <v>0</v>
      </c>
      <c r="E55" s="45">
        <v>0</v>
      </c>
      <c r="F55" s="44">
        <v>0</v>
      </c>
      <c r="G55" s="44">
        <v>0</v>
      </c>
      <c r="H55" s="44">
        <v>0</v>
      </c>
      <c r="I55" s="44">
        <v>0</v>
      </c>
    </row>
    <row r="56" spans="1:9" ht="15">
      <c r="A56" s="91" t="str">
        <f>HLOOKUP(INDICE!$F$2,Nombres!$C$3:$D$636,71,FALSE)</f>
        <v>(*) No incluye las adquisiciones temporales de activos.</v>
      </c>
      <c r="B56" s="58"/>
      <c r="C56" s="58"/>
      <c r="D56" s="58"/>
      <c r="E56" s="58"/>
      <c r="F56" s="58"/>
      <c r="G56" s="58"/>
      <c r="H56" s="58"/>
      <c r="I56" s="58"/>
    </row>
    <row r="57" spans="1:9" ht="15">
      <c r="A57" s="91"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92" t="str">
        <f>HLOOKUP(INDICE!$F$2,Nombres!$C$3:$D$636,31,FALSE)</f>
        <v>Cuenta de resultados  </v>
      </c>
      <c r="B59" s="34"/>
      <c r="C59" s="34"/>
      <c r="D59" s="34"/>
      <c r="E59" s="34"/>
      <c r="F59" s="34"/>
      <c r="G59" s="34"/>
      <c r="H59" s="34"/>
      <c r="I59" s="34"/>
    </row>
    <row r="60" spans="1:9" ht="15">
      <c r="A60" s="83"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13">
        <f>+B$6</f>
        <v>2021</v>
      </c>
      <c r="C62" s="313"/>
      <c r="D62" s="313"/>
      <c r="E62" s="314"/>
      <c r="F62" s="313">
        <f>+F$6</f>
        <v>2022</v>
      </c>
      <c r="G62" s="313"/>
      <c r="H62" s="313"/>
      <c r="I62" s="313"/>
    </row>
    <row r="63" spans="1:9" ht="15.75">
      <c r="A63" s="38"/>
      <c r="B63" s="84" t="str">
        <f aca="true" t="shared" si="8" ref="B63:I63">+B$7</f>
        <v>1er Trim.</v>
      </c>
      <c r="C63" s="84" t="str">
        <f t="shared" si="8"/>
        <v>2º Trim.</v>
      </c>
      <c r="D63" s="84" t="str">
        <f t="shared" si="8"/>
        <v>3er Trim.</v>
      </c>
      <c r="E63" s="85" t="str">
        <f t="shared" si="8"/>
        <v>4º Trim.</v>
      </c>
      <c r="F63" s="84" t="str">
        <f t="shared" si="8"/>
        <v>1er Trim.</v>
      </c>
      <c r="G63" s="84" t="str">
        <f t="shared" si="8"/>
        <v>2º Trim.</v>
      </c>
      <c r="H63" s="84" t="str">
        <f t="shared" si="8"/>
        <v>3er Trim.</v>
      </c>
      <c r="I63" s="84" t="str">
        <f t="shared" si="8"/>
        <v>4º Trim.</v>
      </c>
    </row>
    <row r="64" spans="1:9" ht="15">
      <c r="A64" s="41" t="str">
        <f>HLOOKUP(INDICE!$F$2,Nombres!$C$3:$D$636,33,FALSE)</f>
        <v>Margen de intereses</v>
      </c>
      <c r="B64" s="41">
        <v>198.22283365053121</v>
      </c>
      <c r="C64" s="41">
        <v>200.7183519076217</v>
      </c>
      <c r="D64" s="41">
        <v>225.933098279673</v>
      </c>
      <c r="E64" s="42">
        <v>236.1870068449088</v>
      </c>
      <c r="F64" s="50">
        <v>229.69079344187298</v>
      </c>
      <c r="G64" s="50">
        <v>259.41368100351184</v>
      </c>
      <c r="H64" s="50">
        <v>283.7945255546152</v>
      </c>
      <c r="I64" s="50">
        <v>0</v>
      </c>
    </row>
    <row r="65" spans="1:9" ht="15">
      <c r="A65" s="87" t="str">
        <f>HLOOKUP(INDICE!$F$2,Nombres!$C$3:$D$636,34,FALSE)</f>
        <v>Comisiones netas</v>
      </c>
      <c r="B65" s="44">
        <v>59.76600945520895</v>
      </c>
      <c r="C65" s="44">
        <v>66.59079586551327</v>
      </c>
      <c r="D65" s="44">
        <v>68.95923989722904</v>
      </c>
      <c r="E65" s="45">
        <v>65.97853415200385</v>
      </c>
      <c r="F65" s="44">
        <v>66.85859779924837</v>
      </c>
      <c r="G65" s="44">
        <v>74.66337393052876</v>
      </c>
      <c r="H65" s="44">
        <v>69.48430321022283</v>
      </c>
      <c r="I65" s="44">
        <v>0</v>
      </c>
    </row>
    <row r="66" spans="1:9" ht="15">
      <c r="A66" s="87" t="str">
        <f>HLOOKUP(INDICE!$F$2,Nombres!$C$3:$D$636,35,FALSE)</f>
        <v>Resultados de operaciones financieras</v>
      </c>
      <c r="B66" s="44">
        <v>36.86880160284293</v>
      </c>
      <c r="C66" s="44">
        <v>62.27240860442616</v>
      </c>
      <c r="D66" s="44">
        <v>27.620708272257545</v>
      </c>
      <c r="E66" s="45">
        <v>33.06192066304497</v>
      </c>
      <c r="F66" s="44">
        <v>34.95169698179231</v>
      </c>
      <c r="G66" s="44">
        <v>40.967259865526586</v>
      </c>
      <c r="H66" s="44">
        <v>43.84873084268109</v>
      </c>
      <c r="I66" s="44">
        <v>0</v>
      </c>
    </row>
    <row r="67" spans="1:9" ht="15">
      <c r="A67" s="87" t="str">
        <f>HLOOKUP(INDICE!$F$2,Nombres!$C$3:$D$636,36,FALSE)</f>
        <v>Otros ingresos y cargas de explotación</v>
      </c>
      <c r="B67" s="44">
        <v>-9.2601448968708</v>
      </c>
      <c r="C67" s="44">
        <v>-11.532834787752115</v>
      </c>
      <c r="D67" s="44">
        <v>-10.062803503908427</v>
      </c>
      <c r="E67" s="45">
        <v>-8.760566413688094</v>
      </c>
      <c r="F67" s="44">
        <v>-8.929565914316003</v>
      </c>
      <c r="G67" s="44">
        <v>-8.717363510485589</v>
      </c>
      <c r="H67" s="44">
        <v>-8.03407057519841</v>
      </c>
      <c r="I67" s="44">
        <v>0</v>
      </c>
    </row>
    <row r="68" spans="1:9" ht="15">
      <c r="A68" s="41" t="str">
        <f>HLOOKUP(INDICE!$F$2,Nombres!$C$3:$D$636,37,FALSE)</f>
        <v>Margen bruto</v>
      </c>
      <c r="B68" s="41">
        <f aca="true" t="shared" si="9" ref="B68:I68">+SUM(B64:B67)</f>
        <v>285.5974998117123</v>
      </c>
      <c r="C68" s="41">
        <f t="shared" si="9"/>
        <v>318.048721589809</v>
      </c>
      <c r="D68" s="41">
        <f t="shared" si="9"/>
        <v>312.4502429452512</v>
      </c>
      <c r="E68" s="42">
        <f t="shared" si="9"/>
        <v>326.4668952462696</v>
      </c>
      <c r="F68" s="50">
        <f t="shared" si="9"/>
        <v>322.5715223085977</v>
      </c>
      <c r="G68" s="50">
        <f t="shared" si="9"/>
        <v>366.32695128908153</v>
      </c>
      <c r="H68" s="50">
        <f t="shared" si="9"/>
        <v>389.0934890323207</v>
      </c>
      <c r="I68" s="50">
        <f t="shared" si="9"/>
        <v>0</v>
      </c>
    </row>
    <row r="69" spans="1:9" ht="15">
      <c r="A69" s="87" t="str">
        <f>HLOOKUP(INDICE!$F$2,Nombres!$C$3:$D$636,38,FALSE)</f>
        <v>Gastos de explotación</v>
      </c>
      <c r="B69" s="44">
        <v>-111.45299533913594</v>
      </c>
      <c r="C69" s="44">
        <v>-115.68827209019221</v>
      </c>
      <c r="D69" s="44">
        <v>-118.97361634133188</v>
      </c>
      <c r="E69" s="45">
        <v>-128.03974890410632</v>
      </c>
      <c r="F69" s="44">
        <v>-125.27466972515924</v>
      </c>
      <c r="G69" s="44">
        <v>-129.17633002426592</v>
      </c>
      <c r="H69" s="44">
        <v>-143.67017851057486</v>
      </c>
      <c r="I69" s="44">
        <v>0</v>
      </c>
    </row>
    <row r="70" spans="1:9" ht="15">
      <c r="A70" s="87" t="str">
        <f>HLOOKUP(INDICE!$F$2,Nombres!$C$3:$D$636,39,FALSE)</f>
        <v>  Gastos de administración</v>
      </c>
      <c r="B70" s="44">
        <v>-95.20229554304049</v>
      </c>
      <c r="C70" s="44">
        <v>-99.77060488326447</v>
      </c>
      <c r="D70" s="44">
        <v>-103.09621963084437</v>
      </c>
      <c r="E70" s="45">
        <v>-112.49400390505915</v>
      </c>
      <c r="F70" s="44">
        <v>-107.91343777598868</v>
      </c>
      <c r="G70" s="44">
        <v>-111.58167719761661</v>
      </c>
      <c r="H70" s="44">
        <v>-126.3170632863947</v>
      </c>
      <c r="I70" s="44">
        <v>0</v>
      </c>
    </row>
    <row r="71" spans="1:9" ht="15">
      <c r="A71" s="88" t="str">
        <f>HLOOKUP(INDICE!$F$2,Nombres!$C$3:$D$636,40,FALSE)</f>
        <v>  Gastos de personal</v>
      </c>
      <c r="B71" s="44">
        <v>-51.90666620515858</v>
      </c>
      <c r="C71" s="44">
        <v>-53.688988941995255</v>
      </c>
      <c r="D71" s="44">
        <v>-57.097857486459304</v>
      </c>
      <c r="E71" s="45">
        <v>-66.45171214396456</v>
      </c>
      <c r="F71" s="44">
        <v>-56.416372177032436</v>
      </c>
      <c r="G71" s="44">
        <v>-58.28307011608812</v>
      </c>
      <c r="H71" s="44">
        <v>-65.16755770687945</v>
      </c>
      <c r="I71" s="44">
        <v>0</v>
      </c>
    </row>
    <row r="72" spans="1:9" ht="15">
      <c r="A72" s="88" t="str">
        <f>HLOOKUP(INDICE!$F$2,Nombres!$C$3:$D$636,41,FALSE)</f>
        <v>  Otros gastos de administración</v>
      </c>
      <c r="B72" s="44">
        <v>-43.2956293378819</v>
      </c>
      <c r="C72" s="44">
        <v>-46.08161594126923</v>
      </c>
      <c r="D72" s="44">
        <v>-45.99836214438505</v>
      </c>
      <c r="E72" s="45">
        <v>-46.04229176109456</v>
      </c>
      <c r="F72" s="44">
        <v>-51.49706559895625</v>
      </c>
      <c r="G72" s="44">
        <v>-53.298607081528516</v>
      </c>
      <c r="H72" s="44">
        <v>-61.14950557951525</v>
      </c>
      <c r="I72" s="44">
        <v>0</v>
      </c>
    </row>
    <row r="73" spans="1:9" ht="15">
      <c r="A73" s="87" t="str">
        <f>HLOOKUP(INDICE!$F$2,Nombres!$C$3:$D$636,42,FALSE)</f>
        <v>  Amortización</v>
      </c>
      <c r="B73" s="44">
        <v>-16.250699796095468</v>
      </c>
      <c r="C73" s="44">
        <v>-15.91766720692773</v>
      </c>
      <c r="D73" s="44">
        <v>-15.877396710487542</v>
      </c>
      <c r="E73" s="45">
        <v>-15.545744999047178</v>
      </c>
      <c r="F73" s="44">
        <v>-17.361231949170552</v>
      </c>
      <c r="G73" s="44">
        <v>-17.594652826649288</v>
      </c>
      <c r="H73" s="44">
        <v>-17.353115224180158</v>
      </c>
      <c r="I73" s="44">
        <v>0</v>
      </c>
    </row>
    <row r="74" spans="1:9" ht="15">
      <c r="A74" s="41" t="str">
        <f>HLOOKUP(INDICE!$F$2,Nombres!$C$3:$D$636,43,FALSE)</f>
        <v>Margen neto</v>
      </c>
      <c r="B74" s="41">
        <f aca="true" t="shared" si="10" ref="B74:I74">+B68+B69</f>
        <v>174.14450447257633</v>
      </c>
      <c r="C74" s="41">
        <f t="shared" si="10"/>
        <v>202.3604494996168</v>
      </c>
      <c r="D74" s="41">
        <f t="shared" si="10"/>
        <v>193.47662660391933</v>
      </c>
      <c r="E74" s="42">
        <f t="shared" si="10"/>
        <v>198.42714634216327</v>
      </c>
      <c r="F74" s="50">
        <f t="shared" si="10"/>
        <v>197.29685258343846</v>
      </c>
      <c r="G74" s="50">
        <f t="shared" si="10"/>
        <v>237.1506212648156</v>
      </c>
      <c r="H74" s="50">
        <f t="shared" si="10"/>
        <v>245.42331052174583</v>
      </c>
      <c r="I74" s="50">
        <f t="shared" si="10"/>
        <v>0</v>
      </c>
    </row>
    <row r="75" spans="1:9" ht="15">
      <c r="A75" s="87" t="str">
        <f>HLOOKUP(INDICE!$F$2,Nombres!$C$3:$D$636,44,FALSE)</f>
        <v>Deterioro de activos financieros no valorados a valor razonable con cambios en resultados</v>
      </c>
      <c r="B75" s="44">
        <v>-72.25460185311974</v>
      </c>
      <c r="C75" s="44">
        <v>-91.30553057011605</v>
      </c>
      <c r="D75" s="44">
        <v>-85.5345495126522</v>
      </c>
      <c r="E75" s="45">
        <v>-39.81736219571667</v>
      </c>
      <c r="F75" s="44">
        <v>-32.44980884600017</v>
      </c>
      <c r="G75" s="44">
        <v>-43.15967423264353</v>
      </c>
      <c r="H75" s="44">
        <v>-86.8805169213563</v>
      </c>
      <c r="I75" s="44">
        <v>0</v>
      </c>
    </row>
    <row r="76" spans="1:9" ht="15">
      <c r="A76" s="87" t="str">
        <f>HLOOKUP(INDICE!$F$2,Nombres!$C$3:$D$636,45,FALSE)</f>
        <v>Provisiones o reversión de provisiones y otros resultados</v>
      </c>
      <c r="B76" s="44">
        <v>-7.124444381100195</v>
      </c>
      <c r="C76" s="44">
        <v>-13.740594574129483</v>
      </c>
      <c r="D76" s="44">
        <v>-17.079815746596672</v>
      </c>
      <c r="E76" s="45">
        <v>-11.295972106875821</v>
      </c>
      <c r="F76" s="44">
        <v>-9.52325625684509</v>
      </c>
      <c r="G76" s="44">
        <v>-8.261102384705755</v>
      </c>
      <c r="H76" s="44">
        <v>-11.345641358449168</v>
      </c>
      <c r="I76" s="44">
        <v>0</v>
      </c>
    </row>
    <row r="77" spans="1:9" ht="15">
      <c r="A77" s="89" t="str">
        <f>HLOOKUP(INDICE!$F$2,Nombres!$C$3:$D$636,46,FALSE)</f>
        <v>Resultado antes de impuestos</v>
      </c>
      <c r="B77" s="41">
        <f aca="true" t="shared" si="11" ref="B77:I77">+B74+B75+B76</f>
        <v>94.7654582383564</v>
      </c>
      <c r="C77" s="41">
        <f t="shared" si="11"/>
        <v>97.31432435537127</v>
      </c>
      <c r="D77" s="41">
        <f t="shared" si="11"/>
        <v>90.86226134467046</v>
      </c>
      <c r="E77" s="42">
        <f t="shared" si="11"/>
        <v>147.3138120395708</v>
      </c>
      <c r="F77" s="50">
        <f t="shared" si="11"/>
        <v>155.3237874805932</v>
      </c>
      <c r="G77" s="50">
        <f t="shared" si="11"/>
        <v>185.7298446474663</v>
      </c>
      <c r="H77" s="50">
        <f t="shared" si="11"/>
        <v>147.19715224194036</v>
      </c>
      <c r="I77" s="50">
        <f t="shared" si="11"/>
        <v>0</v>
      </c>
    </row>
    <row r="78" spans="1:9" ht="15">
      <c r="A78" s="43" t="str">
        <f>HLOOKUP(INDICE!$F$2,Nombres!$C$3:$D$636,47,FALSE)</f>
        <v>Impuesto sobre beneficios</v>
      </c>
      <c r="B78" s="44">
        <v>-29.34643177087788</v>
      </c>
      <c r="C78" s="44">
        <v>-33.41952619571087</v>
      </c>
      <c r="D78" s="44">
        <v>-30.227656507754645</v>
      </c>
      <c r="E78" s="45">
        <v>-41.25667397403839</v>
      </c>
      <c r="F78" s="44">
        <v>-39.12487789552427</v>
      </c>
      <c r="G78" s="44">
        <v>-50.31603617018284</v>
      </c>
      <c r="H78" s="44">
        <v>-38.012790214292906</v>
      </c>
      <c r="I78" s="44">
        <v>0</v>
      </c>
    </row>
    <row r="79" spans="1:9" ht="15">
      <c r="A79" s="89" t="str">
        <f>HLOOKUP(INDICE!$F$2,Nombres!$C$3:$D$636,48,FALSE)</f>
        <v>Resultado del ejercicio</v>
      </c>
      <c r="B79" s="41">
        <f aca="true" t="shared" si="12" ref="B79:I79">+B77+B78</f>
        <v>65.41902646747852</v>
      </c>
      <c r="C79" s="41">
        <f t="shared" si="12"/>
        <v>63.8947981596604</v>
      </c>
      <c r="D79" s="41">
        <f t="shared" si="12"/>
        <v>60.63460483691581</v>
      </c>
      <c r="E79" s="42">
        <f t="shared" si="12"/>
        <v>106.0571380655324</v>
      </c>
      <c r="F79" s="50">
        <f t="shared" si="12"/>
        <v>116.19890958506895</v>
      </c>
      <c r="G79" s="50">
        <f t="shared" si="12"/>
        <v>135.41380847728345</v>
      </c>
      <c r="H79" s="50">
        <f t="shared" si="12"/>
        <v>109.18436202764745</v>
      </c>
      <c r="I79" s="50">
        <f t="shared" si="12"/>
        <v>0</v>
      </c>
    </row>
    <row r="80" spans="1:9" ht="15">
      <c r="A80" s="87" t="str">
        <f>HLOOKUP(INDICE!$F$2,Nombres!$C$3:$D$636,49,FALSE)</f>
        <v>Minoritarios</v>
      </c>
      <c r="B80" s="44">
        <v>-36.129480462274316</v>
      </c>
      <c r="C80" s="44">
        <v>-34.65861385908903</v>
      </c>
      <c r="D80" s="44">
        <v>-33.506724208862174</v>
      </c>
      <c r="E80" s="45">
        <v>-58.200809807866</v>
      </c>
      <c r="F80" s="44">
        <v>-62.47784441526319</v>
      </c>
      <c r="G80" s="44">
        <v>-69.6079122164233</v>
      </c>
      <c r="H80" s="44">
        <v>-60.38915055831351</v>
      </c>
      <c r="I80" s="44">
        <v>0</v>
      </c>
    </row>
    <row r="81" spans="1:9" ht="15">
      <c r="A81" s="90" t="str">
        <f>HLOOKUP(INDICE!$F$2,Nombres!$C$3:$D$636,50,FALSE)</f>
        <v>Resultado atribuido</v>
      </c>
      <c r="B81" s="47">
        <f aca="true" t="shared" si="13" ref="B81:I81">+B79+B80</f>
        <v>29.2895460052042</v>
      </c>
      <c r="C81" s="47">
        <f t="shared" si="13"/>
        <v>29.236184300571367</v>
      </c>
      <c r="D81" s="47">
        <f t="shared" si="13"/>
        <v>27.12788062805364</v>
      </c>
      <c r="E81" s="47">
        <f t="shared" si="13"/>
        <v>47.8563282576664</v>
      </c>
      <c r="F81" s="51">
        <f t="shared" si="13"/>
        <v>53.721065169805755</v>
      </c>
      <c r="G81" s="51">
        <f t="shared" si="13"/>
        <v>65.80589626086015</v>
      </c>
      <c r="H81" s="51">
        <f t="shared" si="13"/>
        <v>48.79521146933394</v>
      </c>
      <c r="I81" s="51">
        <f t="shared" si="13"/>
        <v>0</v>
      </c>
    </row>
    <row r="82" spans="1:9" ht="15">
      <c r="A82" s="91"/>
      <c r="B82" s="63">
        <v>0</v>
      </c>
      <c r="C82" s="63">
        <v>-3.552713678800501E-14</v>
      </c>
      <c r="D82" s="63">
        <v>9.947598300641403E-14</v>
      </c>
      <c r="E82" s="63">
        <v>7.105427357601002E-14</v>
      </c>
      <c r="F82" s="63">
        <v>0</v>
      </c>
      <c r="G82" s="63">
        <v>0</v>
      </c>
      <c r="H82" s="63">
        <v>0</v>
      </c>
      <c r="I82" s="63">
        <v>0</v>
      </c>
    </row>
    <row r="83" spans="1:9" ht="15">
      <c r="A83" s="89"/>
      <c r="B83" s="41"/>
      <c r="C83" s="41"/>
      <c r="D83" s="41"/>
      <c r="E83" s="41"/>
      <c r="F83" s="50"/>
      <c r="G83" s="50"/>
      <c r="H83" s="50"/>
      <c r="I83" s="50"/>
    </row>
    <row r="84" spans="1:9" ht="18">
      <c r="A84" s="92" t="str">
        <f>HLOOKUP(INDICE!$F$2,Nombres!$C$3:$D$636,51,FALSE)</f>
        <v>Balances</v>
      </c>
      <c r="B84" s="34"/>
      <c r="C84" s="34"/>
      <c r="D84" s="34"/>
      <c r="E84" s="34"/>
      <c r="F84" s="68"/>
      <c r="G84" s="68"/>
      <c r="H84" s="68"/>
      <c r="I84" s="68"/>
    </row>
    <row r="85" spans="1:9" ht="15">
      <c r="A85" s="83"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87" t="str">
        <f>HLOOKUP(INDICE!$F$2,Nombres!$C$3:$D$636,52,FALSE)</f>
        <v>Efectivo, saldos en efectivo en bancos centrales y otros depósitos a la vista</v>
      </c>
      <c r="B87" s="44">
        <v>3482.4815275409137</v>
      </c>
      <c r="C87" s="44">
        <v>3004.5341512942473</v>
      </c>
      <c r="D87" s="44">
        <v>4234.423792231299</v>
      </c>
      <c r="E87" s="45">
        <v>3829.346257557826</v>
      </c>
      <c r="F87" s="44">
        <v>3692.6378864162075</v>
      </c>
      <c r="G87" s="44">
        <v>3781.0154271068723</v>
      </c>
      <c r="H87" s="44">
        <v>4383.277</v>
      </c>
      <c r="I87" s="44">
        <v>0</v>
      </c>
    </row>
    <row r="88" spans="1:9" ht="15">
      <c r="A88" s="87" t="str">
        <f>HLOOKUP(INDICE!$F$2,Nombres!$C$3:$D$636,53,FALSE)</f>
        <v>Activos financieros a valor razonable</v>
      </c>
      <c r="B88" s="58">
        <v>3162.162999201849</v>
      </c>
      <c r="C88" s="58">
        <v>3632.7815163472983</v>
      </c>
      <c r="D88" s="58">
        <v>3436.906359769735</v>
      </c>
      <c r="E88" s="64">
        <v>2966.3415335753825</v>
      </c>
      <c r="F88" s="44">
        <v>3100.4898167643387</v>
      </c>
      <c r="G88" s="44">
        <v>3028.62172725051</v>
      </c>
      <c r="H88" s="44">
        <v>3344.2919999999995</v>
      </c>
      <c r="I88" s="44">
        <v>0</v>
      </c>
    </row>
    <row r="89" spans="1:9" ht="15">
      <c r="A89" s="43" t="str">
        <f>HLOOKUP(INDICE!$F$2,Nombres!$C$3:$D$636,54,FALSE)</f>
        <v>Activos financieros a coste amortizado</v>
      </c>
      <c r="B89" s="44">
        <v>19969.26082643651</v>
      </c>
      <c r="C89" s="44">
        <v>20073.046220598502</v>
      </c>
      <c r="D89" s="44">
        <v>19949.167790103824</v>
      </c>
      <c r="E89" s="45">
        <v>18736.606918518853</v>
      </c>
      <c r="F89" s="44">
        <v>18375.3727516741</v>
      </c>
      <c r="G89" s="44">
        <v>18293.512070199056</v>
      </c>
      <c r="H89" s="44">
        <v>19025.966000000004</v>
      </c>
      <c r="I89" s="44">
        <v>0</v>
      </c>
    </row>
    <row r="90" spans="1:9" ht="15">
      <c r="A90" s="87" t="str">
        <f>HLOOKUP(INDICE!$F$2,Nombres!$C$3:$D$636,55,FALSE)</f>
        <v>    de los que préstamos y anticipos a la clientela</v>
      </c>
      <c r="B90" s="44">
        <v>17414.231508955356</v>
      </c>
      <c r="C90" s="44">
        <v>18355.555535738902</v>
      </c>
      <c r="D90" s="44">
        <v>18056.2890262636</v>
      </c>
      <c r="E90" s="45">
        <v>18212.49141665418</v>
      </c>
      <c r="F90" s="44">
        <v>18033.668115814915</v>
      </c>
      <c r="G90" s="44">
        <v>17923.56567470673</v>
      </c>
      <c r="H90" s="44">
        <v>18066.41</v>
      </c>
      <c r="I90" s="44">
        <v>0</v>
      </c>
    </row>
    <row r="91" spans="1:9" ht="15" customHeight="1" hidden="1">
      <c r="A91" s="87"/>
      <c r="B91" s="44"/>
      <c r="C91" s="44"/>
      <c r="D91" s="44"/>
      <c r="E91" s="45"/>
      <c r="F91" s="44"/>
      <c r="G91" s="44"/>
      <c r="H91" s="44"/>
      <c r="I91" s="44"/>
    </row>
    <row r="92" spans="1:9" ht="15">
      <c r="A92" s="43" t="str">
        <f>HLOOKUP(INDICE!$F$2,Nombres!$C$3:$D$636,56,FALSE)</f>
        <v>Activos tangibles</v>
      </c>
      <c r="B92" s="44">
        <v>299.0613089111383</v>
      </c>
      <c r="C92" s="44">
        <v>295.26828518565793</v>
      </c>
      <c r="D92" s="44">
        <v>296.15107046454887</v>
      </c>
      <c r="E92" s="45">
        <v>314.4765169260234</v>
      </c>
      <c r="F92" s="44">
        <v>307.2264318766204</v>
      </c>
      <c r="G92" s="44">
        <v>302.9460258488802</v>
      </c>
      <c r="H92" s="44">
        <v>315.13899999999995</v>
      </c>
      <c r="I92" s="44">
        <v>0</v>
      </c>
    </row>
    <row r="93" spans="1:9" ht="15">
      <c r="A93" s="87" t="str">
        <f>HLOOKUP(INDICE!$F$2,Nombres!$C$3:$D$636,57,FALSE)</f>
        <v>Otros activos</v>
      </c>
      <c r="B93" s="58">
        <f aca="true" t="shared" si="15" ref="B93:I93">+B94-B92-B89-B88-B87</f>
        <v>413.2607274401271</v>
      </c>
      <c r="C93" s="58">
        <f t="shared" si="15"/>
        <v>420.0480240124416</v>
      </c>
      <c r="D93" s="58">
        <f t="shared" si="15"/>
        <v>438.05334223044156</v>
      </c>
      <c r="E93" s="64">
        <f t="shared" si="15"/>
        <v>472.2778072289366</v>
      </c>
      <c r="F93" s="44">
        <f t="shared" si="15"/>
        <v>471.49908017438565</v>
      </c>
      <c r="G93" s="44">
        <f t="shared" si="15"/>
        <v>477.21105632568833</v>
      </c>
      <c r="H93" s="44">
        <f t="shared" si="15"/>
        <v>469.59934287000215</v>
      </c>
      <c r="I93" s="44">
        <f t="shared" si="15"/>
        <v>0</v>
      </c>
    </row>
    <row r="94" spans="1:9" ht="15">
      <c r="A94" s="90" t="str">
        <f>HLOOKUP(INDICE!$F$2,Nombres!$C$3:$D$636,58,FALSE)</f>
        <v>Total activo / pasivo</v>
      </c>
      <c r="B94" s="47">
        <v>27326.22738953054</v>
      </c>
      <c r="C94" s="47">
        <v>27425.67819743815</v>
      </c>
      <c r="D94" s="47">
        <v>28354.702354799847</v>
      </c>
      <c r="E94" s="47">
        <v>26319.049033807023</v>
      </c>
      <c r="F94" s="51">
        <v>25947.22596690565</v>
      </c>
      <c r="G94" s="51">
        <v>25883.306306731007</v>
      </c>
      <c r="H94" s="51">
        <v>27538.273342870005</v>
      </c>
      <c r="I94" s="51">
        <v>0</v>
      </c>
    </row>
    <row r="95" spans="1:9" ht="15">
      <c r="A95" s="87" t="str">
        <f>HLOOKUP(INDICE!$F$2,Nombres!$C$3:$D$636,59,FALSE)</f>
        <v>Pasivos financieros mantenidos para negociar y designados a valor razonable con cambios en resultados</v>
      </c>
      <c r="B95" s="58">
        <v>302.20976665781006</v>
      </c>
      <c r="C95" s="58">
        <v>445.9803125194177</v>
      </c>
      <c r="D95" s="58">
        <v>634.9713030630038</v>
      </c>
      <c r="E95" s="64">
        <v>412.78956258116045</v>
      </c>
      <c r="F95" s="44">
        <v>448.1517411087759</v>
      </c>
      <c r="G95" s="44">
        <v>415.89222926739654</v>
      </c>
      <c r="H95" s="44">
        <v>459.85699999999997</v>
      </c>
      <c r="I95" s="44">
        <v>0</v>
      </c>
    </row>
    <row r="96" spans="1:9" ht="15">
      <c r="A96" s="87" t="str">
        <f>HLOOKUP(INDICE!$F$2,Nombres!$C$3:$D$636,60,FALSE)</f>
        <v>Depósitos de bancos centrales y entidades de crédito</v>
      </c>
      <c r="B96" s="58">
        <v>4781.644398108803</v>
      </c>
      <c r="C96" s="58">
        <v>5157.373539827681</v>
      </c>
      <c r="D96" s="58">
        <v>5169.141881669013</v>
      </c>
      <c r="E96" s="64">
        <v>4807.5059540084185</v>
      </c>
      <c r="F96" s="44">
        <v>4435.226530261563</v>
      </c>
      <c r="G96" s="44">
        <v>4064.4552087450265</v>
      </c>
      <c r="H96" s="44">
        <v>3885.9220000000005</v>
      </c>
      <c r="I96" s="44">
        <v>0</v>
      </c>
    </row>
    <row r="97" spans="1:9" ht="15">
      <c r="A97" s="87" t="str">
        <f>HLOOKUP(INDICE!$F$2,Nombres!$C$3:$D$636,61,FALSE)</f>
        <v>Depósitos de la clientela</v>
      </c>
      <c r="B97" s="58">
        <v>17317.190159218153</v>
      </c>
      <c r="C97" s="58">
        <v>16990.963442800432</v>
      </c>
      <c r="D97" s="58">
        <v>17594.814104968857</v>
      </c>
      <c r="E97" s="64">
        <v>16230.816608263513</v>
      </c>
      <c r="F97" s="44">
        <v>15925.68257849796</v>
      </c>
      <c r="G97" s="44">
        <v>16375.049935557687</v>
      </c>
      <c r="H97" s="44">
        <v>18199.582000000002</v>
      </c>
      <c r="I97" s="44">
        <v>0</v>
      </c>
    </row>
    <row r="98" spans="1:9" ht="15">
      <c r="A98" s="43" t="str">
        <f>HLOOKUP(INDICE!$F$2,Nombres!$C$3:$D$636,62,FALSE)</f>
        <v>Valores representativos de deuda emitidos</v>
      </c>
      <c r="B98" s="44">
        <v>1516.334830410308</v>
      </c>
      <c r="C98" s="44">
        <v>1493.220484087171</v>
      </c>
      <c r="D98" s="44">
        <v>1559.0824288746862</v>
      </c>
      <c r="E98" s="45">
        <v>1549.7642830072518</v>
      </c>
      <c r="F98" s="44">
        <v>1459.816446221137</v>
      </c>
      <c r="G98" s="44">
        <v>1681.1061357221415</v>
      </c>
      <c r="H98" s="44">
        <v>1109.12309372</v>
      </c>
      <c r="I98" s="44">
        <v>0</v>
      </c>
    </row>
    <row r="99" spans="1:9" ht="15" customHeight="1" hidden="1">
      <c r="A99" s="43"/>
      <c r="B99" s="44"/>
      <c r="C99" s="44"/>
      <c r="D99" s="44"/>
      <c r="E99" s="45"/>
      <c r="F99" s="44"/>
      <c r="G99" s="44"/>
      <c r="H99" s="44"/>
      <c r="I99" s="44"/>
    </row>
    <row r="100" spans="1:9" ht="15">
      <c r="A100" s="87" t="str">
        <f>HLOOKUP(INDICE!$F$2,Nombres!$C$3:$D$636,63,FALSE)</f>
        <v>Otros pasivos</v>
      </c>
      <c r="B100" s="58">
        <f aca="true" t="shared" si="16" ref="B100:I100">+B94-B95-B96-B97-B98-B101</f>
        <v>1225.623110372494</v>
      </c>
      <c r="C100" s="58">
        <f t="shared" si="16"/>
        <v>1116.942623326342</v>
      </c>
      <c r="D100" s="58">
        <f t="shared" si="16"/>
        <v>1064.2365741775197</v>
      </c>
      <c r="E100" s="64">
        <f t="shared" si="16"/>
        <v>892.6085448509084</v>
      </c>
      <c r="F100" s="44">
        <f t="shared" si="16"/>
        <v>1174.1443917780757</v>
      </c>
      <c r="G100" s="44">
        <f t="shared" si="16"/>
        <v>837.8306850576441</v>
      </c>
      <c r="H100" s="44">
        <f t="shared" si="16"/>
        <v>1301.7892427900042</v>
      </c>
      <c r="I100" s="44">
        <f t="shared" si="16"/>
        <v>0</v>
      </c>
    </row>
    <row r="101" spans="1:9" ht="15">
      <c r="A101" s="43" t="str">
        <f>HLOOKUP(INDICE!$F$2,Nombres!$C$3:$D$636,282,FALSE)</f>
        <v>Dotación de capital regulatorio</v>
      </c>
      <c r="B101" s="58">
        <v>2183.225124762972</v>
      </c>
      <c r="C101" s="58">
        <v>2221.1977948771037</v>
      </c>
      <c r="D101" s="58">
        <v>2332.456062046767</v>
      </c>
      <c r="E101" s="64">
        <v>2425.5640810957702</v>
      </c>
      <c r="F101" s="44">
        <v>2504.204279038139</v>
      </c>
      <c r="G101" s="44">
        <v>2508.97211238111</v>
      </c>
      <c r="H101" s="44">
        <v>2582.00000636</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92" t="str">
        <f>HLOOKUP(INDICE!$F$2,Nombres!$C$3:$D$636,65,FALSE)</f>
        <v>Indicadores relevantes y de gestión</v>
      </c>
      <c r="B104" s="34"/>
      <c r="C104" s="34"/>
      <c r="D104" s="34"/>
      <c r="E104" s="34"/>
      <c r="F104" s="68"/>
      <c r="G104" s="68"/>
      <c r="H104" s="68"/>
      <c r="I104" s="68"/>
    </row>
    <row r="105" spans="1:9" ht="15">
      <c r="A105" s="83"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87" t="str">
        <f>HLOOKUP(INDICE!$F$2,Nombres!$C$3:$D$636,66,FALSE)</f>
        <v>Préstamos y anticipos a la clientela bruto (*)</v>
      </c>
      <c r="B107" s="44">
        <v>18470.595552183488</v>
      </c>
      <c r="C107" s="44">
        <v>19435.52489351578</v>
      </c>
      <c r="D107" s="44">
        <v>19089.62792176932</v>
      </c>
      <c r="E107" s="45">
        <v>19145.65455952598</v>
      </c>
      <c r="F107" s="44">
        <v>18942.8166207362</v>
      </c>
      <c r="G107" s="44">
        <v>18855.676144377474</v>
      </c>
      <c r="H107" s="44">
        <v>19004.988381440002</v>
      </c>
      <c r="I107" s="44">
        <v>0</v>
      </c>
    </row>
    <row r="108" spans="1:9" ht="15">
      <c r="A108" s="87" t="str">
        <f>HLOOKUP(INDICE!$F$2,Nombres!$C$3:$D$636,67,FALSE)</f>
        <v>Depósitos de clientes en gestión (**)</v>
      </c>
      <c r="B108" s="44">
        <v>17317.190280459996</v>
      </c>
      <c r="C108" s="44">
        <v>16990.961445865476</v>
      </c>
      <c r="D108" s="44">
        <v>17594.813905474584</v>
      </c>
      <c r="E108" s="45">
        <v>16230.803508128449</v>
      </c>
      <c r="F108" s="44">
        <v>15920.279502322897</v>
      </c>
      <c r="G108" s="44">
        <v>16371.5144064776</v>
      </c>
      <c r="H108" s="44">
        <v>18197.51001594</v>
      </c>
      <c r="I108" s="44">
        <v>0</v>
      </c>
    </row>
    <row r="109" spans="1:9" ht="15">
      <c r="A109" s="43" t="str">
        <f>HLOOKUP(INDICE!$F$2,Nombres!$C$3:$D$636,68,FALSE)</f>
        <v>Fondos de inversión y carteras gestionadas</v>
      </c>
      <c r="B109" s="44">
        <v>2765.8894938483745</v>
      </c>
      <c r="C109" s="44">
        <v>2399.766168972268</v>
      </c>
      <c r="D109" s="44">
        <v>2039.8190541714544</v>
      </c>
      <c r="E109" s="45">
        <v>1900.6047590224605</v>
      </c>
      <c r="F109" s="44">
        <v>1637.2585962600506</v>
      </c>
      <c r="G109" s="44">
        <v>1465.5152987144418</v>
      </c>
      <c r="H109" s="44">
        <v>1516.4828849299997</v>
      </c>
      <c r="I109" s="44">
        <v>0</v>
      </c>
    </row>
    <row r="110" spans="1:9" ht="15">
      <c r="A110" s="87" t="str">
        <f>HLOOKUP(INDICE!$F$2,Nombres!$C$3:$D$636,69,FALSE)</f>
        <v>Fondos de pensiones</v>
      </c>
      <c r="B110" s="44">
        <v>0</v>
      </c>
      <c r="C110" s="44">
        <v>0</v>
      </c>
      <c r="D110" s="44">
        <v>0</v>
      </c>
      <c r="E110" s="45">
        <v>0</v>
      </c>
      <c r="F110" s="44">
        <v>0</v>
      </c>
      <c r="G110" s="44">
        <v>0</v>
      </c>
      <c r="H110" s="44">
        <v>0</v>
      </c>
      <c r="I110" s="44">
        <v>0</v>
      </c>
    </row>
    <row r="111" spans="1:9" ht="15">
      <c r="A111" s="87" t="str">
        <f>HLOOKUP(INDICE!$F$2,Nombres!$C$3:$D$636,70,FALSE)</f>
        <v>Otros recursos fuera de balance</v>
      </c>
      <c r="B111" s="44">
        <v>0</v>
      </c>
      <c r="C111" s="44">
        <v>0</v>
      </c>
      <c r="D111" s="44">
        <v>0</v>
      </c>
      <c r="E111" s="45">
        <v>0</v>
      </c>
      <c r="F111" s="44">
        <v>0</v>
      </c>
      <c r="G111" s="44">
        <v>0</v>
      </c>
      <c r="H111" s="44">
        <v>0</v>
      </c>
      <c r="I111" s="44">
        <v>0</v>
      </c>
    </row>
    <row r="112" spans="1:9" ht="15">
      <c r="A112" s="91" t="str">
        <f>HLOOKUP(INDICE!$F$2,Nombres!$C$3:$D$636,71,FALSE)</f>
        <v>(*) No incluye las adquisiciones temporales de activos.</v>
      </c>
      <c r="B112" s="58"/>
      <c r="C112" s="58"/>
      <c r="D112" s="58"/>
      <c r="E112" s="58"/>
      <c r="F112" s="58"/>
      <c r="G112" s="58"/>
      <c r="H112" s="58"/>
      <c r="I112" s="58"/>
    </row>
    <row r="113" spans="1:9" ht="15">
      <c r="A113" s="91"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92" t="str">
        <f>HLOOKUP(INDICE!$F$2,Nombres!$C$3:$D$636,31,FALSE)</f>
        <v>Cuenta de resultados  </v>
      </c>
      <c r="B115" s="34"/>
      <c r="C115" s="34"/>
      <c r="D115" s="34"/>
      <c r="E115" s="34"/>
      <c r="F115" s="34"/>
      <c r="G115" s="34"/>
      <c r="H115" s="34"/>
      <c r="I115" s="34"/>
    </row>
    <row r="116" spans="1:9" ht="15">
      <c r="A116" s="83" t="str">
        <f>HLOOKUP(INDICE!$F$2,Nombres!$C$3:$D$636,79,FALSE)</f>
        <v>(Millones de soles peruanos)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13">
        <f>+B$6</f>
        <v>2021</v>
      </c>
      <c r="C118" s="313"/>
      <c r="D118" s="313"/>
      <c r="E118" s="314"/>
      <c r="F118" s="313">
        <f>+F$6</f>
        <v>2022</v>
      </c>
      <c r="G118" s="313"/>
      <c r="H118" s="313"/>
      <c r="I118" s="313"/>
    </row>
    <row r="119" spans="1:9" ht="15.75">
      <c r="A119" s="38"/>
      <c r="B119" s="84" t="str">
        <f aca="true" t="shared" si="18" ref="B119:I119">+B$7</f>
        <v>1er Trim.</v>
      </c>
      <c r="C119" s="84" t="str">
        <f t="shared" si="18"/>
        <v>2º Trim.</v>
      </c>
      <c r="D119" s="84" t="str">
        <f t="shared" si="18"/>
        <v>3er Trim.</v>
      </c>
      <c r="E119" s="85" t="str">
        <f t="shared" si="18"/>
        <v>4º Trim.</v>
      </c>
      <c r="F119" s="84" t="str">
        <f t="shared" si="18"/>
        <v>1er Trim.</v>
      </c>
      <c r="G119" s="84" t="str">
        <f t="shared" si="18"/>
        <v>2º Trim.</v>
      </c>
      <c r="H119" s="84" t="str">
        <f t="shared" si="18"/>
        <v>3er Trim.</v>
      </c>
      <c r="I119" s="84" t="str">
        <f t="shared" si="18"/>
        <v>4º Trim.</v>
      </c>
    </row>
    <row r="120" spans="1:9" ht="15">
      <c r="A120" s="41" t="str">
        <f>HLOOKUP(INDICE!$F$2,Nombres!$C$3:$D$636,33,FALSE)</f>
        <v>Margen de intereses</v>
      </c>
      <c r="B120" s="41">
        <v>803.1604667218405</v>
      </c>
      <c r="C120" s="41">
        <v>813.2718225690252</v>
      </c>
      <c r="D120" s="41">
        <v>915.4370832077316</v>
      </c>
      <c r="E120" s="42">
        <v>956.9839314557855</v>
      </c>
      <c r="F120" s="50">
        <v>930.6625350120972</v>
      </c>
      <c r="G120" s="50">
        <v>1051.0939091716139</v>
      </c>
      <c r="H120" s="50">
        <v>1149.880361408794</v>
      </c>
      <c r="I120" s="50">
        <v>0</v>
      </c>
    </row>
    <row r="121" spans="1:9" ht="15">
      <c r="A121" s="87" t="str">
        <f>HLOOKUP(INDICE!$F$2,Nombres!$C$3:$D$636,34,FALSE)</f>
        <v>Comisiones netas</v>
      </c>
      <c r="B121" s="44">
        <v>242.16027570655672</v>
      </c>
      <c r="C121" s="44">
        <v>269.81298623253315</v>
      </c>
      <c r="D121" s="44">
        <v>279.40946197089863</v>
      </c>
      <c r="E121" s="45">
        <v>267.33222054816633</v>
      </c>
      <c r="F121" s="44">
        <v>270.89806771445194</v>
      </c>
      <c r="G121" s="44">
        <v>302.5215064718157</v>
      </c>
      <c r="H121" s="44">
        <v>281.5369166528658</v>
      </c>
      <c r="I121" s="44">
        <v>0</v>
      </c>
    </row>
    <row r="122" spans="1:9" ht="15">
      <c r="A122" s="87" t="str">
        <f>HLOOKUP(INDICE!$F$2,Nombres!$C$3:$D$636,35,FALSE)</f>
        <v>Resultados de operaciones financieras</v>
      </c>
      <c r="B122" s="44">
        <v>149.38523154713724</v>
      </c>
      <c r="C122" s="44">
        <v>252.31571881774494</v>
      </c>
      <c r="D122" s="44">
        <v>111.91375150172959</v>
      </c>
      <c r="E122" s="45">
        <v>133.9604885139854</v>
      </c>
      <c r="F122" s="44">
        <v>141.61749554094038</v>
      </c>
      <c r="G122" s="44">
        <v>165.99138932662055</v>
      </c>
      <c r="H122" s="44">
        <v>177.66655072067545</v>
      </c>
      <c r="I122" s="44">
        <v>0</v>
      </c>
    </row>
    <row r="123" spans="1:9" ht="15">
      <c r="A123" s="87" t="str">
        <f>HLOOKUP(INDICE!$F$2,Nombres!$C$3:$D$636,36,FALSE)</f>
        <v>Otros ingresos y cargas de explotación</v>
      </c>
      <c r="B123" s="44">
        <v>-37.52031065399256</v>
      </c>
      <c r="C123" s="44">
        <v>-46.72880919000045</v>
      </c>
      <c r="D123" s="44">
        <v>-40.772527613937726</v>
      </c>
      <c r="E123" s="45">
        <v>-35.49611555836296</v>
      </c>
      <c r="F123" s="44">
        <v>-36.18086874900378</v>
      </c>
      <c r="G123" s="44">
        <v>-35.321065775949705</v>
      </c>
      <c r="H123" s="44">
        <v>-32.552495360996815</v>
      </c>
      <c r="I123" s="44">
        <v>0</v>
      </c>
    </row>
    <row r="124" spans="1:9" ht="15">
      <c r="A124" s="41" t="str">
        <f>HLOOKUP(INDICE!$F$2,Nombres!$C$3:$D$636,37,FALSE)</f>
        <v>Margen bruto</v>
      </c>
      <c r="B124" s="41">
        <f aca="true" t="shared" si="19" ref="B124:I124">+SUM(B120:B123)</f>
        <v>1157.185663321542</v>
      </c>
      <c r="C124" s="41">
        <f t="shared" si="19"/>
        <v>1288.6717184293027</v>
      </c>
      <c r="D124" s="41">
        <f t="shared" si="19"/>
        <v>1265.987769066422</v>
      </c>
      <c r="E124" s="42">
        <f t="shared" si="19"/>
        <v>1322.7805249595742</v>
      </c>
      <c r="F124" s="50">
        <f t="shared" si="19"/>
        <v>1306.9972295184857</v>
      </c>
      <c r="G124" s="50">
        <f t="shared" si="19"/>
        <v>1484.2857391941002</v>
      </c>
      <c r="H124" s="50">
        <f t="shared" si="19"/>
        <v>1576.5313334213386</v>
      </c>
      <c r="I124" s="50">
        <f t="shared" si="19"/>
        <v>0</v>
      </c>
    </row>
    <row r="125" spans="1:9" ht="15">
      <c r="A125" s="87" t="str">
        <f>HLOOKUP(INDICE!$F$2,Nombres!$C$3:$D$636,38,FALSE)</f>
        <v>Gastos de explotación</v>
      </c>
      <c r="B125" s="44">
        <v>-451.5859152328674</v>
      </c>
      <c r="C125" s="44">
        <v>-468.7464349844496</v>
      </c>
      <c r="D125" s="44">
        <v>-482.0580125332765</v>
      </c>
      <c r="E125" s="45">
        <v>-518.7922228479033</v>
      </c>
      <c r="F125" s="44">
        <v>-507.58865844017606</v>
      </c>
      <c r="G125" s="44">
        <v>-523.397429050051</v>
      </c>
      <c r="H125" s="44">
        <v>-582.1236913099403</v>
      </c>
      <c r="I125" s="44">
        <v>0</v>
      </c>
    </row>
    <row r="126" spans="1:9" ht="15">
      <c r="A126" s="87" t="str">
        <f>HLOOKUP(INDICE!$F$2,Nombres!$C$3:$D$636,39,FALSE)</f>
        <v>  Gastos de administración</v>
      </c>
      <c r="B126" s="44">
        <v>-385.74123229488043</v>
      </c>
      <c r="C126" s="44">
        <v>-404.2511354894474</v>
      </c>
      <c r="D126" s="44">
        <v>-417.7258812773735</v>
      </c>
      <c r="E126" s="45">
        <v>-455.80387998632415</v>
      </c>
      <c r="F126" s="44">
        <v>-437.24431466116874</v>
      </c>
      <c r="G126" s="44">
        <v>-452.10730915915036</v>
      </c>
      <c r="H126" s="44">
        <v>-511.8122349259495</v>
      </c>
      <c r="I126" s="44">
        <v>0</v>
      </c>
    </row>
    <row r="127" spans="1:9" ht="15">
      <c r="A127" s="88" t="str">
        <f>HLOOKUP(INDICE!$F$2,Nombres!$C$3:$D$636,40,FALSE)</f>
        <v>  Gastos de personal</v>
      </c>
      <c r="B127" s="44">
        <v>-210.3157415699583</v>
      </c>
      <c r="C127" s="44">
        <v>-217.5373675290062</v>
      </c>
      <c r="D127" s="44">
        <v>-231.3494415506703</v>
      </c>
      <c r="E127" s="45">
        <v>-269.2494459750598</v>
      </c>
      <c r="F127" s="44">
        <v>-228.58819528502391</v>
      </c>
      <c r="G127" s="44">
        <v>-236.15169319467384</v>
      </c>
      <c r="H127" s="44">
        <v>-264.0463013219543</v>
      </c>
      <c r="I127" s="44">
        <v>0</v>
      </c>
    </row>
    <row r="128" spans="1:9" ht="15">
      <c r="A128" s="88" t="str">
        <f>HLOOKUP(INDICE!$F$2,Nombres!$C$3:$D$636,41,FALSE)</f>
        <v>  Otros gastos de administración</v>
      </c>
      <c r="B128" s="44">
        <v>-175.42549072492216</v>
      </c>
      <c r="C128" s="44">
        <v>-186.7137679604412</v>
      </c>
      <c r="D128" s="44">
        <v>-186.3764397267032</v>
      </c>
      <c r="E128" s="45">
        <v>-186.5544340112644</v>
      </c>
      <c r="F128" s="44">
        <v>-208.6561193761449</v>
      </c>
      <c r="G128" s="44">
        <v>-215.9556159644765</v>
      </c>
      <c r="H128" s="44">
        <v>-247.76593360399517</v>
      </c>
      <c r="I128" s="44">
        <v>0</v>
      </c>
    </row>
    <row r="129" spans="1:9" ht="15">
      <c r="A129" s="87" t="str">
        <f>HLOOKUP(INDICE!$F$2,Nombres!$C$3:$D$636,42,FALSE)</f>
        <v>  Amortización</v>
      </c>
      <c r="B129" s="44">
        <v>-65.84468293798695</v>
      </c>
      <c r="C129" s="44">
        <v>-64.49529949500223</v>
      </c>
      <c r="D129" s="44">
        <v>-64.33213125590296</v>
      </c>
      <c r="E129" s="45">
        <v>-62.98834286157927</v>
      </c>
      <c r="F129" s="44">
        <v>-70.34434377900736</v>
      </c>
      <c r="G129" s="44">
        <v>-71.2901198909005</v>
      </c>
      <c r="H129" s="44">
        <v>-70.31145638399093</v>
      </c>
      <c r="I129" s="44">
        <v>0</v>
      </c>
    </row>
    <row r="130" spans="1:9" ht="15">
      <c r="A130" s="41" t="str">
        <f>HLOOKUP(INDICE!$F$2,Nombres!$C$3:$D$636,43,FALSE)</f>
        <v>Margen neto</v>
      </c>
      <c r="B130" s="41">
        <f aca="true" t="shared" si="20" ref="B130:I130">+B124+B125</f>
        <v>705.5997480886747</v>
      </c>
      <c r="C130" s="41">
        <f t="shared" si="20"/>
        <v>819.9252834448531</v>
      </c>
      <c r="D130" s="41">
        <f t="shared" si="20"/>
        <v>783.9297565331456</v>
      </c>
      <c r="E130" s="42">
        <f t="shared" si="20"/>
        <v>803.9883021116709</v>
      </c>
      <c r="F130" s="50">
        <f t="shared" si="20"/>
        <v>799.4085710783097</v>
      </c>
      <c r="G130" s="50">
        <f t="shared" si="20"/>
        <v>960.8883101440492</v>
      </c>
      <c r="H130" s="50">
        <f t="shared" si="20"/>
        <v>994.4076421113982</v>
      </c>
      <c r="I130" s="50">
        <f t="shared" si="20"/>
        <v>0</v>
      </c>
    </row>
    <row r="131" spans="1:9" ht="15">
      <c r="A131" s="87" t="str">
        <f>HLOOKUP(INDICE!$F$2,Nombres!$C$3:$D$636,44,FALSE)</f>
        <v>Deterioro de activos financieros no valorados a valor razonable con cambios en resultados</v>
      </c>
      <c r="B131" s="44">
        <v>-292.76162931594195</v>
      </c>
      <c r="C131" s="44">
        <v>-369.952296597003</v>
      </c>
      <c r="D131" s="44">
        <v>-346.5694009224958</v>
      </c>
      <c r="E131" s="45">
        <v>-161.33222704870096</v>
      </c>
      <c r="F131" s="44">
        <v>-131.48033018101378</v>
      </c>
      <c r="G131" s="44">
        <v>-174.87462701378718</v>
      </c>
      <c r="H131" s="44">
        <v>-352.02299974488494</v>
      </c>
      <c r="I131" s="44">
        <v>0</v>
      </c>
    </row>
    <row r="132" spans="1:9" ht="15">
      <c r="A132" s="87" t="str">
        <f>HLOOKUP(INDICE!$F$2,Nombres!$C$3:$D$636,45,FALSE)</f>
        <v>Provisiones o reversión de provisiones y otros resultados</v>
      </c>
      <c r="B132" s="44">
        <v>-28.866866489994273</v>
      </c>
      <c r="C132" s="44">
        <v>-55.67422353899872</v>
      </c>
      <c r="D132" s="44">
        <v>-69.20409992092185</v>
      </c>
      <c r="E132" s="45">
        <v>-45.76908755845022</v>
      </c>
      <c r="F132" s="44">
        <v>-38.58638684100403</v>
      </c>
      <c r="G132" s="44">
        <v>-33.47238420894908</v>
      </c>
      <c r="H132" s="44">
        <v>-45.97033772999054</v>
      </c>
      <c r="I132" s="44">
        <v>0</v>
      </c>
    </row>
    <row r="133" spans="1:9" ht="15">
      <c r="A133" s="89" t="str">
        <f>HLOOKUP(INDICE!$F$2,Nombres!$C$3:$D$636,46,FALSE)</f>
        <v>Resultado antes de impuestos</v>
      </c>
      <c r="B133" s="41">
        <f aca="true" t="shared" si="21" ref="B133:I133">+B130+B131+B132</f>
        <v>383.9712522827385</v>
      </c>
      <c r="C133" s="41">
        <f t="shared" si="21"/>
        <v>394.2987633088514</v>
      </c>
      <c r="D133" s="41">
        <f t="shared" si="21"/>
        <v>368.1562556897279</v>
      </c>
      <c r="E133" s="42">
        <f t="shared" si="21"/>
        <v>596.8869875045198</v>
      </c>
      <c r="F133" s="50">
        <f t="shared" si="21"/>
        <v>629.3418540562919</v>
      </c>
      <c r="G133" s="50">
        <f t="shared" si="21"/>
        <v>752.541298921313</v>
      </c>
      <c r="H133" s="50">
        <f t="shared" si="21"/>
        <v>596.4143046365227</v>
      </c>
      <c r="I133" s="50">
        <f t="shared" si="21"/>
        <v>0</v>
      </c>
    </row>
    <row r="134" spans="1:9" ht="15">
      <c r="A134" s="43" t="str">
        <f>HLOOKUP(INDICE!$F$2,Nombres!$C$3:$D$636,47,FALSE)</f>
        <v>Impuesto sobre beneficios</v>
      </c>
      <c r="B134" s="44">
        <v>-118.90604832777684</v>
      </c>
      <c r="C134" s="44">
        <v>-135.40943675687387</v>
      </c>
      <c r="D134" s="44">
        <v>-122.47660000400083</v>
      </c>
      <c r="E134" s="45">
        <v>-167.16403914797274</v>
      </c>
      <c r="F134" s="44">
        <v>-158.5264150062769</v>
      </c>
      <c r="G134" s="44">
        <v>-203.87081725046653</v>
      </c>
      <c r="H134" s="44">
        <v>-154.02045146693968</v>
      </c>
      <c r="I134" s="44">
        <v>0</v>
      </c>
    </row>
    <row r="135" spans="1:9" ht="15">
      <c r="A135" s="89" t="str">
        <f>HLOOKUP(INDICE!$F$2,Nombres!$C$3:$D$636,48,FALSE)</f>
        <v>Resultado del ejercicio</v>
      </c>
      <c r="B135" s="41">
        <f aca="true" t="shared" si="22" ref="B135:I135">+B133+B134</f>
        <v>265.06520395496165</v>
      </c>
      <c r="C135" s="41">
        <f t="shared" si="22"/>
        <v>258.88932655197755</v>
      </c>
      <c r="D135" s="41">
        <f t="shared" si="22"/>
        <v>245.67965568572708</v>
      </c>
      <c r="E135" s="42">
        <f t="shared" si="22"/>
        <v>429.722948356547</v>
      </c>
      <c r="F135" s="50">
        <f t="shared" si="22"/>
        <v>470.815439050015</v>
      </c>
      <c r="G135" s="50">
        <f t="shared" si="22"/>
        <v>548.6704816708465</v>
      </c>
      <c r="H135" s="50">
        <f t="shared" si="22"/>
        <v>442.39385316958305</v>
      </c>
      <c r="I135" s="50">
        <f t="shared" si="22"/>
        <v>0</v>
      </c>
    </row>
    <row r="136" spans="1:9" ht="15">
      <c r="A136" s="87" t="str">
        <f>HLOOKUP(INDICE!$F$2,Nombres!$C$3:$D$636,49,FALSE)</f>
        <v>Minoritarios</v>
      </c>
      <c r="B136" s="44">
        <v>-146.38964571385588</v>
      </c>
      <c r="C136" s="44">
        <v>-140.42997958587307</v>
      </c>
      <c r="D136" s="44">
        <v>-135.76274618974824</v>
      </c>
      <c r="E136" s="45">
        <v>-235.81839038425767</v>
      </c>
      <c r="F136" s="44">
        <v>-253.14810486870894</v>
      </c>
      <c r="G136" s="44">
        <v>-282.03775636584254</v>
      </c>
      <c r="H136" s="44">
        <v>-244.68512256696118</v>
      </c>
      <c r="I136" s="44">
        <v>0</v>
      </c>
    </row>
    <row r="137" spans="1:9" ht="15">
      <c r="A137" s="90" t="str">
        <f>HLOOKUP(INDICE!$F$2,Nombres!$C$3:$D$636,50,FALSE)</f>
        <v>Resultado atribuido</v>
      </c>
      <c r="B137" s="47">
        <f aca="true" t="shared" si="23" ref="B137:I137">+B135+B136</f>
        <v>118.67555824110576</v>
      </c>
      <c r="C137" s="47">
        <f t="shared" si="23"/>
        <v>118.45934696610448</v>
      </c>
      <c r="D137" s="47">
        <f t="shared" si="23"/>
        <v>109.91690949597884</v>
      </c>
      <c r="E137" s="47">
        <f t="shared" si="23"/>
        <v>193.90455797228935</v>
      </c>
      <c r="F137" s="51">
        <f t="shared" si="23"/>
        <v>217.66733418130607</v>
      </c>
      <c r="G137" s="51">
        <f t="shared" si="23"/>
        <v>266.63272530500393</v>
      </c>
      <c r="H137" s="51">
        <f t="shared" si="23"/>
        <v>197.70873060262187</v>
      </c>
      <c r="I137" s="51">
        <f t="shared" si="23"/>
        <v>0</v>
      </c>
    </row>
    <row r="138" spans="1:9" ht="15">
      <c r="A138" s="91"/>
      <c r="B138" s="63">
        <v>1.7053025658242404E-13</v>
      </c>
      <c r="C138" s="63">
        <v>0</v>
      </c>
      <c r="D138" s="63">
        <v>-1.4210854715202004E-13</v>
      </c>
      <c r="E138" s="63">
        <v>0</v>
      </c>
      <c r="F138" s="63">
        <v>0</v>
      </c>
      <c r="G138" s="63">
        <v>0</v>
      </c>
      <c r="H138" s="63">
        <v>2.5579538487363607E-13</v>
      </c>
      <c r="I138" s="63">
        <v>0</v>
      </c>
    </row>
    <row r="139" spans="1:9" ht="15">
      <c r="A139" s="89"/>
      <c r="B139" s="41"/>
      <c r="C139" s="41"/>
      <c r="D139" s="41"/>
      <c r="E139" s="41"/>
      <c r="F139" s="50"/>
      <c r="G139" s="50"/>
      <c r="H139" s="50"/>
      <c r="I139" s="50"/>
    </row>
    <row r="140" spans="1:9" ht="18">
      <c r="A140" s="92" t="str">
        <f>HLOOKUP(INDICE!$F$2,Nombres!$C$3:$D$636,51,FALSE)</f>
        <v>Balances</v>
      </c>
      <c r="B140" s="34"/>
      <c r="C140" s="34"/>
      <c r="D140" s="34"/>
      <c r="E140" s="34"/>
      <c r="F140" s="68"/>
      <c r="G140" s="68"/>
      <c r="H140" s="68"/>
      <c r="I140" s="68"/>
    </row>
    <row r="141" spans="1:9" ht="15">
      <c r="A141" s="83" t="str">
        <f>HLOOKUP(INDICE!$F$2,Nombres!$C$3:$D$636,79,FALSE)</f>
        <v>(Millones de soles peruanos)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87" t="str">
        <f>HLOOKUP(INDICE!$F$2,Nombres!$C$3:$D$636,52,FALSE)</f>
        <v>Efectivo, saldos en efectivo en bancos centrales y otros depósitos a la vista</v>
      </c>
      <c r="B143" s="44">
        <v>13478.40845017633</v>
      </c>
      <c r="C143" s="44">
        <v>11628.58673431168</v>
      </c>
      <c r="D143" s="44">
        <v>16388.685186548348</v>
      </c>
      <c r="E143" s="45">
        <v>14820.894970536818</v>
      </c>
      <c r="F143" s="44">
        <v>14291.78627312295</v>
      </c>
      <c r="G143" s="44">
        <v>14633.837934224506</v>
      </c>
      <c r="H143" s="44">
        <v>16964.798603822444</v>
      </c>
      <c r="I143" s="44">
        <v>0</v>
      </c>
    </row>
    <row r="144" spans="1:9" ht="15">
      <c r="A144" s="87" t="str">
        <f>HLOOKUP(INDICE!$F$2,Nombres!$C$3:$D$636,53,FALSE)</f>
        <v>Activos financieros a valor razonable</v>
      </c>
      <c r="B144" s="58">
        <v>12238.664915294772</v>
      </c>
      <c r="C144" s="58">
        <v>14060.121410652497</v>
      </c>
      <c r="D144" s="58">
        <v>13302.016781894023</v>
      </c>
      <c r="E144" s="64">
        <v>11480.768089094112</v>
      </c>
      <c r="F144" s="44">
        <v>11999.96836034076</v>
      </c>
      <c r="G144" s="44">
        <v>11721.81398756359</v>
      </c>
      <c r="H144" s="44">
        <v>12943.567165017079</v>
      </c>
      <c r="I144" s="44">
        <v>0</v>
      </c>
    </row>
    <row r="145" spans="1:9" ht="15">
      <c r="A145" s="43" t="str">
        <f>HLOOKUP(INDICE!$F$2,Nombres!$C$3:$D$636,54,FALSE)</f>
        <v>Activos financieros a coste amortizado</v>
      </c>
      <c r="B145" s="44">
        <v>77287.94876246613</v>
      </c>
      <c r="C145" s="44">
        <v>77689.634147619</v>
      </c>
      <c r="D145" s="44">
        <v>77210.1817596682</v>
      </c>
      <c r="E145" s="45">
        <v>72517.15164057817</v>
      </c>
      <c r="F145" s="44">
        <v>71119.05042786886</v>
      </c>
      <c r="G145" s="44">
        <v>70802.22126676503</v>
      </c>
      <c r="H145" s="44">
        <v>73637.07140415112</v>
      </c>
      <c r="I145" s="44">
        <v>0</v>
      </c>
    </row>
    <row r="146" spans="1:9" ht="15">
      <c r="A146" s="87" t="str">
        <f>HLOOKUP(INDICE!$F$2,Nombres!$C$3:$D$636,55,FALSE)</f>
        <v>    de los que préstamos y anticipos a la clientela</v>
      </c>
      <c r="B146" s="44">
        <v>67399.10126368164</v>
      </c>
      <c r="C146" s="44">
        <v>71042.35094544305</v>
      </c>
      <c r="D146" s="44">
        <v>69884.08600756266</v>
      </c>
      <c r="E146" s="45">
        <v>70488.64330440058</v>
      </c>
      <c r="F146" s="44">
        <v>69796.53525729133</v>
      </c>
      <c r="G146" s="44">
        <v>69370.40071475857</v>
      </c>
      <c r="H146" s="44">
        <v>69923.2576777794</v>
      </c>
      <c r="I146" s="44">
        <v>0</v>
      </c>
    </row>
    <row r="147" spans="1:9" ht="15" customHeight="1" hidden="1">
      <c r="A147" s="87"/>
      <c r="B147" s="44"/>
      <c r="C147" s="44"/>
      <c r="D147" s="44"/>
      <c r="E147" s="45"/>
      <c r="F147" s="44"/>
      <c r="G147" s="44"/>
      <c r="H147" s="44"/>
      <c r="I147" s="44"/>
    </row>
    <row r="148" spans="1:9" ht="15">
      <c r="A148" s="43" t="str">
        <f>HLOOKUP(INDICE!$F$2,Nombres!$C$3:$D$636,56,FALSE)</f>
        <v>Activos tangibles</v>
      </c>
      <c r="B148" s="44">
        <v>1157.4707406976545</v>
      </c>
      <c r="C148" s="44">
        <v>1142.790426493853</v>
      </c>
      <c r="D148" s="44">
        <v>1146.2071109668636</v>
      </c>
      <c r="E148" s="45">
        <v>1217.1329293771637</v>
      </c>
      <c r="F148" s="44">
        <v>1189.0725917065797</v>
      </c>
      <c r="G148" s="44">
        <v>1172.5059393587585</v>
      </c>
      <c r="H148" s="44">
        <v>1219.696968092594</v>
      </c>
      <c r="I148" s="44">
        <v>0</v>
      </c>
    </row>
    <row r="149" spans="1:9" ht="15">
      <c r="A149" s="87" t="str">
        <f>HLOOKUP(INDICE!$F$2,Nombres!$C$3:$D$636,57,FALSE)</f>
        <v>Otros activos</v>
      </c>
      <c r="B149" s="58">
        <f aca="true" t="shared" si="25" ref="B149:I149">+B150-B148-B145-B144-B143</f>
        <v>1599.462003403174</v>
      </c>
      <c r="C149" s="58">
        <f t="shared" si="25"/>
        <v>1625.7311895425883</v>
      </c>
      <c r="D149" s="58">
        <f t="shared" si="25"/>
        <v>1695.418000886275</v>
      </c>
      <c r="E149" s="64">
        <f t="shared" si="25"/>
        <v>1827.8785220951795</v>
      </c>
      <c r="F149" s="44">
        <f t="shared" si="25"/>
        <v>1824.864578954488</v>
      </c>
      <c r="G149" s="44">
        <f t="shared" si="25"/>
        <v>1846.9719030037995</v>
      </c>
      <c r="H149" s="44">
        <f t="shared" si="25"/>
        <v>1817.5119382774392</v>
      </c>
      <c r="I149" s="44">
        <f t="shared" si="25"/>
        <v>0</v>
      </c>
    </row>
    <row r="150" spans="1:9" ht="15">
      <c r="A150" s="90" t="str">
        <f>HLOOKUP(INDICE!$F$2,Nombres!$C$3:$D$636,58,FALSE)</f>
        <v>Total activo / pasivo</v>
      </c>
      <c r="B150" s="47">
        <v>105761.95487203806</v>
      </c>
      <c r="C150" s="47">
        <v>106146.86390861962</v>
      </c>
      <c r="D150" s="47">
        <v>109742.5088399637</v>
      </c>
      <c r="E150" s="47">
        <v>101863.82615168145</v>
      </c>
      <c r="F150" s="51">
        <v>100424.74223199364</v>
      </c>
      <c r="G150" s="51">
        <v>100177.35103091568</v>
      </c>
      <c r="H150" s="51">
        <v>106582.64607936068</v>
      </c>
      <c r="I150" s="51">
        <v>0</v>
      </c>
    </row>
    <row r="151" spans="1:9" ht="15">
      <c r="A151" s="87" t="str">
        <f>HLOOKUP(INDICE!$F$2,Nombres!$C$3:$D$636,59,FALSE)</f>
        <v>Pasivos financieros mantenidos para negociar y designados a valor razonable con cambios en resultados</v>
      </c>
      <c r="B151" s="58">
        <v>1169.6563615436403</v>
      </c>
      <c r="C151" s="58">
        <v>1726.0981186362885</v>
      </c>
      <c r="D151" s="58">
        <v>2457.558642921852</v>
      </c>
      <c r="E151" s="64">
        <v>1597.6384323759025</v>
      </c>
      <c r="F151" s="44">
        <v>1734.5022985913872</v>
      </c>
      <c r="G151" s="44">
        <v>1609.646825974296</v>
      </c>
      <c r="H151" s="44">
        <v>1779.8057005199482</v>
      </c>
      <c r="I151" s="44">
        <v>0</v>
      </c>
    </row>
    <row r="152" spans="1:9" ht="15">
      <c r="A152" s="87" t="str">
        <f>HLOOKUP(INDICE!$F$2,Nombres!$C$3:$D$636,60,FALSE)</f>
        <v>Depósitos de bancos centrales y entidades de crédito</v>
      </c>
      <c r="B152" s="58">
        <v>18506.618269621486</v>
      </c>
      <c r="C152" s="58">
        <v>19960.8200503549</v>
      </c>
      <c r="D152" s="58">
        <v>20006.367605127074</v>
      </c>
      <c r="E152" s="64">
        <v>18606.711439051214</v>
      </c>
      <c r="F152" s="44">
        <v>17165.861260471935</v>
      </c>
      <c r="G152" s="44">
        <v>15730.847959327344</v>
      </c>
      <c r="H152" s="44">
        <v>15039.862668994665</v>
      </c>
      <c r="I152" s="44">
        <v>0</v>
      </c>
    </row>
    <row r="153" spans="1:9" ht="15">
      <c r="A153" s="87" t="str">
        <f>HLOOKUP(INDICE!$F$2,Nombres!$C$3:$D$636,61,FALSE)</f>
        <v>Depósitos de la clientela</v>
      </c>
      <c r="B153" s="58">
        <v>67023.51766389208</v>
      </c>
      <c r="C153" s="58">
        <v>65760.9073969131</v>
      </c>
      <c r="D153" s="58">
        <v>68098.01839183131</v>
      </c>
      <c r="E153" s="64">
        <v>62818.876136453844</v>
      </c>
      <c r="F153" s="44">
        <v>61637.90186488822</v>
      </c>
      <c r="G153" s="44">
        <v>63377.109017812894</v>
      </c>
      <c r="H153" s="44">
        <v>70438.6793952908</v>
      </c>
      <c r="I153" s="44">
        <v>0</v>
      </c>
    </row>
    <row r="154" spans="1:9" ht="15">
      <c r="A154" s="43" t="str">
        <f>HLOOKUP(INDICE!$F$2,Nombres!$C$3:$D$636,62,FALSE)</f>
        <v>Valores representativos de deuda emitidos</v>
      </c>
      <c r="B154" s="44">
        <v>5868.74044553245</v>
      </c>
      <c r="C154" s="44">
        <v>5779.279927698184</v>
      </c>
      <c r="D154" s="44">
        <v>6034.188442258471</v>
      </c>
      <c r="E154" s="45">
        <v>5998.123993673071</v>
      </c>
      <c r="F154" s="44">
        <v>5649.994743359681</v>
      </c>
      <c r="G154" s="44">
        <v>6506.462407960147</v>
      </c>
      <c r="H154" s="44">
        <v>4292.690129281878</v>
      </c>
      <c r="I154" s="44">
        <v>0</v>
      </c>
    </row>
    <row r="155" spans="1:9" ht="15" customHeight="1" hidden="1">
      <c r="A155" s="43"/>
      <c r="B155" s="44"/>
      <c r="C155" s="44"/>
      <c r="D155" s="44"/>
      <c r="E155" s="45"/>
      <c r="F155" s="44"/>
      <c r="G155" s="44"/>
      <c r="H155" s="44"/>
      <c r="I155" s="44"/>
    </row>
    <row r="156" spans="1:9" ht="15.75" customHeight="1">
      <c r="A156" s="87" t="str">
        <f>HLOOKUP(INDICE!$F$2,Nombres!$C$3:$D$636,63,FALSE)</f>
        <v>Otros pasivos</v>
      </c>
      <c r="B156" s="58">
        <f aca="true" t="shared" si="26" ref="B156:I156">+B150-B151-B152-B153-B154-B157</f>
        <v>4743.585502732261</v>
      </c>
      <c r="C156" s="58">
        <f t="shared" si="26"/>
        <v>4322.954414415635</v>
      </c>
      <c r="D156" s="58">
        <f t="shared" si="26"/>
        <v>4118.963767916943</v>
      </c>
      <c r="E156" s="64">
        <f t="shared" si="26"/>
        <v>3454.7039111255563</v>
      </c>
      <c r="F156" s="44">
        <f t="shared" si="26"/>
        <v>4544.345050135451</v>
      </c>
      <c r="G156" s="44">
        <f t="shared" si="26"/>
        <v>3242.6946405864055</v>
      </c>
      <c r="H156" s="44">
        <f t="shared" si="26"/>
        <v>5038.374788669496</v>
      </c>
      <c r="I156" s="44">
        <f t="shared" si="26"/>
        <v>0</v>
      </c>
    </row>
    <row r="157" spans="1:9" ht="15.75" customHeight="1">
      <c r="A157" s="43" t="str">
        <f>HLOOKUP(INDICE!$F$2,Nombres!$C$3:$D$636,282,FALSE)</f>
        <v>Dotación de capital regulatorio</v>
      </c>
      <c r="B157" s="58">
        <v>8449.836628716133</v>
      </c>
      <c r="C157" s="58">
        <v>8596.804000601509</v>
      </c>
      <c r="D157" s="58">
        <v>9027.41198990805</v>
      </c>
      <c r="E157" s="64">
        <v>9387.77223900187</v>
      </c>
      <c r="F157" s="44">
        <v>9692.137014546974</v>
      </c>
      <c r="G157" s="44">
        <v>9710.590179254588</v>
      </c>
      <c r="H157" s="44">
        <v>9993.233396603882</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92" t="str">
        <f>HLOOKUP(INDICE!$F$2,Nombres!$C$3:$D$636,65,FALSE)</f>
        <v>Indicadores relevantes y de gestión</v>
      </c>
      <c r="B160" s="34"/>
      <c r="C160" s="34"/>
      <c r="D160" s="34"/>
      <c r="E160" s="34"/>
      <c r="F160" s="68"/>
      <c r="G160" s="68"/>
      <c r="H160" s="68"/>
      <c r="I160" s="68"/>
    </row>
    <row r="161" spans="1:9" ht="15">
      <c r="A161" s="83" t="str">
        <f>HLOOKUP(INDICE!$F$2,Nombres!$C$3:$D$636,79,FALSE)</f>
        <v>(Millones de soles peruanos)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87" t="str">
        <f>HLOOKUP(INDICE!$F$2,Nombres!$C$3:$D$636,66,FALSE)</f>
        <v>Préstamos y anticipos a la clientela bruto (*)</v>
      </c>
      <c r="B163" s="44">
        <v>71487.59561292877</v>
      </c>
      <c r="C163" s="44">
        <v>75222.20602943253</v>
      </c>
      <c r="D163" s="44">
        <v>73883.46506842301</v>
      </c>
      <c r="E163" s="45">
        <v>74100.30754175772</v>
      </c>
      <c r="F163" s="44">
        <v>73315.25453671537</v>
      </c>
      <c r="G163" s="44">
        <v>72977.99074260266</v>
      </c>
      <c r="H163" s="44">
        <v>73555.880762068</v>
      </c>
      <c r="I163" s="44">
        <v>0</v>
      </c>
    </row>
    <row r="164" spans="1:9" ht="15">
      <c r="A164" s="87" t="str">
        <f>HLOOKUP(INDICE!$F$2,Nombres!$C$3:$D$636,67,FALSE)</f>
        <v>Depósitos de clientes en gestión (**)</v>
      </c>
      <c r="B164" s="44">
        <v>67023.51813313995</v>
      </c>
      <c r="C164" s="44">
        <v>65760.89966808388</v>
      </c>
      <c r="D164" s="44">
        <v>68098.01761971945</v>
      </c>
      <c r="E164" s="45">
        <v>62818.82543439849</v>
      </c>
      <c r="F164" s="44">
        <v>61616.99009062639</v>
      </c>
      <c r="G164" s="44">
        <v>63363.425296979905</v>
      </c>
      <c r="H164" s="44">
        <v>70430.66010007214</v>
      </c>
      <c r="I164" s="44">
        <v>0</v>
      </c>
    </row>
    <row r="165" spans="1:9" ht="15">
      <c r="A165" s="43" t="str">
        <f>HLOOKUP(INDICE!$F$2,Nombres!$C$3:$D$636,68,FALSE)</f>
        <v>Fondos de inversión y carteras gestionadas</v>
      </c>
      <c r="B165" s="44">
        <v>10704.94933894574</v>
      </c>
      <c r="C165" s="44">
        <v>9287.925393006437</v>
      </c>
      <c r="D165" s="44">
        <v>7894.805517027171</v>
      </c>
      <c r="E165" s="45">
        <v>7355.998026655065</v>
      </c>
      <c r="F165" s="44">
        <v>6336.757258993399</v>
      </c>
      <c r="G165" s="44">
        <v>5672.051274311708</v>
      </c>
      <c r="H165" s="44">
        <v>5869.31346775052</v>
      </c>
      <c r="I165" s="44">
        <v>0</v>
      </c>
    </row>
    <row r="166" spans="1:9" ht="15">
      <c r="A166" s="87" t="str">
        <f>HLOOKUP(INDICE!$F$2,Nombres!$C$3:$D$636,69,FALSE)</f>
        <v>Fondos de pensiones</v>
      </c>
      <c r="B166" s="44">
        <v>0</v>
      </c>
      <c r="C166" s="44">
        <v>0</v>
      </c>
      <c r="D166" s="44">
        <v>0</v>
      </c>
      <c r="E166" s="45">
        <v>0</v>
      </c>
      <c r="F166" s="44">
        <v>0</v>
      </c>
      <c r="G166" s="44">
        <v>0</v>
      </c>
      <c r="H166" s="44">
        <v>0</v>
      </c>
      <c r="I166" s="44">
        <v>0</v>
      </c>
    </row>
    <row r="167" spans="1:15" ht="15">
      <c r="A167" s="87"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91" t="str">
        <f>HLOOKUP(INDICE!$F$2,Nombres!$C$3:$D$636,71,FALSE)</f>
        <v>(*) No incluye las adquisiciones temporales de activos.</v>
      </c>
      <c r="B168" s="58"/>
      <c r="C168" s="58"/>
      <c r="D168" s="58"/>
      <c r="E168" s="58"/>
      <c r="F168" s="44"/>
      <c r="G168" s="44"/>
      <c r="H168" s="44"/>
      <c r="I168" s="44"/>
      <c r="N168" s="73"/>
      <c r="O168" s="73"/>
    </row>
    <row r="169" spans="1:15" ht="15">
      <c r="A169" s="91"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sheetData>
  <sheetProtection/>
  <mergeCells count="6">
    <mergeCell ref="B118:E118"/>
    <mergeCell ref="F118:I118"/>
    <mergeCell ref="B6:E6"/>
    <mergeCell ref="F6:I6"/>
    <mergeCell ref="B62:E62"/>
    <mergeCell ref="F62:I62"/>
  </mergeCells>
  <conditionalFormatting sqref="B26:I26">
    <cfRule type="cellIs" priority="3" dxfId="131" operator="notBetween">
      <formula>0.5</formula>
      <formula>-0.5</formula>
    </cfRule>
  </conditionalFormatting>
  <conditionalFormatting sqref="B82:I82">
    <cfRule type="cellIs" priority="2" dxfId="131" operator="notBetween">
      <formula>0.5</formula>
      <formula>-0.5</formula>
    </cfRule>
  </conditionalFormatting>
  <conditionalFormatting sqref="B138:I138">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82" t="str">
        <f>HLOOKUP(INDICE!$F$2,Nombres!$C$3:$D$636,263,FALSE)</f>
        <v>Resto de Negocios</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83"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13">
        <f>+España!B6</f>
        <v>2021</v>
      </c>
      <c r="C6" s="313"/>
      <c r="D6" s="313"/>
      <c r="E6" s="314"/>
      <c r="F6" s="313">
        <f>+España!F6</f>
        <v>2022</v>
      </c>
      <c r="G6" s="313"/>
      <c r="H6" s="313"/>
      <c r="I6" s="313"/>
    </row>
    <row r="7" spans="1:9" ht="15.75">
      <c r="A7" s="38"/>
      <c r="B7" s="84" t="str">
        <f>+España!B7</f>
        <v>1er Trim.</v>
      </c>
      <c r="C7" s="84" t="str">
        <f>+España!C7</f>
        <v>2º Trim.</v>
      </c>
      <c r="D7" s="84" t="str">
        <f>+España!D7</f>
        <v>3er Trim.</v>
      </c>
      <c r="E7" s="85" t="str">
        <f>+España!E7</f>
        <v>4º Trim.</v>
      </c>
      <c r="F7" s="84" t="str">
        <f>+España!F7</f>
        <v>1er Trim.</v>
      </c>
      <c r="G7" s="84" t="str">
        <f>+España!G7</f>
        <v>2º Trim.</v>
      </c>
      <c r="H7" s="84" t="str">
        <f>+España!H7</f>
        <v>3er Trim.</v>
      </c>
      <c r="I7" s="84" t="str">
        <f>+España!I7</f>
        <v>4º Trim.</v>
      </c>
    </row>
    <row r="8" spans="1:14" ht="15">
      <c r="A8" s="41" t="str">
        <f>HLOOKUP(INDICE!$F$2,Nombres!$C$3:$D$636,33,FALSE)</f>
        <v>Margen de intereses</v>
      </c>
      <c r="B8" s="41">
        <v>72.87927522000001</v>
      </c>
      <c r="C8" s="41">
        <v>68.00738393</v>
      </c>
      <c r="D8" s="41">
        <v>69.94415282</v>
      </c>
      <c r="E8" s="42">
        <v>72.05649285999999</v>
      </c>
      <c r="F8" s="50">
        <v>75.16487686</v>
      </c>
      <c r="G8" s="239">
        <v>79.87970389</v>
      </c>
      <c r="H8" s="239">
        <v>88.58326642</v>
      </c>
      <c r="I8" s="239">
        <v>0</v>
      </c>
      <c r="J8" s="86"/>
      <c r="K8" s="86"/>
      <c r="L8" s="86"/>
      <c r="M8" s="86"/>
      <c r="N8" s="86"/>
    </row>
    <row r="9" spans="1:9" ht="15">
      <c r="A9" s="87" t="str">
        <f>HLOOKUP(INDICE!$F$2,Nombres!$C$3:$D$636,34,FALSE)</f>
        <v>Comisiones netas</v>
      </c>
      <c r="B9" s="44">
        <v>71.18238968</v>
      </c>
      <c r="C9" s="44">
        <v>60.971991079999995</v>
      </c>
      <c r="D9" s="44">
        <v>52.03419697</v>
      </c>
      <c r="E9" s="45">
        <v>57.78572011000001</v>
      </c>
      <c r="F9" s="44">
        <v>56.092037250000004</v>
      </c>
      <c r="G9" s="44">
        <v>65.45684638</v>
      </c>
      <c r="H9" s="44">
        <v>64.02536595000001</v>
      </c>
      <c r="I9" s="44">
        <v>0</v>
      </c>
    </row>
    <row r="10" spans="1:9" ht="15">
      <c r="A10" s="87" t="str">
        <f>HLOOKUP(INDICE!$F$2,Nombres!$C$3:$D$636,35,FALSE)</f>
        <v>Resultados de operaciones financieras</v>
      </c>
      <c r="B10" s="44">
        <v>78.43823870000001</v>
      </c>
      <c r="C10" s="44">
        <v>54.411176080000004</v>
      </c>
      <c r="D10" s="44">
        <v>62.875532129999996</v>
      </c>
      <c r="E10" s="45">
        <v>40.01881293000001</v>
      </c>
      <c r="F10" s="44">
        <v>68.10386955999999</v>
      </c>
      <c r="G10" s="44">
        <v>35.235650719999995</v>
      </c>
      <c r="H10" s="44">
        <v>47.164420969999995</v>
      </c>
      <c r="I10" s="44">
        <v>0</v>
      </c>
    </row>
    <row r="11" spans="1:9" ht="15">
      <c r="A11" s="87" t="str">
        <f>HLOOKUP(INDICE!$F$2,Nombres!$C$3:$D$636,36,FALSE)</f>
        <v>Otros ingresos y cargas de explotación</v>
      </c>
      <c r="B11" s="44">
        <v>8.416999220000001</v>
      </c>
      <c r="C11" s="44">
        <v>7.957013449999996</v>
      </c>
      <c r="D11" s="44">
        <v>-2.540170099999999</v>
      </c>
      <c r="E11" s="45">
        <v>1.7754720799999992</v>
      </c>
      <c r="F11" s="44">
        <v>2.5557426499999996</v>
      </c>
      <c r="G11" s="44">
        <v>1.1864536800000003</v>
      </c>
      <c r="H11" s="44">
        <v>1.2228672900000008</v>
      </c>
      <c r="I11" s="44">
        <v>0</v>
      </c>
    </row>
    <row r="12" spans="1:9" ht="15">
      <c r="A12" s="41" t="str">
        <f>HLOOKUP(INDICE!$F$2,Nombres!$C$3:$D$636,37,FALSE)</f>
        <v>Margen bruto</v>
      </c>
      <c r="B12" s="41">
        <f aca="true" t="shared" si="0" ref="B12:I12">+SUM(B8:B11)</f>
        <v>230.91690282000005</v>
      </c>
      <c r="C12" s="41">
        <f t="shared" si="0"/>
        <v>191.34756454000004</v>
      </c>
      <c r="D12" s="41">
        <f t="shared" si="0"/>
        <v>182.31371181999998</v>
      </c>
      <c r="E12" s="42">
        <f t="shared" si="0"/>
        <v>171.63649798</v>
      </c>
      <c r="F12" s="50">
        <f t="shared" si="0"/>
        <v>201.91652632000003</v>
      </c>
      <c r="G12" s="50">
        <f t="shared" si="0"/>
        <v>181.75865467</v>
      </c>
      <c r="H12" s="50">
        <f t="shared" si="0"/>
        <v>200.99592063</v>
      </c>
      <c r="I12" s="50">
        <f t="shared" si="0"/>
        <v>0</v>
      </c>
    </row>
    <row r="13" spans="1:9" ht="15">
      <c r="A13" s="87" t="str">
        <f>HLOOKUP(INDICE!$F$2,Nombres!$C$3:$D$636,38,FALSE)</f>
        <v>Gastos de explotación</v>
      </c>
      <c r="B13" s="44">
        <v>-115.42439358</v>
      </c>
      <c r="C13" s="44">
        <v>-112.56418681</v>
      </c>
      <c r="D13" s="44">
        <v>-98.97590073</v>
      </c>
      <c r="E13" s="45">
        <v>-125.99120153</v>
      </c>
      <c r="F13" s="44">
        <v>-114.80456537</v>
      </c>
      <c r="G13" s="44">
        <v>-118.83272841</v>
      </c>
      <c r="H13" s="44">
        <v>-133.60810757000002</v>
      </c>
      <c r="I13" s="44">
        <v>0</v>
      </c>
    </row>
    <row r="14" spans="1:9" ht="15">
      <c r="A14" s="87" t="str">
        <f>HLOOKUP(INDICE!$F$2,Nombres!$C$3:$D$636,39,FALSE)</f>
        <v>  Gastos de administración</v>
      </c>
      <c r="B14" s="44">
        <v>-110.62947158</v>
      </c>
      <c r="C14" s="44">
        <v>-107.66153381</v>
      </c>
      <c r="D14" s="44">
        <v>-93.16451364</v>
      </c>
      <c r="E14" s="45">
        <v>-121.28923562</v>
      </c>
      <c r="F14" s="44">
        <v>-109.53490038</v>
      </c>
      <c r="G14" s="44">
        <v>-113.2425214</v>
      </c>
      <c r="H14" s="44">
        <v>-127.18297756999998</v>
      </c>
      <c r="I14" s="44">
        <v>0</v>
      </c>
    </row>
    <row r="15" spans="1:9" ht="15">
      <c r="A15" s="88" t="str">
        <f>HLOOKUP(INDICE!$F$2,Nombres!$C$3:$D$636,40,FALSE)</f>
        <v>  Gastos de personal</v>
      </c>
      <c r="B15" s="44">
        <v>-64.20751729</v>
      </c>
      <c r="C15" s="44">
        <v>-49.75614589</v>
      </c>
      <c r="D15" s="44">
        <v>-51.40792062</v>
      </c>
      <c r="E15" s="45">
        <v>-68.89956459</v>
      </c>
      <c r="F15" s="44">
        <v>-60.282898079999995</v>
      </c>
      <c r="G15" s="44">
        <v>-58.45085589999999</v>
      </c>
      <c r="H15" s="44">
        <v>-70.32417006</v>
      </c>
      <c r="I15" s="44">
        <v>0</v>
      </c>
    </row>
    <row r="16" spans="1:9" ht="15">
      <c r="A16" s="88" t="str">
        <f>HLOOKUP(INDICE!$F$2,Nombres!$C$3:$D$636,41,FALSE)</f>
        <v>  Otros gastos de administración</v>
      </c>
      <c r="B16" s="44">
        <v>-46.42195429</v>
      </c>
      <c r="C16" s="44">
        <v>-57.905387919999995</v>
      </c>
      <c r="D16" s="44">
        <v>-41.75659302000001</v>
      </c>
      <c r="E16" s="45">
        <v>-52.38967103</v>
      </c>
      <c r="F16" s="44">
        <v>-49.2520023</v>
      </c>
      <c r="G16" s="44">
        <v>-54.79166550000001</v>
      </c>
      <c r="H16" s="44">
        <v>-56.85880750999999</v>
      </c>
      <c r="I16" s="44">
        <v>0</v>
      </c>
    </row>
    <row r="17" spans="1:9" ht="15">
      <c r="A17" s="87" t="str">
        <f>HLOOKUP(INDICE!$F$2,Nombres!$C$3:$D$636,42,FALSE)</f>
        <v>  Amortización</v>
      </c>
      <c r="B17" s="44">
        <v>-4.794922000000001</v>
      </c>
      <c r="C17" s="44">
        <v>-4.902653</v>
      </c>
      <c r="D17" s="44">
        <v>-5.81138709</v>
      </c>
      <c r="E17" s="45">
        <v>-4.70196591</v>
      </c>
      <c r="F17" s="44">
        <v>-5.269664990000001</v>
      </c>
      <c r="G17" s="44">
        <v>-5.590207009999999</v>
      </c>
      <c r="H17" s="44">
        <v>-6.42513</v>
      </c>
      <c r="I17" s="44">
        <v>0</v>
      </c>
    </row>
    <row r="18" spans="1:9" ht="15">
      <c r="A18" s="41" t="str">
        <f>HLOOKUP(INDICE!$F$2,Nombres!$C$3:$D$636,43,FALSE)</f>
        <v>Margen neto</v>
      </c>
      <c r="B18" s="41">
        <f aca="true" t="shared" si="1" ref="B18:I18">+B12+B13</f>
        <v>115.49250924000005</v>
      </c>
      <c r="C18" s="41">
        <f t="shared" si="1"/>
        <v>78.78337773000004</v>
      </c>
      <c r="D18" s="41">
        <f t="shared" si="1"/>
        <v>83.33781108999997</v>
      </c>
      <c r="E18" s="42">
        <f t="shared" si="1"/>
        <v>45.645296450000004</v>
      </c>
      <c r="F18" s="50">
        <f t="shared" si="1"/>
        <v>87.11196095000003</v>
      </c>
      <c r="G18" s="50">
        <f t="shared" si="1"/>
        <v>62.92592626</v>
      </c>
      <c r="H18" s="50">
        <f t="shared" si="1"/>
        <v>67.38781305999998</v>
      </c>
      <c r="I18" s="50">
        <f t="shared" si="1"/>
        <v>0</v>
      </c>
    </row>
    <row r="19" spans="1:9" ht="15">
      <c r="A19" s="87" t="str">
        <f>HLOOKUP(INDICE!$F$2,Nombres!$C$3:$D$636,44,FALSE)</f>
        <v>Deterioro de activos financieros no valorados a valor razonable con cambios en resultados</v>
      </c>
      <c r="B19" s="44">
        <v>1.8090720000000005</v>
      </c>
      <c r="C19" s="44">
        <v>13.476409870000001</v>
      </c>
      <c r="D19" s="44">
        <v>4.39651757</v>
      </c>
      <c r="E19" s="45">
        <v>7.1554055399999985</v>
      </c>
      <c r="F19" s="44">
        <v>7.381874779999999</v>
      </c>
      <c r="G19" s="44">
        <v>-7.522930580000001</v>
      </c>
      <c r="H19" s="44">
        <v>-3.6630166199999987</v>
      </c>
      <c r="I19" s="44">
        <v>0</v>
      </c>
    </row>
    <row r="20" spans="1:9" ht="15">
      <c r="A20" s="87" t="str">
        <f>HLOOKUP(INDICE!$F$2,Nombres!$C$3:$D$636,45,FALSE)</f>
        <v>Provisiones o reversión de provisiones y otros resultados</v>
      </c>
      <c r="B20" s="44">
        <v>-12.414312000000002</v>
      </c>
      <c r="C20" s="44">
        <v>7.9530590000000005</v>
      </c>
      <c r="D20" s="44">
        <v>0.7069540000000012</v>
      </c>
      <c r="E20" s="45">
        <v>-0.11351500000000192</v>
      </c>
      <c r="F20" s="44">
        <v>9.783666000000004</v>
      </c>
      <c r="G20" s="44">
        <v>2.5324270000000015</v>
      </c>
      <c r="H20" s="44">
        <v>3.1083999999999983</v>
      </c>
      <c r="I20" s="44">
        <v>0</v>
      </c>
    </row>
    <row r="21" spans="1:9" ht="15">
      <c r="A21" s="89" t="str">
        <f>HLOOKUP(INDICE!$F$2,Nombres!$C$3:$D$636,46,FALSE)</f>
        <v>Resultado antes de impuestos</v>
      </c>
      <c r="B21" s="41">
        <f aca="true" t="shared" si="2" ref="B21:I21">+B18+B19+B20</f>
        <v>104.88726924000005</v>
      </c>
      <c r="C21" s="41">
        <f t="shared" si="2"/>
        <v>100.21284660000003</v>
      </c>
      <c r="D21" s="41">
        <f t="shared" si="2"/>
        <v>88.44128265999997</v>
      </c>
      <c r="E21" s="42">
        <f t="shared" si="2"/>
        <v>52.68718699</v>
      </c>
      <c r="F21" s="50">
        <f t="shared" si="2"/>
        <v>104.27750173000004</v>
      </c>
      <c r="G21" s="50">
        <f t="shared" si="2"/>
        <v>57.935422679999995</v>
      </c>
      <c r="H21" s="50">
        <f t="shared" si="2"/>
        <v>66.83319643999998</v>
      </c>
      <c r="I21" s="50">
        <f t="shared" si="2"/>
        <v>0</v>
      </c>
    </row>
    <row r="22" spans="1:9" ht="15">
      <c r="A22" s="43" t="str">
        <f>HLOOKUP(INDICE!$F$2,Nombres!$C$3:$D$636,47,FALSE)</f>
        <v>Impuesto sobre beneficios</v>
      </c>
      <c r="B22" s="44">
        <v>-20.967429600000003</v>
      </c>
      <c r="C22" s="44">
        <v>-24.65330062</v>
      </c>
      <c r="D22" s="44">
        <v>-19.0056717</v>
      </c>
      <c r="E22" s="45">
        <v>-5.287886920000002</v>
      </c>
      <c r="F22" s="44">
        <v>-23.03511865</v>
      </c>
      <c r="G22" s="44">
        <v>-11.24564568</v>
      </c>
      <c r="H22" s="44">
        <v>-12.094198469999998</v>
      </c>
      <c r="I22" s="44">
        <v>0</v>
      </c>
    </row>
    <row r="23" spans="1:9" ht="15">
      <c r="A23" s="89" t="str">
        <f>HLOOKUP(INDICE!$F$2,Nombres!$C$3:$D$636,48,FALSE)</f>
        <v>Resultado del ejercicio</v>
      </c>
      <c r="B23" s="41">
        <f aca="true" t="shared" si="3" ref="B23:I23">+B21+B22</f>
        <v>83.91983964000005</v>
      </c>
      <c r="C23" s="41">
        <f t="shared" si="3"/>
        <v>75.55954598000004</v>
      </c>
      <c r="D23" s="41">
        <f t="shared" si="3"/>
        <v>69.43561095999996</v>
      </c>
      <c r="E23" s="42">
        <f t="shared" si="3"/>
        <v>47.399300069999995</v>
      </c>
      <c r="F23" s="50">
        <f t="shared" si="3"/>
        <v>81.24238308000004</v>
      </c>
      <c r="G23" s="50">
        <f t="shared" si="3"/>
        <v>46.68977699999999</v>
      </c>
      <c r="H23" s="50">
        <f t="shared" si="3"/>
        <v>54.738997969999986</v>
      </c>
      <c r="I23" s="50">
        <f t="shared" si="3"/>
        <v>0</v>
      </c>
    </row>
    <row r="24" spans="1:9" ht="15">
      <c r="A24" s="87" t="str">
        <f>HLOOKUP(INDICE!$F$2,Nombres!$C$3:$D$636,49,FALSE)</f>
        <v>Minoritarios</v>
      </c>
      <c r="B24" s="44">
        <v>0</v>
      </c>
      <c r="C24" s="44">
        <v>0</v>
      </c>
      <c r="D24" s="44">
        <v>0</v>
      </c>
      <c r="E24" s="45">
        <v>0</v>
      </c>
      <c r="F24" s="44">
        <v>0</v>
      </c>
      <c r="G24" s="44">
        <v>0</v>
      </c>
      <c r="H24" s="44">
        <v>0</v>
      </c>
      <c r="I24" s="44">
        <v>0</v>
      </c>
    </row>
    <row r="25" spans="1:9" ht="15">
      <c r="A25" s="90" t="str">
        <f>HLOOKUP(INDICE!$F$2,Nombres!$C$3:$D$636,50,FALSE)</f>
        <v>Resultado atribuido</v>
      </c>
      <c r="B25" s="47">
        <f aca="true" t="shared" si="4" ref="B25:I25">+B23+B24</f>
        <v>83.91983964000005</v>
      </c>
      <c r="C25" s="47">
        <f t="shared" si="4"/>
        <v>75.55954598000004</v>
      </c>
      <c r="D25" s="47">
        <f t="shared" si="4"/>
        <v>69.43561095999996</v>
      </c>
      <c r="E25" s="47">
        <f t="shared" si="4"/>
        <v>47.399300069999995</v>
      </c>
      <c r="F25" s="51">
        <f t="shared" si="4"/>
        <v>81.24238308000004</v>
      </c>
      <c r="G25" s="51">
        <f t="shared" si="4"/>
        <v>46.68977699999999</v>
      </c>
      <c r="H25" s="51">
        <f t="shared" si="4"/>
        <v>54.738997969999986</v>
      </c>
      <c r="I25" s="51">
        <f t="shared" si="4"/>
        <v>0</v>
      </c>
    </row>
    <row r="26" spans="1:9" ht="23.25" customHeight="1">
      <c r="A26" s="91"/>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92" t="str">
        <f>HLOOKUP(INDICE!$F$2,Nombres!$C$3:$D$636,51,FALSE)</f>
        <v>Balances</v>
      </c>
      <c r="B28" s="34"/>
      <c r="C28" s="34"/>
      <c r="D28" s="34"/>
      <c r="E28" s="34"/>
      <c r="F28" s="34"/>
      <c r="G28" s="34"/>
      <c r="H28" s="34"/>
      <c r="I28" s="34"/>
    </row>
    <row r="29" spans="1:9" ht="15">
      <c r="A29" s="83"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87" t="str">
        <f>HLOOKUP(INDICE!$F$2,Nombres!$C$3:$D$636,52,FALSE)</f>
        <v>Efectivo, saldos en efectivo en bancos centrales y otros depósitos a la vista</v>
      </c>
      <c r="B31" s="44">
        <v>5508.754560000003</v>
      </c>
      <c r="C31" s="44">
        <v>4012.909028</v>
      </c>
      <c r="D31" s="44">
        <v>4453.812191</v>
      </c>
      <c r="E31" s="45">
        <v>3970.3978829900007</v>
      </c>
      <c r="F31" s="44">
        <v>3831.999396</v>
      </c>
      <c r="G31" s="44">
        <v>5108.223216</v>
      </c>
      <c r="H31" s="44">
        <v>4917.510686999999</v>
      </c>
      <c r="I31" s="44">
        <v>0</v>
      </c>
    </row>
    <row r="32" spans="1:9" ht="15">
      <c r="A32" s="87" t="str">
        <f>HLOOKUP(INDICE!$F$2,Nombres!$C$3:$D$636,53,FALSE)</f>
        <v>Activos financieros a valor razonable</v>
      </c>
      <c r="B32" s="58">
        <v>2159.45582639</v>
      </c>
      <c r="C32" s="58">
        <v>2444.56078539</v>
      </c>
      <c r="D32" s="58">
        <v>2552.7362243800003</v>
      </c>
      <c r="E32" s="64">
        <v>5681.96247239</v>
      </c>
      <c r="F32" s="44">
        <v>8584.09004439</v>
      </c>
      <c r="G32" s="44">
        <v>5714.56048539</v>
      </c>
      <c r="H32" s="44">
        <v>3967.1003933899997</v>
      </c>
      <c r="I32" s="44">
        <v>0</v>
      </c>
    </row>
    <row r="33" spans="1:9" ht="15">
      <c r="A33" s="43" t="str">
        <f>HLOOKUP(INDICE!$F$2,Nombres!$C$3:$D$636,54,FALSE)</f>
        <v>Activos financieros a coste amortizado</v>
      </c>
      <c r="B33" s="44">
        <v>27962.148812</v>
      </c>
      <c r="C33" s="44">
        <v>27467.525536999998</v>
      </c>
      <c r="D33" s="44">
        <v>28529.20180963</v>
      </c>
      <c r="E33" s="45">
        <v>30314.794124</v>
      </c>
      <c r="F33" s="44">
        <v>34731.94877</v>
      </c>
      <c r="G33" s="44">
        <v>34949.66198401</v>
      </c>
      <c r="H33" s="44">
        <v>38111.899728000004</v>
      </c>
      <c r="I33" s="44">
        <v>0</v>
      </c>
    </row>
    <row r="34" spans="1:9" ht="15">
      <c r="A34" s="87" t="str">
        <f>HLOOKUP(INDICE!$F$2,Nombres!$C$3:$D$636,55,FALSE)</f>
        <v>    de los que préstamos y anticipos a la clientela</v>
      </c>
      <c r="B34" s="44">
        <v>24462.093666000004</v>
      </c>
      <c r="C34" s="44">
        <v>24271.657212</v>
      </c>
      <c r="D34" s="44">
        <v>25017.218725630002</v>
      </c>
      <c r="E34" s="45">
        <v>26965.260049999997</v>
      </c>
      <c r="F34" s="44">
        <v>31494.501316</v>
      </c>
      <c r="G34" s="44">
        <v>32141.867406</v>
      </c>
      <c r="H34" s="44">
        <v>35319.185594</v>
      </c>
      <c r="I34" s="44">
        <v>0</v>
      </c>
    </row>
    <row r="35" spans="1:9" ht="15">
      <c r="A35" s="87" t="str">
        <f>HLOOKUP(INDICE!$F$2,Nombres!$C$3:$D$636,121,FALSE)</f>
        <v>Posiciones inter-áreas activo</v>
      </c>
      <c r="B35" s="44">
        <v>0</v>
      </c>
      <c r="C35" s="44">
        <v>0</v>
      </c>
      <c r="D35" s="44">
        <v>0</v>
      </c>
      <c r="E35" s="45">
        <v>0</v>
      </c>
      <c r="F35" s="44">
        <v>0</v>
      </c>
      <c r="G35" s="44">
        <v>0</v>
      </c>
      <c r="H35" s="44">
        <v>0</v>
      </c>
      <c r="I35" s="44">
        <v>0</v>
      </c>
    </row>
    <row r="36" spans="1:9" ht="15">
      <c r="A36" s="43" t="str">
        <f>HLOOKUP(INDICE!$F$2,Nombres!$C$3:$D$636,56,FALSE)</f>
        <v>Activos tangibles</v>
      </c>
      <c r="B36" s="44">
        <v>72.698882</v>
      </c>
      <c r="C36" s="44">
        <v>68.3416</v>
      </c>
      <c r="D36" s="44">
        <v>64.94780399</v>
      </c>
      <c r="E36" s="45">
        <v>69.841946</v>
      </c>
      <c r="F36" s="44">
        <v>79.43390499</v>
      </c>
      <c r="G36" s="44">
        <v>76.8518325</v>
      </c>
      <c r="H36" s="44">
        <v>80.26600325000001</v>
      </c>
      <c r="I36" s="44">
        <v>0</v>
      </c>
    </row>
    <row r="37" spans="1:9" ht="15">
      <c r="A37" s="87" t="str">
        <f>HLOOKUP(INDICE!$F$2,Nombres!$C$3:$D$636,57,FALSE)</f>
        <v>Otros activos</v>
      </c>
      <c r="B37" s="58">
        <f>+B38-B36-B33-B32-B31-B35</f>
        <v>338.55237499998657</v>
      </c>
      <c r="C37" s="58">
        <f aca="true" t="shared" si="5" ref="C37:I37">+C38-C36-C33-C32-C31</f>
        <v>418.88084458999765</v>
      </c>
      <c r="D37" s="58">
        <f t="shared" si="5"/>
        <v>363.43964401000176</v>
      </c>
      <c r="E37" s="64">
        <f t="shared" si="5"/>
        <v>291.2442870000068</v>
      </c>
      <c r="F37" s="44">
        <f t="shared" si="5"/>
        <v>366.1890509899995</v>
      </c>
      <c r="G37" s="44">
        <f t="shared" si="5"/>
        <v>326.22490300000027</v>
      </c>
      <c r="H37" s="44">
        <f t="shared" si="5"/>
        <v>454.84572699999535</v>
      </c>
      <c r="I37" s="44">
        <f t="shared" si="5"/>
        <v>0</v>
      </c>
    </row>
    <row r="38" spans="1:9" ht="15">
      <c r="A38" s="90" t="str">
        <f>HLOOKUP(INDICE!$F$2,Nombres!$C$3:$D$636,58,FALSE)</f>
        <v>Total activo / pasivo</v>
      </c>
      <c r="B38" s="47">
        <v>36041.610455389986</v>
      </c>
      <c r="C38" s="47">
        <v>34412.217794979995</v>
      </c>
      <c r="D38" s="47">
        <v>35964.13767301</v>
      </c>
      <c r="E38" s="70">
        <v>40328.24071238001</v>
      </c>
      <c r="F38" s="47">
        <v>47593.66116637</v>
      </c>
      <c r="G38" s="47">
        <v>46175.5224209</v>
      </c>
      <c r="H38" s="47">
        <v>47531.62253864</v>
      </c>
      <c r="I38" s="47">
        <v>0</v>
      </c>
    </row>
    <row r="39" spans="1:9" ht="15">
      <c r="A39" s="87" t="str">
        <f>HLOOKUP(INDICE!$F$2,Nombres!$C$3:$D$636,59,FALSE)</f>
        <v>Pasivos financieros mantenidos para negociar y designados a valor razonable con cambios en resultados</v>
      </c>
      <c r="B39" s="58">
        <v>1508.9990369999998</v>
      </c>
      <c r="C39" s="58">
        <v>1803.7522860000001</v>
      </c>
      <c r="D39" s="58">
        <v>1904.733948</v>
      </c>
      <c r="E39" s="64">
        <v>5060.051628</v>
      </c>
      <c r="F39" s="44">
        <v>7913.3688489999995</v>
      </c>
      <c r="G39" s="44">
        <v>5024.269488</v>
      </c>
      <c r="H39" s="44">
        <v>3274.364747</v>
      </c>
      <c r="I39" s="44">
        <v>0</v>
      </c>
    </row>
    <row r="40" spans="1:9" ht="15">
      <c r="A40" s="87" t="str">
        <f>HLOOKUP(INDICE!$F$2,Nombres!$C$3:$D$636,60,FALSE)</f>
        <v>Depósitos de bancos centrales y entidades de crédito</v>
      </c>
      <c r="B40" s="58">
        <v>1552.9310349999998</v>
      </c>
      <c r="C40" s="58">
        <v>1478.405105</v>
      </c>
      <c r="D40" s="58">
        <v>1797.902211</v>
      </c>
      <c r="E40" s="64">
        <v>1709.0559929999997</v>
      </c>
      <c r="F40" s="44">
        <v>1842.218038</v>
      </c>
      <c r="G40" s="44">
        <v>1838.9726120000003</v>
      </c>
      <c r="H40" s="44">
        <v>1890.8802230000001</v>
      </c>
      <c r="I40" s="44">
        <v>0</v>
      </c>
    </row>
    <row r="41" spans="1:9" ht="15.75" customHeight="1">
      <c r="A41" s="87" t="str">
        <f>HLOOKUP(INDICE!$F$2,Nombres!$C$3:$D$636,61,FALSE)</f>
        <v>Depósitos de la clientela</v>
      </c>
      <c r="B41" s="58">
        <v>6764.373215</v>
      </c>
      <c r="C41" s="58">
        <v>6873.259162</v>
      </c>
      <c r="D41" s="58">
        <v>7341.137872</v>
      </c>
      <c r="E41" s="64">
        <v>6265.901332</v>
      </c>
      <c r="F41" s="44">
        <v>6649.53784499</v>
      </c>
      <c r="G41" s="44">
        <v>7734.917937</v>
      </c>
      <c r="H41" s="44">
        <v>8750.6499</v>
      </c>
      <c r="I41" s="44">
        <v>0</v>
      </c>
    </row>
    <row r="42" spans="1:9" ht="15">
      <c r="A42" s="43" t="str">
        <f>HLOOKUP(INDICE!$F$2,Nombres!$C$3:$D$636,62,FALSE)</f>
        <v>Valores representativos de deuda emitidos</v>
      </c>
      <c r="B42" s="44">
        <v>1127.41828218</v>
      </c>
      <c r="C42" s="44">
        <v>1325.5407824000001</v>
      </c>
      <c r="D42" s="44">
        <v>1248.7509037999998</v>
      </c>
      <c r="E42" s="45">
        <v>1165.86687295</v>
      </c>
      <c r="F42" s="44">
        <v>1348.27974588</v>
      </c>
      <c r="G42" s="44">
        <v>1413.9869129499998</v>
      </c>
      <c r="H42" s="44">
        <v>1458.80188354</v>
      </c>
      <c r="I42" s="44">
        <v>0</v>
      </c>
    </row>
    <row r="43" spans="1:9" ht="15">
      <c r="A43" s="87" t="str">
        <f>HLOOKUP(INDICE!$F$2,Nombres!$C$3:$D$636,122,FALSE)</f>
        <v>Posiciones inter-áreas pasivo</v>
      </c>
      <c r="B43" s="44">
        <v>21514.959469459995</v>
      </c>
      <c r="C43" s="44">
        <v>18616.68675053999</v>
      </c>
      <c r="D43" s="44">
        <v>19531.007104660002</v>
      </c>
      <c r="E43" s="45">
        <v>22085.139969500007</v>
      </c>
      <c r="F43" s="44">
        <v>25226.0188573</v>
      </c>
      <c r="G43" s="44">
        <v>25140.95239302</v>
      </c>
      <c r="H43" s="44">
        <v>26776.31414291</v>
      </c>
      <c r="I43" s="44">
        <v>0</v>
      </c>
    </row>
    <row r="44" spans="1:9" ht="15">
      <c r="A44" s="43" t="str">
        <f>HLOOKUP(INDICE!$F$2,Nombres!$C$3:$D$636,63,FALSE)</f>
        <v>Otros pasivos</v>
      </c>
      <c r="B44" s="58">
        <f aca="true" t="shared" si="6" ref="B44:I44">+B38-B39-B40-B41-B42-B45-B43</f>
        <v>574.1000383299906</v>
      </c>
      <c r="C44" s="58">
        <f t="shared" si="6"/>
        <v>865.5943011100026</v>
      </c>
      <c r="D44" s="58">
        <f t="shared" si="6"/>
        <v>833.5067807000014</v>
      </c>
      <c r="E44" s="64">
        <f t="shared" si="6"/>
        <v>754.9956385699988</v>
      </c>
      <c r="F44" s="58">
        <f t="shared" si="6"/>
        <v>897.6733432100009</v>
      </c>
      <c r="G44" s="58">
        <f t="shared" si="6"/>
        <v>964.4729169400052</v>
      </c>
      <c r="H44" s="58">
        <f t="shared" si="6"/>
        <v>1080.884290670001</v>
      </c>
      <c r="I44" s="58">
        <f t="shared" si="6"/>
        <v>0</v>
      </c>
    </row>
    <row r="45" spans="1:9" ht="15">
      <c r="A45" s="43" t="str">
        <f>HLOOKUP(INDICE!$F$2,Nombres!$C$3:$D$636,282,FALSE)</f>
        <v>Dotación de capital regulatorio</v>
      </c>
      <c r="B45" s="58">
        <v>2998.8293784200005</v>
      </c>
      <c r="C45" s="58">
        <v>3448.97940793</v>
      </c>
      <c r="D45" s="58">
        <v>3307.0988528499997</v>
      </c>
      <c r="E45" s="64">
        <v>3287.2292783599996</v>
      </c>
      <c r="F45" s="58">
        <v>3716.564487989999</v>
      </c>
      <c r="G45" s="58">
        <v>4057.9501609900003</v>
      </c>
      <c r="H45" s="58">
        <v>4299.72735152</v>
      </c>
      <c r="I45" s="58">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92" t="str">
        <f>HLOOKUP(INDICE!$F$2,Nombres!$C$3:$D$636,65,FALSE)</f>
        <v>Indicadores relevantes y de gestión</v>
      </c>
      <c r="B48" s="34"/>
      <c r="C48" s="34"/>
      <c r="D48" s="34"/>
      <c r="E48" s="34"/>
      <c r="F48" s="68"/>
      <c r="G48" s="68"/>
      <c r="H48" s="68"/>
      <c r="I48" s="68"/>
    </row>
    <row r="49" spans="1:9" ht="15">
      <c r="A49" s="83" t="str">
        <f>HLOOKUP(INDICE!$F$2,Nombres!$C$3:$D$636,32,FALSE)</f>
        <v>(Millones de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87" t="str">
        <f>HLOOKUP(INDICE!$F$2,Nombres!$C$3:$D$636,66,FALSE)</f>
        <v>Préstamos y anticipos a la clientela bruto (*)</v>
      </c>
      <c r="B51" s="44">
        <v>24775.911675</v>
      </c>
      <c r="C51" s="44">
        <v>24568.571178</v>
      </c>
      <c r="D51" s="44">
        <v>25308.56451763</v>
      </c>
      <c r="E51" s="45">
        <v>27250.371290999996</v>
      </c>
      <c r="F51" s="44">
        <v>31768.864961999996</v>
      </c>
      <c r="G51" s="44">
        <v>32427.772833999996</v>
      </c>
      <c r="H51" s="44">
        <v>35605.997004000004</v>
      </c>
      <c r="I51" s="44">
        <v>0</v>
      </c>
    </row>
    <row r="52" spans="1:9" ht="15">
      <c r="A52" s="87" t="str">
        <f>HLOOKUP(INDICE!$F$2,Nombres!$C$3:$D$636,67,FALSE)</f>
        <v>Depósitos de clientes en gestión (**)</v>
      </c>
      <c r="B52" s="44">
        <v>6764.373215</v>
      </c>
      <c r="C52" s="44">
        <v>6873.259162</v>
      </c>
      <c r="D52" s="44">
        <v>7341.137872</v>
      </c>
      <c r="E52" s="45">
        <v>6265.901332</v>
      </c>
      <c r="F52" s="44">
        <v>6649.53784499</v>
      </c>
      <c r="G52" s="44">
        <v>7734.917937000001</v>
      </c>
      <c r="H52" s="44">
        <v>8750.6499</v>
      </c>
      <c r="I52" s="44">
        <v>0</v>
      </c>
    </row>
    <row r="53" spans="1:9" ht="15">
      <c r="A53" s="43" t="str">
        <f>HLOOKUP(INDICE!$F$2,Nombres!$C$3:$D$636,68,FALSE)</f>
        <v>Fondos de inversión y carteras gestionadas</v>
      </c>
      <c r="B53" s="44">
        <v>0</v>
      </c>
      <c r="C53" s="44">
        <v>0</v>
      </c>
      <c r="D53" s="44">
        <v>0</v>
      </c>
      <c r="E53" s="45">
        <v>0</v>
      </c>
      <c r="F53" s="44">
        <v>0</v>
      </c>
      <c r="G53" s="44">
        <v>0</v>
      </c>
      <c r="H53" s="44">
        <v>0</v>
      </c>
      <c r="I53" s="44">
        <v>0</v>
      </c>
    </row>
    <row r="54" spans="1:9" ht="15">
      <c r="A54" s="87" t="str">
        <f>HLOOKUP(INDICE!$F$2,Nombres!$C$3:$D$636,69,FALSE)</f>
        <v>Fondos de pensiones</v>
      </c>
      <c r="B54" s="44">
        <v>529.59826012</v>
      </c>
      <c r="C54" s="44">
        <v>549.65363599</v>
      </c>
      <c r="D54" s="44">
        <v>566.58063193</v>
      </c>
      <c r="E54" s="45">
        <v>597.24904247</v>
      </c>
      <c r="F54" s="44">
        <v>580.94406159</v>
      </c>
      <c r="G54" s="44">
        <v>522.57530376</v>
      </c>
      <c r="H54" s="44">
        <v>523.75088513</v>
      </c>
      <c r="I54" s="44">
        <v>0</v>
      </c>
    </row>
    <row r="55" spans="1:9" ht="15">
      <c r="A55" s="87" t="str">
        <f>HLOOKUP(INDICE!$F$2,Nombres!$C$3:$D$636,70,FALSE)</f>
        <v>Otros recursos fuera de balance</v>
      </c>
      <c r="B55" s="44">
        <v>0</v>
      </c>
      <c r="C55" s="44">
        <v>0</v>
      </c>
      <c r="D55" s="44">
        <v>0</v>
      </c>
      <c r="E55" s="45">
        <v>0</v>
      </c>
      <c r="F55" s="44">
        <v>0</v>
      </c>
      <c r="G55" s="44">
        <v>0</v>
      </c>
      <c r="H55" s="44">
        <v>0</v>
      </c>
      <c r="I55" s="44">
        <v>0</v>
      </c>
    </row>
    <row r="56" spans="1:9" ht="15">
      <c r="A56" s="91" t="str">
        <f>HLOOKUP(INDICE!$F$2,Nombres!$C$3:$D$636,71,FALSE)</f>
        <v>(*) No incluye las adquisiciones temporales de activos.</v>
      </c>
      <c r="B56" s="58"/>
      <c r="C56" s="58"/>
      <c r="D56" s="58"/>
      <c r="E56" s="58"/>
      <c r="F56" s="44"/>
      <c r="G56" s="44"/>
      <c r="H56" s="44"/>
      <c r="I56" s="44"/>
    </row>
    <row r="57" spans="1:9" ht="15">
      <c r="A57" s="91" t="str">
        <f>HLOOKUP(INDICE!$F$2,Nombres!$C$3:$D$636,72,FALSE)</f>
        <v>(**) No incluye las cesiones temporales de activos.</v>
      </c>
      <c r="B57" s="30"/>
      <c r="C57" s="30"/>
      <c r="D57" s="30"/>
      <c r="E57" s="30"/>
      <c r="F57" s="69"/>
      <c r="G57" s="69"/>
      <c r="H57" s="69"/>
      <c r="I57" s="69"/>
    </row>
    <row r="58" spans="1:9" ht="15">
      <c r="A58" s="62"/>
      <c r="B58" s="30"/>
      <c r="C58" s="30"/>
      <c r="D58" s="30"/>
      <c r="E58" s="30"/>
      <c r="F58" s="69"/>
      <c r="G58" s="69"/>
      <c r="H58" s="69"/>
      <c r="I58" s="69"/>
    </row>
    <row r="59" spans="1:9" ht="18">
      <c r="A59" s="92" t="str">
        <f>HLOOKUP(INDICE!$F$2,Nombres!$C$3:$D$636,31,FALSE)</f>
        <v>Cuenta de resultados  </v>
      </c>
      <c r="B59" s="34"/>
      <c r="C59" s="34"/>
      <c r="D59" s="34"/>
      <c r="E59" s="34"/>
      <c r="F59" s="68"/>
      <c r="G59" s="68"/>
      <c r="H59" s="68"/>
      <c r="I59" s="68"/>
    </row>
    <row r="60" spans="1:9" ht="15">
      <c r="A60" s="83" t="str">
        <f>HLOOKUP(INDICE!$F$2,Nombres!$C$3:$D$636,73,FALSE)</f>
        <v>(Millones de euros constantes)</v>
      </c>
      <c r="B60" s="30"/>
      <c r="C60" s="36"/>
      <c r="D60" s="36"/>
      <c r="E60" s="36"/>
      <c r="F60" s="69"/>
      <c r="G60" s="69"/>
      <c r="H60" s="69"/>
      <c r="I60" s="69"/>
    </row>
    <row r="61" spans="1:9" ht="15">
      <c r="A61" s="37"/>
      <c r="B61" s="30"/>
      <c r="C61" s="36"/>
      <c r="D61" s="36"/>
      <c r="E61" s="36"/>
      <c r="F61" s="30"/>
      <c r="G61" s="30"/>
      <c r="H61" s="30"/>
      <c r="I61" s="30"/>
    </row>
    <row r="62" spans="1:9" ht="15.75">
      <c r="A62" s="38"/>
      <c r="B62" s="313">
        <f>+B$6</f>
        <v>2021</v>
      </c>
      <c r="C62" s="313"/>
      <c r="D62" s="313"/>
      <c r="E62" s="314"/>
      <c r="F62" s="313">
        <f>+F$6</f>
        <v>2022</v>
      </c>
      <c r="G62" s="313"/>
      <c r="H62" s="313"/>
      <c r="I62" s="313"/>
    </row>
    <row r="63" spans="1:9" ht="15.75">
      <c r="A63" s="38"/>
      <c r="B63" s="84" t="str">
        <f aca="true" t="shared" si="8" ref="B63:I63">+B$7</f>
        <v>1er Trim.</v>
      </c>
      <c r="C63" s="84" t="str">
        <f t="shared" si="8"/>
        <v>2º Trim.</v>
      </c>
      <c r="D63" s="84" t="str">
        <f t="shared" si="8"/>
        <v>3er Trim.</v>
      </c>
      <c r="E63" s="85" t="str">
        <f t="shared" si="8"/>
        <v>4º Trim.</v>
      </c>
      <c r="F63" s="84" t="str">
        <f t="shared" si="8"/>
        <v>1er Trim.</v>
      </c>
      <c r="G63" s="84" t="str">
        <f t="shared" si="8"/>
        <v>2º Trim.</v>
      </c>
      <c r="H63" s="84" t="str">
        <f t="shared" si="8"/>
        <v>3er Trim.</v>
      </c>
      <c r="I63" s="84" t="str">
        <f t="shared" si="8"/>
        <v>4º Trim.</v>
      </c>
    </row>
    <row r="64" spans="1:9" ht="15">
      <c r="A64" s="41" t="str">
        <f>HLOOKUP(INDICE!$F$2,Nombres!$C$3:$D$636,33,FALSE)</f>
        <v>Margen de intereses</v>
      </c>
      <c r="B64" s="41">
        <v>76.6256518398057</v>
      </c>
      <c r="C64" s="41">
        <v>71.59102279104077</v>
      </c>
      <c r="D64" s="41">
        <v>71.84850333225548</v>
      </c>
      <c r="E64" s="42">
        <v>73.61370069463828</v>
      </c>
      <c r="F64" s="50">
        <v>77.72555901637168</v>
      </c>
      <c r="G64" s="50">
        <v>80.04915524655152</v>
      </c>
      <c r="H64" s="50">
        <v>85.8531329070768</v>
      </c>
      <c r="I64" s="50">
        <v>0</v>
      </c>
    </row>
    <row r="65" spans="1:9" ht="15">
      <c r="A65" s="87" t="str">
        <f>HLOOKUP(INDICE!$F$2,Nombres!$C$3:$D$636,34,FALSE)</f>
        <v>Comisiones netas</v>
      </c>
      <c r="B65" s="44">
        <v>76.51371419004508</v>
      </c>
      <c r="C65" s="44">
        <v>65.55279043516856</v>
      </c>
      <c r="D65" s="44">
        <v>53.88168029521495</v>
      </c>
      <c r="E65" s="45">
        <v>59.012130813096995</v>
      </c>
      <c r="F65" s="44">
        <v>57.9078473015306</v>
      </c>
      <c r="G65" s="44">
        <v>66.02393374123119</v>
      </c>
      <c r="H65" s="44">
        <v>61.64246853723822</v>
      </c>
      <c r="I65" s="44">
        <v>0</v>
      </c>
    </row>
    <row r="66" spans="1:9" ht="15">
      <c r="A66" s="87" t="str">
        <f>HLOOKUP(INDICE!$F$2,Nombres!$C$3:$D$636,35,FALSE)</f>
        <v>Resultados de operaciones financieras</v>
      </c>
      <c r="B66" s="44">
        <v>83.71113213969191</v>
      </c>
      <c r="C66" s="44">
        <v>58.922515940258336</v>
      </c>
      <c r="D66" s="44">
        <v>66.3800330783632</v>
      </c>
      <c r="E66" s="45">
        <v>39.048840772691406</v>
      </c>
      <c r="F66" s="44">
        <v>70.90322586009572</v>
      </c>
      <c r="G66" s="44">
        <v>33.790366682837536</v>
      </c>
      <c r="H66" s="44">
        <v>45.810348707066744</v>
      </c>
      <c r="I66" s="44">
        <v>0</v>
      </c>
    </row>
    <row r="67" spans="1:9" ht="15">
      <c r="A67" s="87" t="str">
        <f>HLOOKUP(INDICE!$F$2,Nombres!$C$3:$D$636,36,FALSE)</f>
        <v>Otros ingresos y cargas de explotación</v>
      </c>
      <c r="B67" s="44">
        <v>9.704668294108629</v>
      </c>
      <c r="C67" s="44">
        <v>8.414583253100952</v>
      </c>
      <c r="D67" s="44">
        <v>-2.769846848121561</v>
      </c>
      <c r="E67" s="45">
        <v>1.9354239859566547</v>
      </c>
      <c r="F67" s="44">
        <v>2.8310086583318386</v>
      </c>
      <c r="G67" s="44">
        <v>1.1355144875744883</v>
      </c>
      <c r="H67" s="44">
        <v>0.9985404740936741</v>
      </c>
      <c r="I67" s="44">
        <v>0</v>
      </c>
    </row>
    <row r="68" spans="1:9" ht="15">
      <c r="A68" s="41" t="str">
        <f>HLOOKUP(INDICE!$F$2,Nombres!$C$3:$D$636,37,FALSE)</f>
        <v>Margen bruto</v>
      </c>
      <c r="B68" s="41">
        <f aca="true" t="shared" si="9" ref="B68:I68">+SUM(B64:B67)</f>
        <v>246.5551664636513</v>
      </c>
      <c r="C68" s="41">
        <f t="shared" si="9"/>
        <v>204.4809124195686</v>
      </c>
      <c r="D68" s="41">
        <f t="shared" si="9"/>
        <v>189.34036985771206</v>
      </c>
      <c r="E68" s="42">
        <f t="shared" si="9"/>
        <v>173.61009626638335</v>
      </c>
      <c r="F68" s="50">
        <f t="shared" si="9"/>
        <v>209.36764083632983</v>
      </c>
      <c r="G68" s="50">
        <f t="shared" si="9"/>
        <v>180.99897015819474</v>
      </c>
      <c r="H68" s="50">
        <f t="shared" si="9"/>
        <v>194.30449062547544</v>
      </c>
      <c r="I68" s="50">
        <f t="shared" si="9"/>
        <v>0</v>
      </c>
    </row>
    <row r="69" spans="1:9" ht="15">
      <c r="A69" s="87" t="str">
        <f>HLOOKUP(INDICE!$F$2,Nombres!$C$3:$D$636,38,FALSE)</f>
        <v>Gastos de explotación</v>
      </c>
      <c r="B69" s="44">
        <v>-123.77410415034919</v>
      </c>
      <c r="C69" s="44">
        <v>-120.7493273544677</v>
      </c>
      <c r="D69" s="44">
        <v>-102.56399905778551</v>
      </c>
      <c r="E69" s="45">
        <v>-129.3957965798773</v>
      </c>
      <c r="F69" s="44">
        <v>-118.77006138484495</v>
      </c>
      <c r="G69" s="44">
        <v>-119.2473961446721</v>
      </c>
      <c r="H69" s="44">
        <v>-129.22794382048295</v>
      </c>
      <c r="I69" s="44">
        <v>0</v>
      </c>
    </row>
    <row r="70" spans="1:9" ht="15">
      <c r="A70" s="87" t="str">
        <f>HLOOKUP(INDICE!$F$2,Nombres!$C$3:$D$636,39,FALSE)</f>
        <v>  Gastos de administración</v>
      </c>
      <c r="B70" s="44">
        <v>-118.78763355973732</v>
      </c>
      <c r="C70" s="44">
        <v>-115.64004488181598</v>
      </c>
      <c r="D70" s="44">
        <v>-96.53159544878731</v>
      </c>
      <c r="E70" s="45">
        <v>-124.652156325023</v>
      </c>
      <c r="F70" s="44">
        <v>-113.40831007035888</v>
      </c>
      <c r="G70" s="44">
        <v>-113.64621901655158</v>
      </c>
      <c r="H70" s="44">
        <v>-122.90587026308953</v>
      </c>
      <c r="I70" s="44">
        <v>0</v>
      </c>
    </row>
    <row r="71" spans="1:9" ht="15">
      <c r="A71" s="88" t="str">
        <f>HLOOKUP(INDICE!$F$2,Nombres!$C$3:$D$636,40,FALSE)</f>
        <v>  Gastos de personal</v>
      </c>
      <c r="B71" s="44">
        <v>-69.37716687569869</v>
      </c>
      <c r="C71" s="44">
        <v>-53.33550915866448</v>
      </c>
      <c r="D71" s="44">
        <v>-53.60654646773049</v>
      </c>
      <c r="E71" s="45">
        <v>-71.14610994195723</v>
      </c>
      <c r="F71" s="44">
        <v>-62.44615768068414</v>
      </c>
      <c r="G71" s="44">
        <v>-58.708322733519374</v>
      </c>
      <c r="H71" s="44">
        <v>-67.9034436257965</v>
      </c>
      <c r="I71" s="44">
        <v>0</v>
      </c>
    </row>
    <row r="72" spans="1:9" ht="15">
      <c r="A72" s="88" t="str">
        <f>HLOOKUP(INDICE!$F$2,Nombres!$C$3:$D$636,41,FALSE)</f>
        <v>  Otros gastos de administración</v>
      </c>
      <c r="B72" s="44">
        <v>-49.410466684038624</v>
      </c>
      <c r="C72" s="44">
        <v>-62.304535723151496</v>
      </c>
      <c r="D72" s="44">
        <v>-42.925048981056825</v>
      </c>
      <c r="E72" s="45">
        <v>-53.50604638306575</v>
      </c>
      <c r="F72" s="44">
        <v>-50.96215238967474</v>
      </c>
      <c r="G72" s="44">
        <v>-54.9378962830322</v>
      </c>
      <c r="H72" s="44">
        <v>-55.00242663729304</v>
      </c>
      <c r="I72" s="44">
        <v>0</v>
      </c>
    </row>
    <row r="73" spans="1:9" ht="15">
      <c r="A73" s="87" t="str">
        <f>HLOOKUP(INDICE!$F$2,Nombres!$C$3:$D$636,42,FALSE)</f>
        <v>  Amortización</v>
      </c>
      <c r="B73" s="44">
        <v>-4.9864705906118765</v>
      </c>
      <c r="C73" s="44">
        <v>-5.10928247265172</v>
      </c>
      <c r="D73" s="44">
        <v>-6.032403608998197</v>
      </c>
      <c r="E73" s="45">
        <v>-4.74364025485432</v>
      </c>
      <c r="F73" s="44">
        <v>-5.361751314486064</v>
      </c>
      <c r="G73" s="44">
        <v>-5.601177128120508</v>
      </c>
      <c r="H73" s="44">
        <v>-6.322073557393428</v>
      </c>
      <c r="I73" s="44">
        <v>0</v>
      </c>
    </row>
    <row r="74" spans="1:9" ht="15">
      <c r="A74" s="41" t="str">
        <f>HLOOKUP(INDICE!$F$2,Nombres!$C$3:$D$636,43,FALSE)</f>
        <v>Margen neto</v>
      </c>
      <c r="B74" s="41">
        <f aca="true" t="shared" si="10" ref="B74:I74">+B68+B69</f>
        <v>122.7810623133021</v>
      </c>
      <c r="C74" s="41">
        <f t="shared" si="10"/>
        <v>83.7315850651009</v>
      </c>
      <c r="D74" s="41">
        <f t="shared" si="10"/>
        <v>86.77637079992655</v>
      </c>
      <c r="E74" s="42">
        <f t="shared" si="10"/>
        <v>44.21429968650605</v>
      </c>
      <c r="F74" s="50">
        <f t="shared" si="10"/>
        <v>90.59757945148488</v>
      </c>
      <c r="G74" s="50">
        <f t="shared" si="10"/>
        <v>61.75157401352264</v>
      </c>
      <c r="H74" s="50">
        <f t="shared" si="10"/>
        <v>65.07654680499249</v>
      </c>
      <c r="I74" s="50">
        <f t="shared" si="10"/>
        <v>0</v>
      </c>
    </row>
    <row r="75" spans="1:9" ht="15">
      <c r="A75" s="87" t="str">
        <f>HLOOKUP(INDICE!$F$2,Nombres!$C$3:$D$636,44,FALSE)</f>
        <v>Deterioro de activos financieros no valorados a valor razonable con cambios en resultados</v>
      </c>
      <c r="B75" s="44">
        <v>3.7630674695959634</v>
      </c>
      <c r="C75" s="44">
        <v>15.545825109225849</v>
      </c>
      <c r="D75" s="44">
        <v>2.743367218498093</v>
      </c>
      <c r="E75" s="45">
        <v>7.313025936061328</v>
      </c>
      <c r="F75" s="44">
        <v>7.71947208692024</v>
      </c>
      <c r="G75" s="44">
        <v>-7.7286765915815305</v>
      </c>
      <c r="H75" s="44">
        <v>-3.7948679153387115</v>
      </c>
      <c r="I75" s="44">
        <v>0</v>
      </c>
    </row>
    <row r="76" spans="1:9" ht="15">
      <c r="A76" s="87" t="str">
        <f>HLOOKUP(INDICE!$F$2,Nombres!$C$3:$D$636,45,FALSE)</f>
        <v>Provisiones o reversión de provisiones y otros resultados</v>
      </c>
      <c r="B76" s="44">
        <v>-13.599502407670947</v>
      </c>
      <c r="C76" s="44">
        <v>9.814508366225192</v>
      </c>
      <c r="D76" s="44">
        <v>-0.2732379980502259</v>
      </c>
      <c r="E76" s="45">
        <v>-0.14476163370737316</v>
      </c>
      <c r="F76" s="44">
        <v>11.152809421929852</v>
      </c>
      <c r="G76" s="44">
        <v>1.8655769508693796</v>
      </c>
      <c r="H76" s="44">
        <v>2.4061066272007654</v>
      </c>
      <c r="I76" s="44">
        <v>0</v>
      </c>
    </row>
    <row r="77" spans="1:9" ht="15">
      <c r="A77" s="89" t="str">
        <f>HLOOKUP(INDICE!$F$2,Nombres!$C$3:$D$636,46,FALSE)</f>
        <v>Resultado antes de impuestos</v>
      </c>
      <c r="B77" s="41">
        <f aca="true" t="shared" si="11" ref="B77:I77">+B74+B75+B76</f>
        <v>112.94462737522713</v>
      </c>
      <c r="C77" s="41">
        <f t="shared" si="11"/>
        <v>109.09191854055194</v>
      </c>
      <c r="D77" s="41">
        <f t="shared" si="11"/>
        <v>89.24650002037443</v>
      </c>
      <c r="E77" s="42">
        <f t="shared" si="11"/>
        <v>51.38256398886001</v>
      </c>
      <c r="F77" s="50">
        <f t="shared" si="11"/>
        <v>109.46986096033496</v>
      </c>
      <c r="G77" s="50">
        <f t="shared" si="11"/>
        <v>55.88847437281049</v>
      </c>
      <c r="H77" s="50">
        <f t="shared" si="11"/>
        <v>63.68778551685454</v>
      </c>
      <c r="I77" s="50">
        <f t="shared" si="11"/>
        <v>0</v>
      </c>
    </row>
    <row r="78" spans="1:9" ht="15">
      <c r="A78" s="43" t="str">
        <f>HLOOKUP(INDICE!$F$2,Nombres!$C$3:$D$636,47,FALSE)</f>
        <v>Impuesto sobre beneficios</v>
      </c>
      <c r="B78" s="44">
        <v>-22.78407677485926</v>
      </c>
      <c r="C78" s="44">
        <v>-26.474277246444245</v>
      </c>
      <c r="D78" s="44">
        <v>-19.166072838009725</v>
      </c>
      <c r="E78" s="45">
        <v>-3.951055863410568</v>
      </c>
      <c r="F78" s="44">
        <v>-24.116260767289457</v>
      </c>
      <c r="G78" s="44">
        <v>-10.738888478316147</v>
      </c>
      <c r="H78" s="44">
        <v>-11.519813554394393</v>
      </c>
      <c r="I78" s="44">
        <v>0</v>
      </c>
    </row>
    <row r="79" spans="1:9" ht="15">
      <c r="A79" s="89" t="str">
        <f>HLOOKUP(INDICE!$F$2,Nombres!$C$3:$D$636,48,FALSE)</f>
        <v>Resultado del ejercicio</v>
      </c>
      <c r="B79" s="41">
        <f aca="true" t="shared" si="12" ref="B79:I79">+B77+B78</f>
        <v>90.16055060036787</v>
      </c>
      <c r="C79" s="41">
        <f t="shared" si="12"/>
        <v>82.6176412941077</v>
      </c>
      <c r="D79" s="41">
        <f t="shared" si="12"/>
        <v>70.0804271823647</v>
      </c>
      <c r="E79" s="42">
        <f t="shared" si="12"/>
        <v>47.43150812544944</v>
      </c>
      <c r="F79" s="50">
        <f t="shared" si="12"/>
        <v>85.3536001930455</v>
      </c>
      <c r="G79" s="50">
        <f t="shared" si="12"/>
        <v>45.149585894494344</v>
      </c>
      <c r="H79" s="50">
        <f t="shared" si="12"/>
        <v>52.16797196246014</v>
      </c>
      <c r="I79" s="50">
        <f t="shared" si="12"/>
        <v>0</v>
      </c>
    </row>
    <row r="80" spans="1:9" ht="15">
      <c r="A80" s="87" t="str">
        <f>HLOOKUP(INDICE!$F$2,Nombres!$C$3:$D$636,49,FALSE)</f>
        <v>Minoritarios</v>
      </c>
      <c r="B80" s="44">
        <v>0</v>
      </c>
      <c r="C80" s="44">
        <v>0</v>
      </c>
      <c r="D80" s="44">
        <v>0</v>
      </c>
      <c r="E80" s="45">
        <v>0</v>
      </c>
      <c r="F80" s="44">
        <v>0</v>
      </c>
      <c r="G80" s="44">
        <v>0</v>
      </c>
      <c r="H80" s="44">
        <v>0</v>
      </c>
      <c r="I80" s="44">
        <v>0</v>
      </c>
    </row>
    <row r="81" spans="1:9" ht="15">
      <c r="A81" s="90" t="str">
        <f>HLOOKUP(INDICE!$F$2,Nombres!$C$3:$D$636,50,FALSE)</f>
        <v>Resultado atribuido</v>
      </c>
      <c r="B81" s="47">
        <f aca="true" t="shared" si="13" ref="B81:I81">+B79+B80</f>
        <v>90.16055060036787</v>
      </c>
      <c r="C81" s="47">
        <f t="shared" si="13"/>
        <v>82.6176412941077</v>
      </c>
      <c r="D81" s="47">
        <f t="shared" si="13"/>
        <v>70.0804271823647</v>
      </c>
      <c r="E81" s="47">
        <f t="shared" si="13"/>
        <v>47.43150812544944</v>
      </c>
      <c r="F81" s="51">
        <f t="shared" si="13"/>
        <v>85.3536001930455</v>
      </c>
      <c r="G81" s="51">
        <f t="shared" si="13"/>
        <v>45.149585894494344</v>
      </c>
      <c r="H81" s="51">
        <f t="shared" si="13"/>
        <v>52.16797196246014</v>
      </c>
      <c r="I81" s="51">
        <f t="shared" si="13"/>
        <v>0</v>
      </c>
    </row>
    <row r="82" spans="1:9" ht="15">
      <c r="A82" s="91"/>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92" t="str">
        <f>HLOOKUP(INDICE!$F$2,Nombres!$C$3:$D$636,51,FALSE)</f>
        <v>Balances</v>
      </c>
      <c r="B84" s="34"/>
      <c r="C84" s="34"/>
      <c r="D84" s="34"/>
      <c r="E84" s="34"/>
      <c r="F84" s="68"/>
      <c r="G84" s="68"/>
      <c r="H84" s="68"/>
      <c r="I84" s="68"/>
    </row>
    <row r="85" spans="1:9" ht="15">
      <c r="A85" s="83"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87" t="str">
        <f>HLOOKUP(INDICE!$F$2,Nombres!$C$3:$D$636,52,FALSE)</f>
        <v>Efectivo, saldos en efectivo en bancos centrales y otros depósitos a la vista</v>
      </c>
      <c r="B87" s="44">
        <v>6603.791959967683</v>
      </c>
      <c r="C87" s="44">
        <v>4855.480825835755</v>
      </c>
      <c r="D87" s="44">
        <v>5261.083573227211</v>
      </c>
      <c r="E87" s="45">
        <v>4581.098269330222</v>
      </c>
      <c r="F87" s="44">
        <v>4334.279564149608</v>
      </c>
      <c r="G87" s="44">
        <v>5428.538169136768</v>
      </c>
      <c r="H87" s="44">
        <v>4917.510686999999</v>
      </c>
      <c r="I87" s="44">
        <v>0</v>
      </c>
    </row>
    <row r="88" spans="1:9" ht="15">
      <c r="A88" s="87" t="str">
        <f>HLOOKUP(INDICE!$F$2,Nombres!$C$3:$D$636,53,FALSE)</f>
        <v>Activos financieros a valor razonable</v>
      </c>
      <c r="B88" s="58">
        <v>2494.0474360896706</v>
      </c>
      <c r="C88" s="58">
        <v>2870.6200579150714</v>
      </c>
      <c r="D88" s="58">
        <v>2942.4083591687217</v>
      </c>
      <c r="E88" s="64">
        <v>6522.797713482902</v>
      </c>
      <c r="F88" s="44">
        <v>9700.98647637905</v>
      </c>
      <c r="G88" s="44">
        <v>6051.396430179887</v>
      </c>
      <c r="H88" s="44">
        <v>3967.1003933899997</v>
      </c>
      <c r="I88" s="44">
        <v>0</v>
      </c>
    </row>
    <row r="89" spans="1:9" ht="15">
      <c r="A89" s="43" t="str">
        <f>HLOOKUP(INDICE!$F$2,Nombres!$C$3:$D$636,54,FALSE)</f>
        <v>Activos financieros a coste amortizado</v>
      </c>
      <c r="B89" s="44">
        <v>29099.4000330115</v>
      </c>
      <c r="C89" s="44">
        <v>28624.64215897282</v>
      </c>
      <c r="D89" s="44">
        <v>29490.645664295007</v>
      </c>
      <c r="E89" s="45">
        <v>31466.208175242566</v>
      </c>
      <c r="F89" s="44">
        <v>35908.86113013553</v>
      </c>
      <c r="G89" s="44">
        <v>35525.42227021261</v>
      </c>
      <c r="H89" s="44">
        <v>38111.899728000004</v>
      </c>
      <c r="I89" s="44">
        <v>0</v>
      </c>
    </row>
    <row r="90" spans="1:9" ht="15">
      <c r="A90" s="87" t="str">
        <f>HLOOKUP(INDICE!$F$2,Nombres!$C$3:$D$636,55,FALSE)</f>
        <v>    de los que préstamos y anticipos a la clientela</v>
      </c>
      <c r="B90" s="44">
        <v>25473.40506666839</v>
      </c>
      <c r="C90" s="44">
        <v>25305.37362922635</v>
      </c>
      <c r="D90" s="44">
        <v>25855.275901917947</v>
      </c>
      <c r="E90" s="45">
        <v>28031.631934944468</v>
      </c>
      <c r="F90" s="44">
        <v>32591.528868442958</v>
      </c>
      <c r="G90" s="44">
        <v>32683.44305853841</v>
      </c>
      <c r="H90" s="44">
        <v>35319.185594</v>
      </c>
      <c r="I90" s="44">
        <v>0</v>
      </c>
    </row>
    <row r="91" spans="1:9" ht="15">
      <c r="A91" s="87" t="str">
        <f>HLOOKUP(INDICE!$F$2,Nombres!$C$3:$D$636,121,FALSE)</f>
        <v>Posiciones inter-áreas activo</v>
      </c>
      <c r="B91" s="44">
        <v>0</v>
      </c>
      <c r="C91" s="44">
        <v>0</v>
      </c>
      <c r="D91" s="44">
        <v>0</v>
      </c>
      <c r="E91" s="45">
        <v>0</v>
      </c>
      <c r="F91" s="44">
        <v>0</v>
      </c>
      <c r="G91" s="44">
        <v>0</v>
      </c>
      <c r="H91" s="44">
        <v>0</v>
      </c>
      <c r="I91" s="44">
        <v>0</v>
      </c>
    </row>
    <row r="92" spans="1:9" ht="15">
      <c r="A92" s="43" t="str">
        <f>HLOOKUP(INDICE!$F$2,Nombres!$C$3:$D$636,56,FALSE)</f>
        <v>Activos tangibles</v>
      </c>
      <c r="B92" s="44">
        <v>75.29698067034606</v>
      </c>
      <c r="C92" s="44">
        <v>70.83701574908697</v>
      </c>
      <c r="D92" s="44">
        <v>66.98396483741993</v>
      </c>
      <c r="E92" s="45">
        <v>71.39493340741193</v>
      </c>
      <c r="F92" s="44">
        <v>80.65732168119438</v>
      </c>
      <c r="G92" s="44">
        <v>77.41786064062941</v>
      </c>
      <c r="H92" s="44">
        <v>80.26600325000001</v>
      </c>
      <c r="I92" s="44">
        <v>0</v>
      </c>
    </row>
    <row r="93" spans="1:9" ht="15">
      <c r="A93" s="87" t="str">
        <f>HLOOKUP(INDICE!$F$2,Nombres!$C$3:$D$636,57,FALSE)</f>
        <v>Otros activos</v>
      </c>
      <c r="B93" s="58">
        <f>+B94-B92-B89-B88-B87-B91</f>
        <v>366.8076585970539</v>
      </c>
      <c r="C93" s="58">
        <f aca="true" t="shared" si="15" ref="C93:I93">+C94-C92-C89-C88-C87</f>
        <v>455.7038645145658</v>
      </c>
      <c r="D93" s="58">
        <f t="shared" si="15"/>
        <v>395.37082783464666</v>
      </c>
      <c r="E93" s="64">
        <f t="shared" si="15"/>
        <v>309.2273294322322</v>
      </c>
      <c r="F93" s="44">
        <f t="shared" si="15"/>
        <v>393.18529720466995</v>
      </c>
      <c r="G93" s="44">
        <f t="shared" si="15"/>
        <v>336.6599965150763</v>
      </c>
      <c r="H93" s="44">
        <f t="shared" si="15"/>
        <v>454.84572699999535</v>
      </c>
      <c r="I93" s="44">
        <f t="shared" si="15"/>
        <v>0</v>
      </c>
    </row>
    <row r="94" spans="1:9" ht="15">
      <c r="A94" s="90" t="str">
        <f>HLOOKUP(INDICE!$F$2,Nombres!$C$3:$D$636,58,FALSE)</f>
        <v>Total activo / pasivo</v>
      </c>
      <c r="B94" s="47">
        <v>38639.34406833626</v>
      </c>
      <c r="C94" s="47">
        <v>36877.2839229873</v>
      </c>
      <c r="D94" s="47">
        <v>38156.492389363004</v>
      </c>
      <c r="E94" s="70">
        <v>42950.726420895335</v>
      </c>
      <c r="F94" s="51">
        <v>50417.96978955005</v>
      </c>
      <c r="G94" s="51">
        <v>47419.43472668497</v>
      </c>
      <c r="H94" s="51">
        <v>47531.62253864</v>
      </c>
      <c r="I94" s="51">
        <v>0</v>
      </c>
    </row>
    <row r="95" spans="1:9" ht="15">
      <c r="A95" s="87" t="str">
        <f>HLOOKUP(INDICE!$F$2,Nombres!$C$3:$D$636,59,FALSE)</f>
        <v>Pasivos financieros mantenidos para negociar y designados a valor razonable con cambios en resultados</v>
      </c>
      <c r="B95" s="58">
        <v>1808.7293870257733</v>
      </c>
      <c r="C95" s="58">
        <v>2189.5668101079505</v>
      </c>
      <c r="D95" s="58">
        <v>2256.6794345340413</v>
      </c>
      <c r="E95" s="64">
        <v>5872.479240885123</v>
      </c>
      <c r="F95" s="44">
        <v>9006.325397293518</v>
      </c>
      <c r="G95" s="44">
        <v>5351.521586897236</v>
      </c>
      <c r="H95" s="44">
        <v>3274.364747</v>
      </c>
      <c r="I95" s="44">
        <v>0</v>
      </c>
    </row>
    <row r="96" spans="1:9" ht="15">
      <c r="A96" s="87" t="str">
        <f>HLOOKUP(INDICE!$F$2,Nombres!$C$3:$D$636,60,FALSE)</f>
        <v>Depósitos de bancos centrales y entidades de crédito</v>
      </c>
      <c r="B96" s="58">
        <v>1734.664883601226</v>
      </c>
      <c r="C96" s="58">
        <v>1654.540646256843</v>
      </c>
      <c r="D96" s="58">
        <v>1986.2477956891607</v>
      </c>
      <c r="E96" s="64">
        <v>1865.2197302968395</v>
      </c>
      <c r="F96" s="44">
        <v>1958.9305455483177</v>
      </c>
      <c r="G96" s="44">
        <v>1916.4582581390334</v>
      </c>
      <c r="H96" s="44">
        <v>1890.8802230000001</v>
      </c>
      <c r="I96" s="44">
        <v>0</v>
      </c>
    </row>
    <row r="97" spans="1:9" ht="15">
      <c r="A97" s="87" t="str">
        <f>HLOOKUP(INDICE!$F$2,Nombres!$C$3:$D$636,61,FALSE)</f>
        <v>Depósitos de la clientela</v>
      </c>
      <c r="B97" s="58">
        <v>7477.333982828808</v>
      </c>
      <c r="C97" s="58">
        <v>7524.360444969174</v>
      </c>
      <c r="D97" s="58">
        <v>7950.622226013769</v>
      </c>
      <c r="E97" s="64">
        <v>6658.281280635977</v>
      </c>
      <c r="F97" s="44">
        <v>7076.135980821632</v>
      </c>
      <c r="G97" s="44">
        <v>7983.035968068276</v>
      </c>
      <c r="H97" s="44">
        <v>8750.6499</v>
      </c>
      <c r="I97" s="44">
        <v>0</v>
      </c>
    </row>
    <row r="98" spans="1:9" ht="15">
      <c r="A98" s="43" t="str">
        <f>HLOOKUP(INDICE!$F$2,Nombres!$C$3:$D$636,62,FALSE)</f>
        <v>Valores representativos de deuda emitidos</v>
      </c>
      <c r="B98" s="44">
        <v>1183.2768712939596</v>
      </c>
      <c r="C98" s="44">
        <v>1391.5838044142197</v>
      </c>
      <c r="D98" s="44">
        <v>1307.8958948375118</v>
      </c>
      <c r="E98" s="45">
        <v>1220.2830075969373</v>
      </c>
      <c r="F98" s="44">
        <v>1407.0975003967083</v>
      </c>
      <c r="G98" s="44">
        <v>1442.5659937366001</v>
      </c>
      <c r="H98" s="44">
        <v>1458.80188354</v>
      </c>
      <c r="I98" s="44">
        <v>0</v>
      </c>
    </row>
    <row r="99" spans="1:9" ht="15">
      <c r="A99" s="87" t="str">
        <f>HLOOKUP(INDICE!$F$2,Nombres!$C$3:$D$636,122,FALSE)</f>
        <v>Posiciones inter-áreas pasivo</v>
      </c>
      <c r="B99" s="44">
        <v>22649.69428016799</v>
      </c>
      <c r="C99" s="44">
        <v>19544.498999255142</v>
      </c>
      <c r="D99" s="44">
        <v>20280.94329565599</v>
      </c>
      <c r="E99" s="45">
        <v>23089.82933844658</v>
      </c>
      <c r="F99" s="44">
        <v>26143.032403778365</v>
      </c>
      <c r="G99" s="44">
        <v>25593.84213826927</v>
      </c>
      <c r="H99" s="44">
        <v>26776.31414291</v>
      </c>
      <c r="I99" s="44">
        <v>0</v>
      </c>
    </row>
    <row r="100" spans="1:9" ht="15">
      <c r="A100" s="43" t="str">
        <f>HLOOKUP(INDICE!$F$2,Nombres!$C$3:$D$636,63,FALSE)</f>
        <v>Otros pasivos</v>
      </c>
      <c r="B100" s="58">
        <f aca="true" t="shared" si="16" ref="B100:I100">+B94-B95-B96-B97-B98-B101-B99</f>
        <v>612.4225016026467</v>
      </c>
      <c r="C100" s="58">
        <f t="shared" si="16"/>
        <v>944.7198421558205</v>
      </c>
      <c r="D100" s="58">
        <f t="shared" si="16"/>
        <v>893.2956342215621</v>
      </c>
      <c r="E100" s="64">
        <f t="shared" si="16"/>
        <v>799.2585591443785</v>
      </c>
      <c r="F100" s="58">
        <f t="shared" si="16"/>
        <v>967.038375593238</v>
      </c>
      <c r="G100" s="58">
        <f t="shared" si="16"/>
        <v>995.4363946601516</v>
      </c>
      <c r="H100" s="58">
        <f t="shared" si="16"/>
        <v>1080.884290670001</v>
      </c>
      <c r="I100" s="58">
        <f t="shared" si="16"/>
        <v>0</v>
      </c>
    </row>
    <row r="101" spans="1:9" ht="15">
      <c r="A101" s="43" t="str">
        <f>HLOOKUP(INDICE!$F$2,Nombres!$C$3:$D$636,282,FALSE)</f>
        <v>Dotación de capital regulatorio</v>
      </c>
      <c r="B101" s="58">
        <v>3173.2221618158587</v>
      </c>
      <c r="C101" s="58">
        <v>3628.013375828152</v>
      </c>
      <c r="D101" s="58">
        <v>3480.808108410974</v>
      </c>
      <c r="E101" s="64">
        <v>3445.3752638895003</v>
      </c>
      <c r="F101" s="58">
        <v>3859.409586118268</v>
      </c>
      <c r="G101" s="58">
        <v>4136.574386914408</v>
      </c>
      <c r="H101" s="58">
        <v>4299.72735152</v>
      </c>
      <c r="I101" s="58">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92" t="str">
        <f>HLOOKUP(INDICE!$F$2,Nombres!$C$3:$D$636,65,FALSE)</f>
        <v>Indicadores relevantes y de gestión</v>
      </c>
      <c r="B104" s="34"/>
      <c r="C104" s="34"/>
      <c r="D104" s="34"/>
      <c r="E104" s="34"/>
      <c r="F104" s="68"/>
      <c r="G104" s="68"/>
      <c r="H104" s="68"/>
      <c r="I104" s="68"/>
    </row>
    <row r="105" spans="1:9" ht="15">
      <c r="A105" s="83"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87" t="str">
        <f>HLOOKUP(INDICE!$F$2,Nombres!$C$3:$D$636,66,FALSE)</f>
        <v>Préstamos y anticipos a la clientela bruto (*)</v>
      </c>
      <c r="B107" s="44">
        <v>25791.35309863812</v>
      </c>
      <c r="C107" s="44">
        <v>25604.245016379402</v>
      </c>
      <c r="D107" s="44">
        <v>26148.14463211245</v>
      </c>
      <c r="E107" s="45">
        <v>28318.014237947133</v>
      </c>
      <c r="F107" s="44">
        <v>32866.68531387032</v>
      </c>
      <c r="G107" s="44">
        <v>32969.7293612167</v>
      </c>
      <c r="H107" s="44">
        <v>35605.997004000004</v>
      </c>
      <c r="I107" s="44">
        <v>0</v>
      </c>
    </row>
    <row r="108" spans="1:9" ht="15">
      <c r="A108" s="87" t="str">
        <f>HLOOKUP(INDICE!$F$2,Nombres!$C$3:$D$636,67,FALSE)</f>
        <v>Depósitos de clientes en gestión (**)</v>
      </c>
      <c r="B108" s="44">
        <v>7477.333982828808</v>
      </c>
      <c r="C108" s="44">
        <v>7524.360444969175</v>
      </c>
      <c r="D108" s="44">
        <v>7950.622226013767</v>
      </c>
      <c r="E108" s="45">
        <v>6658.281280635978</v>
      </c>
      <c r="F108" s="44">
        <v>7076.135980821633</v>
      </c>
      <c r="G108" s="44">
        <v>7983.035968068278</v>
      </c>
      <c r="H108" s="44">
        <v>8750.6499</v>
      </c>
      <c r="I108" s="44">
        <v>0</v>
      </c>
    </row>
    <row r="109" spans="1:9" ht="15">
      <c r="A109" s="43" t="str">
        <f>HLOOKUP(INDICE!$F$2,Nombres!$C$3:$D$636,68,FALSE)</f>
        <v>Fondos de inversión y carteras gestionadas</v>
      </c>
      <c r="B109" s="44">
        <v>0</v>
      </c>
      <c r="C109" s="44">
        <v>0</v>
      </c>
      <c r="D109" s="44">
        <v>0</v>
      </c>
      <c r="E109" s="45">
        <v>0</v>
      </c>
      <c r="F109" s="44">
        <v>0</v>
      </c>
      <c r="G109" s="44">
        <v>0</v>
      </c>
      <c r="H109" s="44">
        <v>0</v>
      </c>
      <c r="I109" s="44">
        <v>0</v>
      </c>
    </row>
    <row r="110" spans="1:9" ht="15">
      <c r="A110" s="87" t="str">
        <f>HLOOKUP(INDICE!$F$2,Nombres!$C$3:$D$636,69,FALSE)</f>
        <v>Fondos de pensiones</v>
      </c>
      <c r="B110" s="44">
        <v>529.59826012</v>
      </c>
      <c r="C110" s="44">
        <v>549.65363599</v>
      </c>
      <c r="D110" s="44">
        <v>566.58063193</v>
      </c>
      <c r="E110" s="45">
        <v>597.24904247</v>
      </c>
      <c r="F110" s="44">
        <v>580.94406159</v>
      </c>
      <c r="G110" s="44">
        <v>522.57530376</v>
      </c>
      <c r="H110" s="44">
        <v>523.75088513</v>
      </c>
      <c r="I110" s="44">
        <v>0</v>
      </c>
    </row>
    <row r="111" spans="1:9" ht="15">
      <c r="A111" s="87" t="str">
        <f>HLOOKUP(INDICE!$F$2,Nombres!$C$3:$D$636,70,FALSE)</f>
        <v>Otros recursos fuera de balance</v>
      </c>
      <c r="B111" s="44">
        <v>0</v>
      </c>
      <c r="C111" s="44">
        <v>0</v>
      </c>
      <c r="D111" s="44">
        <v>0</v>
      </c>
      <c r="E111" s="45">
        <v>0</v>
      </c>
      <c r="F111" s="44">
        <v>0</v>
      </c>
      <c r="G111" s="44">
        <v>0</v>
      </c>
      <c r="H111" s="44">
        <v>0</v>
      </c>
      <c r="I111" s="44">
        <v>0</v>
      </c>
    </row>
    <row r="112" spans="1:9" ht="15">
      <c r="A112" s="91" t="str">
        <f>HLOOKUP(INDICE!$F$2,Nombres!$C$3:$D$636,71,FALSE)</f>
        <v>(*) No incluye las adquisiciones temporales de activos.</v>
      </c>
      <c r="B112" s="58"/>
      <c r="C112" s="58"/>
      <c r="D112" s="58"/>
      <c r="E112" s="58"/>
      <c r="F112" s="58"/>
      <c r="G112" s="58"/>
      <c r="H112" s="58"/>
      <c r="I112" s="58"/>
    </row>
    <row r="113" spans="1:9" ht="15">
      <c r="A113" s="91"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1000" ht="15">
      <c r="A1000" s="31" t="s">
        <v>392</v>
      </c>
    </row>
  </sheetData>
  <sheetProtection/>
  <mergeCells count="4">
    <mergeCell ref="B6:E6"/>
    <mergeCell ref="B62:E62"/>
    <mergeCell ref="F6:I6"/>
    <mergeCell ref="F62:I62"/>
  </mergeCells>
  <conditionalFormatting sqref="B26:I26">
    <cfRule type="cellIs" priority="2" dxfId="131" operator="notBetween">
      <formula>0.5</formula>
      <formula>-0.5</formula>
    </cfRule>
  </conditionalFormatting>
  <conditionalFormatting sqref="B82:I82">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O167"/>
  <sheetViews>
    <sheetView showGridLines="0" zoomScalePageLayoutView="0" workbookViewId="0" topLeftCell="A1">
      <selection activeCell="A1" sqref="A1"/>
    </sheetView>
  </sheetViews>
  <sheetFormatPr defaultColWidth="11.421875" defaultRowHeight="15"/>
  <cols>
    <col min="1" max="1" width="96.7109375" style="31" customWidth="1"/>
    <col min="2" max="2" width="10.421875" style="31" customWidth="1"/>
    <col min="3" max="8" width="11.421875" style="31" customWidth="1"/>
    <col min="9" max="9" width="0" style="31" hidden="1" customWidth="1"/>
    <col min="10" max="16384" width="11.421875" style="31" customWidth="1"/>
  </cols>
  <sheetData>
    <row r="1" spans="1:9" ht="18">
      <c r="A1" s="82" t="str">
        <f>HLOOKUP(INDICE!$F$2,Nombres!$C$3:$D$636,19,FALSE)</f>
        <v>Centro Corporativo</v>
      </c>
      <c r="B1" s="30"/>
      <c r="C1" s="30"/>
      <c r="D1" s="30"/>
      <c r="E1" s="30"/>
      <c r="F1" s="30"/>
      <c r="G1" s="30"/>
      <c r="H1" s="30"/>
      <c r="I1" s="30"/>
    </row>
    <row r="2" spans="1:9" ht="19.5">
      <c r="A2" s="32"/>
      <c r="B2" s="30"/>
      <c r="C2" s="30"/>
      <c r="D2" s="30"/>
      <c r="E2" s="30"/>
      <c r="F2" s="30"/>
      <c r="G2" s="30"/>
      <c r="H2" s="30"/>
      <c r="I2" s="30"/>
    </row>
    <row r="3" spans="1:9" ht="18">
      <c r="A3" s="92" t="str">
        <f>HLOOKUP(INDICE!$F$2,Nombres!$C$3:$D$636,31,FALSE)</f>
        <v>Cuenta de resultados  </v>
      </c>
      <c r="B3" s="34"/>
      <c r="C3" s="34"/>
      <c r="D3" s="34"/>
      <c r="E3" s="34"/>
      <c r="F3" s="34"/>
      <c r="G3" s="34"/>
      <c r="H3" s="34"/>
      <c r="I3" s="34"/>
    </row>
    <row r="4" spans="1:9" ht="15">
      <c r="A4" s="83"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13">
        <f>+España!B6</f>
        <v>2021</v>
      </c>
      <c r="C6" s="313"/>
      <c r="D6" s="313"/>
      <c r="E6" s="314"/>
      <c r="F6" s="313">
        <f>+España!F6</f>
        <v>2022</v>
      </c>
      <c r="G6" s="313"/>
      <c r="H6" s="313"/>
      <c r="I6" s="313"/>
    </row>
    <row r="7" spans="1:9" ht="15.75">
      <c r="A7" s="38"/>
      <c r="B7" s="84" t="str">
        <f>+España!B7</f>
        <v>1er Trim.</v>
      </c>
      <c r="C7" s="84" t="str">
        <f>+España!C7</f>
        <v>2º Trim.</v>
      </c>
      <c r="D7" s="84" t="str">
        <f>+España!D7</f>
        <v>3er Trim.</v>
      </c>
      <c r="E7" s="85" t="str">
        <f>+España!E7</f>
        <v>4º Trim.</v>
      </c>
      <c r="F7" s="84" t="str">
        <f>+España!F7</f>
        <v>1er Trim.</v>
      </c>
      <c r="G7" s="84" t="str">
        <f>+España!G7</f>
        <v>2º Trim.</v>
      </c>
      <c r="H7" s="84" t="str">
        <f>+España!H7</f>
        <v>3er Trim.</v>
      </c>
      <c r="I7" s="84" t="str">
        <f>+España!I7</f>
        <v>4º Trim.</v>
      </c>
    </row>
    <row r="8" spans="1:15" ht="15">
      <c r="A8" s="41" t="str">
        <f>HLOOKUP(INDICE!$F$2,Nombres!$C$3:$D$636,33,FALSE)</f>
        <v>Margen de intereses</v>
      </c>
      <c r="B8" s="41">
        <v>-43.849252549999974</v>
      </c>
      <c r="C8" s="41">
        <v>-38.10383747000003</v>
      </c>
      <c r="D8" s="41">
        <v>-46.348549700000014</v>
      </c>
      <c r="E8" s="42">
        <v>-34.929972419999906</v>
      </c>
      <c r="F8" s="50">
        <v>-37.45303362999999</v>
      </c>
      <c r="G8" s="50">
        <v>-26.467458329999992</v>
      </c>
      <c r="H8" s="239">
        <v>-33.47610747000006</v>
      </c>
      <c r="I8" s="239">
        <v>0</v>
      </c>
      <c r="J8" s="86"/>
      <c r="K8" s="86"/>
      <c r="L8" s="86"/>
      <c r="M8" s="86"/>
      <c r="N8" s="86"/>
      <c r="O8" s="86"/>
    </row>
    <row r="9" spans="1:9" ht="15">
      <c r="A9" s="87" t="str">
        <f>HLOOKUP(INDICE!$F$2,Nombres!$C$3:$D$636,34,FALSE)</f>
        <v>Comisiones netas</v>
      </c>
      <c r="B9" s="44">
        <v>-2.8977995999999986</v>
      </c>
      <c r="C9" s="44">
        <v>-19.979545090000002</v>
      </c>
      <c r="D9" s="44">
        <v>-6.33287841999999</v>
      </c>
      <c r="E9" s="45">
        <v>-6.527499109999997</v>
      </c>
      <c r="F9" s="44">
        <v>-4.109733000000002</v>
      </c>
      <c r="G9" s="44">
        <v>-15.900528690000002</v>
      </c>
      <c r="H9" s="44">
        <v>-5.1897988799999935</v>
      </c>
      <c r="I9" s="44">
        <v>0</v>
      </c>
    </row>
    <row r="10" spans="1:9" ht="15">
      <c r="A10" s="87" t="str">
        <f>HLOOKUP(INDICE!$F$2,Nombres!$C$3:$D$636,35,FALSE)</f>
        <v>Resultados de operaciones financieras</v>
      </c>
      <c r="B10" s="44">
        <v>46.397079110000014</v>
      </c>
      <c r="C10" s="44">
        <v>121.14912621</v>
      </c>
      <c r="D10" s="44">
        <v>100.69057498999999</v>
      </c>
      <c r="E10" s="45">
        <v>-2.4766653099999587</v>
      </c>
      <c r="F10" s="44">
        <v>-38.32611692999999</v>
      </c>
      <c r="G10" s="44">
        <v>-83.02728671000001</v>
      </c>
      <c r="H10" s="44">
        <v>41.07349616</v>
      </c>
      <c r="I10" s="44">
        <v>0</v>
      </c>
    </row>
    <row r="11" spans="1:9" ht="15">
      <c r="A11" s="87" t="str">
        <f>HLOOKUP(INDICE!$F$2,Nombres!$C$3:$D$636,36,FALSE)</f>
        <v>Otros ingresos y cargas de explotación</v>
      </c>
      <c r="B11" s="44">
        <v>-17.859285009999983</v>
      </c>
      <c r="C11" s="44">
        <v>101.63862162000021</v>
      </c>
      <c r="D11" s="44">
        <v>11.070859999999929</v>
      </c>
      <c r="E11" s="45">
        <v>50.84682551999986</v>
      </c>
      <c r="F11" s="44">
        <v>0.7529770800000088</v>
      </c>
      <c r="G11" s="44">
        <v>57.714178259999926</v>
      </c>
      <c r="H11" s="44">
        <v>0.23990423000018035</v>
      </c>
      <c r="I11" s="44">
        <v>0</v>
      </c>
    </row>
    <row r="12" spans="1:9" ht="15">
      <c r="A12" s="41" t="str">
        <f>HLOOKUP(INDICE!$F$2,Nombres!$C$3:$D$636,37,FALSE)</f>
        <v>Margen bruto</v>
      </c>
      <c r="B12" s="41">
        <f aca="true" t="shared" si="0" ref="B12:I12">+SUM(B8:B11)</f>
        <v>-18.209258049999942</v>
      </c>
      <c r="C12" s="41">
        <f t="shared" si="0"/>
        <v>164.70436527000018</v>
      </c>
      <c r="D12" s="41">
        <f t="shared" si="0"/>
        <v>59.080006869999906</v>
      </c>
      <c r="E12" s="42">
        <f t="shared" si="0"/>
        <v>6.912688679999995</v>
      </c>
      <c r="F12" s="50">
        <f t="shared" si="0"/>
        <v>-79.13590647999997</v>
      </c>
      <c r="G12" s="50">
        <f t="shared" si="0"/>
        <v>-67.68109547000009</v>
      </c>
      <c r="H12" s="50">
        <f t="shared" si="0"/>
        <v>2.647494040000128</v>
      </c>
      <c r="I12" s="50">
        <f t="shared" si="0"/>
        <v>0</v>
      </c>
    </row>
    <row r="13" spans="1:9" ht="15">
      <c r="A13" s="87" t="str">
        <f>HLOOKUP(INDICE!$F$2,Nombres!$C$3:$D$636,38,FALSE)</f>
        <v>Gastos de explotación</v>
      </c>
      <c r="B13" s="44">
        <v>-196.92836287999995</v>
      </c>
      <c r="C13" s="44">
        <v>-196.09666847000005</v>
      </c>
      <c r="D13" s="44">
        <v>-210.61973142</v>
      </c>
      <c r="E13" s="45">
        <v>-215.89150475999998</v>
      </c>
      <c r="F13" s="44">
        <v>-187.23582509000005</v>
      </c>
      <c r="G13" s="44">
        <v>-204.66321022</v>
      </c>
      <c r="H13" s="44">
        <v>-201.32678008</v>
      </c>
      <c r="I13" s="44">
        <v>0</v>
      </c>
    </row>
    <row r="14" spans="1:9" ht="15">
      <c r="A14" s="87" t="str">
        <f>HLOOKUP(INDICE!$F$2,Nombres!$C$3:$D$636,39,FALSE)</f>
        <v>  Gastos de administración</v>
      </c>
      <c r="B14" s="44">
        <v>-149.86428952</v>
      </c>
      <c r="C14" s="44">
        <v>-148.47024711000006</v>
      </c>
      <c r="D14" s="44">
        <v>-161.37574508</v>
      </c>
      <c r="E14" s="45">
        <v>-166.27213930999994</v>
      </c>
      <c r="F14" s="44">
        <v>-139.01582173000003</v>
      </c>
      <c r="G14" s="44">
        <v>-154.63980446000002</v>
      </c>
      <c r="H14" s="44">
        <v>-150.34912872000007</v>
      </c>
      <c r="I14" s="44">
        <v>0</v>
      </c>
    </row>
    <row r="15" spans="1:9" ht="15">
      <c r="A15" s="88" t="str">
        <f>HLOOKUP(INDICE!$F$2,Nombres!$C$3:$D$636,40,FALSE)</f>
        <v>  Gastos de personal</v>
      </c>
      <c r="B15" s="44">
        <v>-129.45738859</v>
      </c>
      <c r="C15" s="44">
        <v>-138.08783414</v>
      </c>
      <c r="D15" s="44">
        <v>-141.70301091</v>
      </c>
      <c r="E15" s="45">
        <v>-148.67481270000002</v>
      </c>
      <c r="F15" s="44">
        <v>-131.46988281</v>
      </c>
      <c r="G15" s="44">
        <v>-142.34624054</v>
      </c>
      <c r="H15" s="44">
        <v>-144.88569308</v>
      </c>
      <c r="I15" s="44">
        <v>0</v>
      </c>
    </row>
    <row r="16" spans="1:9" ht="15">
      <c r="A16" s="88" t="str">
        <f>HLOOKUP(INDICE!$F$2,Nombres!$C$3:$D$636,41,FALSE)</f>
        <v>  Otros gastos de administración</v>
      </c>
      <c r="B16" s="44">
        <v>-20.406900929999978</v>
      </c>
      <c r="C16" s="44">
        <v>-10.382412970000042</v>
      </c>
      <c r="D16" s="44">
        <v>-19.672734170000005</v>
      </c>
      <c r="E16" s="45">
        <v>-17.59732660999998</v>
      </c>
      <c r="F16" s="44">
        <v>-7.545938920000017</v>
      </c>
      <c r="G16" s="44">
        <v>-12.293563919999997</v>
      </c>
      <c r="H16" s="44">
        <v>-5.463435640000012</v>
      </c>
      <c r="I16" s="44">
        <v>0</v>
      </c>
    </row>
    <row r="17" spans="1:9" ht="15">
      <c r="A17" s="87" t="str">
        <f>HLOOKUP(INDICE!$F$2,Nombres!$C$3:$D$636,42,FALSE)</f>
        <v>  Amortización</v>
      </c>
      <c r="B17" s="44">
        <v>-47.064073359999995</v>
      </c>
      <c r="C17" s="44">
        <v>-47.62642136</v>
      </c>
      <c r="D17" s="44">
        <v>-49.24398634</v>
      </c>
      <c r="E17" s="45">
        <v>-49.619365450000004</v>
      </c>
      <c r="F17" s="44">
        <v>-48.22000335999999</v>
      </c>
      <c r="G17" s="44">
        <v>-50.02340576</v>
      </c>
      <c r="H17" s="44">
        <v>-50.97765135999998</v>
      </c>
      <c r="I17" s="44">
        <v>0</v>
      </c>
    </row>
    <row r="18" spans="1:9" ht="15">
      <c r="A18" s="41" t="str">
        <f>HLOOKUP(INDICE!$F$2,Nombres!$C$3:$D$636,43,FALSE)</f>
        <v>Margen neto</v>
      </c>
      <c r="B18" s="41">
        <f aca="true" t="shared" si="1" ref="B18:I18">+B12+B13</f>
        <v>-215.13762092999988</v>
      </c>
      <c r="C18" s="41">
        <f t="shared" si="1"/>
        <v>-31.392303199999873</v>
      </c>
      <c r="D18" s="41">
        <f t="shared" si="1"/>
        <v>-151.53972455000007</v>
      </c>
      <c r="E18" s="42">
        <f t="shared" si="1"/>
        <v>-208.97881607999997</v>
      </c>
      <c r="F18" s="50">
        <f t="shared" si="1"/>
        <v>-266.37173157</v>
      </c>
      <c r="G18" s="50">
        <f t="shared" si="1"/>
        <v>-272.34430569000006</v>
      </c>
      <c r="H18" s="50">
        <f t="shared" si="1"/>
        <v>-198.67928603999985</v>
      </c>
      <c r="I18" s="50">
        <f t="shared" si="1"/>
        <v>0</v>
      </c>
    </row>
    <row r="19" spans="1:9" ht="15">
      <c r="A19" s="87" t="str">
        <f>HLOOKUP(INDICE!$F$2,Nombres!$C$3:$D$636,44,FALSE)</f>
        <v>Deterioro de activos financieros no valorados a valor razonable con cambios en resultados</v>
      </c>
      <c r="B19" s="44">
        <v>-0.0005037100000000374</v>
      </c>
      <c r="C19" s="44">
        <v>0.21530097000000006</v>
      </c>
      <c r="D19" s="44">
        <v>-1.9158636999999998</v>
      </c>
      <c r="E19" s="45">
        <v>0.08115558999999997</v>
      </c>
      <c r="F19" s="44">
        <v>0.74507893</v>
      </c>
      <c r="G19" s="44">
        <v>0.2867402399999999</v>
      </c>
      <c r="H19" s="44">
        <v>-2.0790838899999997</v>
      </c>
      <c r="I19" s="44">
        <v>0</v>
      </c>
    </row>
    <row r="20" spans="1:9" ht="15">
      <c r="A20" s="87" t="str">
        <f>HLOOKUP(INDICE!$F$2,Nombres!$C$3:$D$636,45,FALSE)</f>
        <v>Provisiones o reversión de provisiones y otros resultados</v>
      </c>
      <c r="B20" s="44">
        <v>8.92527120999998</v>
      </c>
      <c r="C20" s="44">
        <v>-27.99695481000005</v>
      </c>
      <c r="D20" s="44">
        <v>5.617522000000079</v>
      </c>
      <c r="E20" s="45">
        <v>45.00950525999991</v>
      </c>
      <c r="F20" s="44">
        <v>10.601688679999999</v>
      </c>
      <c r="G20" s="44">
        <v>-5.445604379999987</v>
      </c>
      <c r="H20" s="44">
        <v>-8.048658459999901</v>
      </c>
      <c r="I20" s="44">
        <v>0</v>
      </c>
    </row>
    <row r="21" spans="1:9" ht="15">
      <c r="A21" s="89" t="str">
        <f>HLOOKUP(INDICE!$F$2,Nombres!$C$3:$D$636,46,FALSE)</f>
        <v>Resultado antes de impuestos</v>
      </c>
      <c r="B21" s="41">
        <f aca="true" t="shared" si="2" ref="B21:I21">+B18+B19+B20</f>
        <v>-206.2128534299999</v>
      </c>
      <c r="C21" s="41">
        <f t="shared" si="2"/>
        <v>-59.17395703999992</v>
      </c>
      <c r="D21" s="41">
        <f t="shared" si="2"/>
        <v>-147.83806625</v>
      </c>
      <c r="E21" s="42">
        <f t="shared" si="2"/>
        <v>-163.88815523000005</v>
      </c>
      <c r="F21" s="50">
        <f t="shared" si="2"/>
        <v>-255.02496396000004</v>
      </c>
      <c r="G21" s="50">
        <f t="shared" si="2"/>
        <v>-277.50316983000005</v>
      </c>
      <c r="H21" s="50">
        <f t="shared" si="2"/>
        <v>-208.80702838999974</v>
      </c>
      <c r="I21" s="50">
        <f t="shared" si="2"/>
        <v>0</v>
      </c>
    </row>
    <row r="22" spans="1:9" ht="15">
      <c r="A22" s="43" t="str">
        <f>HLOOKUP(INDICE!$F$2,Nombres!$C$3:$D$636,47,FALSE)</f>
        <v>Impuesto sobre beneficios</v>
      </c>
      <c r="B22" s="44">
        <v>6.297463619999993</v>
      </c>
      <c r="C22" s="44">
        <v>-6.61688129000008</v>
      </c>
      <c r="D22" s="44">
        <v>27.57428082999996</v>
      </c>
      <c r="E22" s="45">
        <v>48.55661930000005</v>
      </c>
      <c r="F22" s="44">
        <v>45.859160960000004</v>
      </c>
      <c r="G22" s="44">
        <v>248.33526006</v>
      </c>
      <c r="H22" s="44">
        <v>-126.46344140000004</v>
      </c>
      <c r="I22" s="44">
        <v>0</v>
      </c>
    </row>
    <row r="23" spans="1:9" ht="15">
      <c r="A23" s="41" t="str">
        <f>HLOOKUP(INDICE!$F$2,Nombres!$C$3:$D$636,48,FALSE)</f>
        <v>Resultado del ejercicio</v>
      </c>
      <c r="B23" s="41">
        <f aca="true" t="shared" si="3" ref="B23:I23">+B21+B22</f>
        <v>-199.9153898099999</v>
      </c>
      <c r="C23" s="41">
        <f t="shared" si="3"/>
        <v>-65.79083833</v>
      </c>
      <c r="D23" s="41">
        <f t="shared" si="3"/>
        <v>-120.26378542000003</v>
      </c>
      <c r="E23" s="42">
        <f t="shared" si="3"/>
        <v>-115.33153593</v>
      </c>
      <c r="F23" s="50">
        <f t="shared" si="3"/>
        <v>-209.16580300000004</v>
      </c>
      <c r="G23" s="50">
        <f t="shared" si="3"/>
        <v>-29.16790977000005</v>
      </c>
      <c r="H23" s="50">
        <f t="shared" si="3"/>
        <v>-335.27046978999977</v>
      </c>
      <c r="I23" s="50">
        <f t="shared" si="3"/>
        <v>0</v>
      </c>
    </row>
    <row r="24" spans="1:9" ht="15">
      <c r="A24" s="43" t="str">
        <f>HLOOKUP(INDICE!$F$2,Nombres!$C$3:$D$636,49,FALSE)</f>
        <v>Minoritarios</v>
      </c>
      <c r="B24" s="44">
        <v>-0.6575781699999999</v>
      </c>
      <c r="C24" s="44">
        <v>-4.24266055</v>
      </c>
      <c r="D24" s="44">
        <v>-10.528699010000002</v>
      </c>
      <c r="E24" s="45">
        <v>-4.820760240000003</v>
      </c>
      <c r="F24" s="44">
        <v>-6.266600769999999</v>
      </c>
      <c r="G24" s="44">
        <v>14.166734980000003</v>
      </c>
      <c r="H24" s="44">
        <v>-0.42464304</v>
      </c>
      <c r="I24" s="44">
        <v>0</v>
      </c>
    </row>
    <row r="25" spans="1:9" ht="15">
      <c r="A25" s="47" t="str">
        <f>HLOOKUP(INDICE!$F$2,Nombres!$C$3:$D$636,305,FALSE)</f>
        <v>Resultado atribuido excluyendo impactos no recurrentes</v>
      </c>
      <c r="B25" s="47">
        <f aca="true" t="shared" si="4" ref="B25:I25">+B23+B24</f>
        <v>-200.5729679799999</v>
      </c>
      <c r="C25" s="47">
        <f t="shared" si="4"/>
        <v>-70.03349888</v>
      </c>
      <c r="D25" s="47">
        <f t="shared" si="4"/>
        <v>-130.79248443000003</v>
      </c>
      <c r="E25" s="47">
        <f t="shared" si="4"/>
        <v>-120.15229617</v>
      </c>
      <c r="F25" s="47">
        <f t="shared" si="4"/>
        <v>-215.43240377000004</v>
      </c>
      <c r="G25" s="47">
        <f t="shared" si="4"/>
        <v>-15.001174790000048</v>
      </c>
      <c r="H25" s="47">
        <f t="shared" si="4"/>
        <v>-335.69511282999974</v>
      </c>
      <c r="I25" s="47">
        <f t="shared" si="4"/>
        <v>0</v>
      </c>
    </row>
    <row r="26" spans="1:9" ht="15">
      <c r="A26" s="41" t="str">
        <f>HLOOKUP(INDICE!$F$2,Nombres!$C$3:$D$636,318,FALSE)</f>
        <v>Operaciones Corporativas e Interrumpidas</v>
      </c>
      <c r="B26" s="198">
        <f>+B27++B28</f>
        <v>177.04100000000003</v>
      </c>
      <c r="C26" s="198">
        <f aca="true" t="shared" si="5" ref="C26:I26">+C27++C28</f>
        <v>-593.0077980200002</v>
      </c>
      <c r="D26" s="198">
        <f t="shared" si="5"/>
        <v>0</v>
      </c>
      <c r="E26" s="42">
        <f t="shared" si="5"/>
        <v>-9.999999184273634E-07</v>
      </c>
      <c r="F26" s="198">
        <f t="shared" si="5"/>
        <v>0</v>
      </c>
      <c r="G26" s="198">
        <f t="shared" si="5"/>
        <v>0</v>
      </c>
      <c r="H26" s="198">
        <f t="shared" si="5"/>
        <v>0</v>
      </c>
      <c r="I26" s="198">
        <f t="shared" si="5"/>
        <v>0</v>
      </c>
    </row>
    <row r="27" spans="1:9" ht="15">
      <c r="A27" s="43" t="str">
        <f>HLOOKUP(INDICE!$F$2,Nombres!$C$3:$D$636,306,FALSE)</f>
        <v>Resultado después de impuestos de operaciones interrumpidas (1)</v>
      </c>
      <c r="B27" s="44">
        <v>177.04100000000003</v>
      </c>
      <c r="C27" s="44">
        <v>102.65999999999976</v>
      </c>
      <c r="D27" s="44">
        <v>0</v>
      </c>
      <c r="E27" s="45">
        <v>-9.999999184273634E-07</v>
      </c>
      <c r="F27" s="44">
        <v>0</v>
      </c>
      <c r="G27" s="44">
        <v>0</v>
      </c>
      <c r="H27" s="44">
        <v>0</v>
      </c>
      <c r="I27" s="44">
        <v>0</v>
      </c>
    </row>
    <row r="28" spans="1:9" ht="15">
      <c r="A28" s="43" t="str">
        <f>HLOOKUP(INDICE!$F$2,Nombres!$C$3:$D$636,308,FALSE)</f>
        <v>Costes netos asociados al proceso de reestructuración</v>
      </c>
      <c r="B28" s="44">
        <v>0</v>
      </c>
      <c r="C28" s="44">
        <v>-695.66779802</v>
      </c>
      <c r="D28" s="44">
        <v>0</v>
      </c>
      <c r="E28" s="45">
        <v>0</v>
      </c>
      <c r="F28" s="44">
        <v>0</v>
      </c>
      <c r="G28" s="44">
        <v>0</v>
      </c>
      <c r="H28" s="44">
        <v>0</v>
      </c>
      <c r="I28" s="44">
        <v>0</v>
      </c>
    </row>
    <row r="29" spans="1:9" ht="15">
      <c r="A29" s="47" t="str">
        <f>HLOOKUP(INDICE!$F$2,Nombres!$C$3:$D$636,50,FALSE)</f>
        <v>Resultado atribuido</v>
      </c>
      <c r="B29" s="47">
        <f aca="true" t="shared" si="6" ref="B29:I29">+B25+B26</f>
        <v>-23.531967979999877</v>
      </c>
      <c r="C29" s="47">
        <f t="shared" si="6"/>
        <v>-663.0412969000002</v>
      </c>
      <c r="D29" s="47">
        <f t="shared" si="6"/>
        <v>-130.79248443000003</v>
      </c>
      <c r="E29" s="47">
        <f t="shared" si="6"/>
        <v>-120.15229716999991</v>
      </c>
      <c r="F29" s="47">
        <f t="shared" si="6"/>
        <v>-215.43240377000004</v>
      </c>
      <c r="G29" s="47">
        <f t="shared" si="6"/>
        <v>-15.001174790000048</v>
      </c>
      <c r="H29" s="47">
        <f t="shared" si="6"/>
        <v>-335.69511282999974</v>
      </c>
      <c r="I29" s="47">
        <f t="shared" si="6"/>
        <v>0</v>
      </c>
    </row>
    <row r="30" spans="1:9" ht="15">
      <c r="A30" s="274" t="s">
        <v>5</v>
      </c>
      <c r="B30" s="44"/>
      <c r="C30" s="44"/>
      <c r="D30" s="44"/>
      <c r="E30" s="44"/>
      <c r="F30" s="44"/>
      <c r="G30" s="44"/>
      <c r="H30" s="44"/>
      <c r="I30" s="44"/>
    </row>
    <row r="31" spans="1:9" ht="15">
      <c r="A31" s="312" t="str">
        <f>HLOOKUP(INDICE!$F$2,Nombres!$C$3:$D$636,312,FALSE)</f>
        <v>(1) Incluen los resultados generados por BBVA USA y el resto de sociedades de EEUU vendidas a PNC el 1 de junio de 2021</v>
      </c>
      <c r="B31" s="312"/>
      <c r="C31" s="312"/>
      <c r="D31" s="312"/>
      <c r="E31" s="312"/>
      <c r="F31" s="312"/>
      <c r="G31" s="312"/>
      <c r="H31" s="312"/>
      <c r="I31" s="312"/>
    </row>
    <row r="32" spans="1:9" ht="14.25" customHeight="1">
      <c r="A32" s="312"/>
      <c r="B32" s="312"/>
      <c r="C32" s="312"/>
      <c r="D32" s="312"/>
      <c r="E32" s="312"/>
      <c r="F32" s="312"/>
      <c r="G32" s="312"/>
      <c r="H32" s="312"/>
      <c r="I32" s="312"/>
    </row>
    <row r="33" spans="1:9" ht="14.25" customHeight="1">
      <c r="A33" s="41"/>
      <c r="B33" s="63">
        <v>0</v>
      </c>
      <c r="C33" s="63">
        <v>3.552713678800501E-13</v>
      </c>
      <c r="D33" s="63">
        <v>0</v>
      </c>
      <c r="E33" s="63">
        <v>0</v>
      </c>
      <c r="F33" s="63">
        <v>0</v>
      </c>
      <c r="G33" s="63">
        <v>1.723066134218243E-13</v>
      </c>
      <c r="H33" s="63">
        <v>0</v>
      </c>
      <c r="I33" s="63">
        <v>0</v>
      </c>
    </row>
    <row r="34" spans="1:9" ht="15">
      <c r="A34" s="41"/>
      <c r="B34" s="41"/>
      <c r="C34" s="41"/>
      <c r="D34" s="41"/>
      <c r="E34" s="41"/>
      <c r="F34" s="41"/>
      <c r="G34" s="41"/>
      <c r="H34" s="41"/>
      <c r="I34" s="41"/>
    </row>
    <row r="35" spans="1:9" ht="18">
      <c r="A35" s="92" t="str">
        <f>HLOOKUP(INDICE!$F$2,Nombres!$C$3:$D$636,51,FALSE)</f>
        <v>Balances</v>
      </c>
      <c r="B35" s="34"/>
      <c r="C35" s="34"/>
      <c r="D35" s="34"/>
      <c r="E35" s="34"/>
      <c r="F35" s="80"/>
      <c r="G35" s="80"/>
      <c r="H35" s="80"/>
      <c r="I35" s="80"/>
    </row>
    <row r="36" spans="1:9" ht="15">
      <c r="A36" s="83" t="str">
        <f>HLOOKUP(INDICE!$F$2,Nombres!$C$3:$D$636,32,FALSE)</f>
        <v>(Millones de euros)</v>
      </c>
      <c r="B36" s="30"/>
      <c r="C36" s="52"/>
      <c r="D36" s="52"/>
      <c r="E36" s="52"/>
      <c r="F36" s="78"/>
      <c r="G36" s="76"/>
      <c r="H36" s="76"/>
      <c r="I36" s="76"/>
    </row>
    <row r="37" spans="1:9" ht="15.75">
      <c r="A37" s="30"/>
      <c r="B37" s="53">
        <f>+España!B32</f>
        <v>44286</v>
      </c>
      <c r="C37" s="53">
        <f>+España!C32</f>
        <v>44377</v>
      </c>
      <c r="D37" s="53">
        <f>+España!D32</f>
        <v>44469</v>
      </c>
      <c r="E37" s="67">
        <f>+España!E32</f>
        <v>44561</v>
      </c>
      <c r="F37" s="53">
        <f>+España!F32</f>
        <v>44651</v>
      </c>
      <c r="G37" s="53">
        <f>+España!G32</f>
        <v>44742</v>
      </c>
      <c r="H37" s="53">
        <f>+España!H32</f>
        <v>44834</v>
      </c>
      <c r="I37" s="53">
        <f>+España!I32</f>
        <v>44926</v>
      </c>
    </row>
    <row r="38" spans="1:9" ht="15">
      <c r="A38" s="87" t="str">
        <f>HLOOKUP(INDICE!$F$2,Nombres!$C$3:$D$636,52,FALSE)</f>
        <v>Efectivo, saldos en efectivo en bancos centrales y otros depósitos a la vista</v>
      </c>
      <c r="B38" s="44">
        <v>923.0540970000001</v>
      </c>
      <c r="C38" s="44">
        <v>10200.758577</v>
      </c>
      <c r="D38" s="44">
        <v>10188.903583</v>
      </c>
      <c r="E38" s="45">
        <v>9609.331895000001</v>
      </c>
      <c r="F38" s="44">
        <v>8607.665282</v>
      </c>
      <c r="G38" s="44">
        <v>6308.679373</v>
      </c>
      <c r="H38" s="44">
        <v>876.1439949999999</v>
      </c>
      <c r="I38" s="44">
        <v>0</v>
      </c>
    </row>
    <row r="39" spans="1:9" ht="15">
      <c r="A39" s="87" t="str">
        <f>HLOOKUP(INDICE!$F$2,Nombres!$C$3:$D$636,53,FALSE)</f>
        <v>Activos financieros a valor razonable</v>
      </c>
      <c r="B39" s="58">
        <v>1679.5687306799998</v>
      </c>
      <c r="C39" s="58">
        <v>1902.8554403500002</v>
      </c>
      <c r="D39" s="58">
        <v>2057.83634224</v>
      </c>
      <c r="E39" s="64">
        <v>2098.75175648</v>
      </c>
      <c r="F39" s="58">
        <v>2680.3512664500004</v>
      </c>
      <c r="G39" s="58">
        <v>2810.71222701</v>
      </c>
      <c r="H39" s="58">
        <v>2590.5027934299997</v>
      </c>
      <c r="I39" s="58">
        <v>0</v>
      </c>
    </row>
    <row r="40" spans="1:9" ht="15">
      <c r="A40" s="43" t="str">
        <f>HLOOKUP(INDICE!$F$2,Nombres!$C$3:$D$636,54,FALSE)</f>
        <v>Activos financieros a coste amortizado</v>
      </c>
      <c r="B40" s="44">
        <v>1782.386904</v>
      </c>
      <c r="C40" s="44">
        <v>1659.8399540000003</v>
      </c>
      <c r="D40" s="44">
        <v>1576.592776</v>
      </c>
      <c r="E40" s="45">
        <v>2175.279227</v>
      </c>
      <c r="F40" s="44">
        <v>1331.3924880000002</v>
      </c>
      <c r="G40" s="44">
        <v>1044.3898099999997</v>
      </c>
      <c r="H40" s="44">
        <v>2160.4580990000004</v>
      </c>
      <c r="I40" s="44">
        <v>0</v>
      </c>
    </row>
    <row r="41" spans="1:9" ht="15">
      <c r="A41" s="87" t="str">
        <f>HLOOKUP(INDICE!$F$2,Nombres!$C$3:$D$636,55,FALSE)</f>
        <v>    de los que préstamos y anticipos a la clientela</v>
      </c>
      <c r="B41" s="44">
        <v>668.745147</v>
      </c>
      <c r="C41" s="44">
        <v>574.594015</v>
      </c>
      <c r="D41" s="44">
        <v>170.45725200000007</v>
      </c>
      <c r="E41" s="45">
        <v>1005.9331770000002</v>
      </c>
      <c r="F41" s="44">
        <v>500.6690739999999</v>
      </c>
      <c r="G41" s="44">
        <v>343.35233</v>
      </c>
      <c r="H41" s="44">
        <v>160.81776000000002</v>
      </c>
      <c r="I41" s="44">
        <v>0</v>
      </c>
    </row>
    <row r="42" spans="1:9" ht="15">
      <c r="A42" s="87" t="str">
        <f>HLOOKUP(INDICE!$F$2,Nombres!$C$3:$D$636,121,FALSE)</f>
        <v>Posiciones inter-áreas activo</v>
      </c>
      <c r="B42" s="44">
        <v>-3.3190022804774344E-05</v>
      </c>
      <c r="C42" s="44">
        <v>-8.197998977266252E-05</v>
      </c>
      <c r="D42" s="44">
        <v>-7.164000999182463E-05</v>
      </c>
      <c r="E42" s="45">
        <v>0.00043695000204024836</v>
      </c>
      <c r="F42" s="44">
        <v>-0.002000020002014935</v>
      </c>
      <c r="G42" s="44">
        <v>0</v>
      </c>
      <c r="H42" s="44">
        <v>-0.00013718999980483204</v>
      </c>
      <c r="I42" s="44">
        <v>0</v>
      </c>
    </row>
    <row r="43" spans="1:9" ht="15">
      <c r="A43" s="43" t="str">
        <f>HLOOKUP(INDICE!$F$2,Nombres!$C$3:$D$636,56,FALSE)</f>
        <v>Activos tangibles</v>
      </c>
      <c r="B43" s="44">
        <v>2038.8515439999999</v>
      </c>
      <c r="C43" s="44">
        <v>2019.6463440000002</v>
      </c>
      <c r="D43" s="44">
        <v>1988.1729079999998</v>
      </c>
      <c r="E43" s="45">
        <v>1963.5125279999997</v>
      </c>
      <c r="F43" s="44">
        <v>1914.4294419999999</v>
      </c>
      <c r="G43" s="44">
        <v>1898.1821545</v>
      </c>
      <c r="H43" s="44">
        <v>1888.47180774</v>
      </c>
      <c r="I43" s="44">
        <v>0</v>
      </c>
    </row>
    <row r="44" spans="1:9" ht="15.75" customHeight="1">
      <c r="A44" s="87" t="str">
        <f>HLOOKUP(INDICE!$F$2,Nombres!$C$3:$D$636,57,FALSE)</f>
        <v>Otros activos</v>
      </c>
      <c r="B44" s="44">
        <v>102929.1403548</v>
      </c>
      <c r="C44" s="44">
        <v>15358.58276591</v>
      </c>
      <c r="D44" s="44">
        <v>15307.8097385</v>
      </c>
      <c r="E44" s="45">
        <v>14987.669017239996</v>
      </c>
      <c r="F44" s="44">
        <v>14769.27883025</v>
      </c>
      <c r="G44" s="44">
        <v>14040.610875279997</v>
      </c>
      <c r="H44" s="44">
        <v>13992.462842140003</v>
      </c>
      <c r="I44" s="44">
        <v>0</v>
      </c>
    </row>
    <row r="45" spans="1:9" ht="15">
      <c r="A45" s="90" t="str">
        <f>HLOOKUP(INDICE!$F$2,Nombres!$C$3:$D$636,58,FALSE)</f>
        <v>Total activo / pasivo</v>
      </c>
      <c r="B45" s="51">
        <f aca="true" t="shared" si="7" ref="B45:I45">+B38+B39+B40+B42+B43+B44</f>
        <v>109353.00159728997</v>
      </c>
      <c r="C45" s="51">
        <f t="shared" si="7"/>
        <v>31141.682999280012</v>
      </c>
      <c r="D45" s="51">
        <f t="shared" si="7"/>
        <v>31119.315276099987</v>
      </c>
      <c r="E45" s="79">
        <f t="shared" si="7"/>
        <v>30834.54486067</v>
      </c>
      <c r="F45" s="51">
        <f t="shared" si="7"/>
        <v>29303.115308679997</v>
      </c>
      <c r="G45" s="51">
        <f t="shared" si="7"/>
        <v>26102.574439789998</v>
      </c>
      <c r="H45" s="51">
        <f t="shared" si="7"/>
        <v>21508.039400120004</v>
      </c>
      <c r="I45" s="51">
        <f t="shared" si="7"/>
        <v>0</v>
      </c>
    </row>
    <row r="46" spans="1:9" ht="15">
      <c r="A46" s="87" t="str">
        <f>HLOOKUP(INDICE!$F$2,Nombres!$C$3:$D$636,59,FALSE)</f>
        <v>Pasivos financieros mantenidos para negociar y designados a valor razonable con cambios en resultados</v>
      </c>
      <c r="B46" s="44">
        <v>60.11018</v>
      </c>
      <c r="C46" s="44">
        <v>7.505911</v>
      </c>
      <c r="D46" s="44">
        <v>8.221091999999999</v>
      </c>
      <c r="E46" s="45">
        <v>83.911289</v>
      </c>
      <c r="F46" s="44">
        <v>136.73259699999997</v>
      </c>
      <c r="G46" s="44">
        <v>187.53462199999998</v>
      </c>
      <c r="H46" s="44">
        <v>251.74170099999998</v>
      </c>
      <c r="I46" s="44">
        <v>0</v>
      </c>
    </row>
    <row r="47" spans="1:9" ht="15">
      <c r="A47" s="87" t="str">
        <f>HLOOKUP(INDICE!$F$2,Nombres!$C$3:$D$636,60,FALSE)</f>
        <v>Depósitos de bancos centrales y entidades de crédito</v>
      </c>
      <c r="B47" s="44">
        <v>858.9708349999999</v>
      </c>
      <c r="C47" s="44">
        <v>829.7628249999999</v>
      </c>
      <c r="D47" s="44">
        <v>846.6208490000001</v>
      </c>
      <c r="E47" s="45">
        <v>825.2378679999999</v>
      </c>
      <c r="F47" s="44">
        <v>762.66485</v>
      </c>
      <c r="G47" s="44">
        <v>778.6539009999999</v>
      </c>
      <c r="H47" s="44">
        <v>838.344961</v>
      </c>
      <c r="I47" s="44">
        <v>0</v>
      </c>
    </row>
    <row r="48" spans="1:9" ht="15">
      <c r="A48" s="87" t="str">
        <f>HLOOKUP(INDICE!$F$2,Nombres!$C$3:$D$636,61,FALSE)</f>
        <v>Depósitos de la clientela</v>
      </c>
      <c r="B48" s="44">
        <v>176.72810500000003</v>
      </c>
      <c r="C48" s="44">
        <v>172.892991</v>
      </c>
      <c r="D48" s="44">
        <v>179.817772</v>
      </c>
      <c r="E48" s="45">
        <v>175.186462</v>
      </c>
      <c r="F48" s="44">
        <v>181.94271200000003</v>
      </c>
      <c r="G48" s="44">
        <v>191.028443</v>
      </c>
      <c r="H48" s="44">
        <v>185.217964</v>
      </c>
      <c r="I48" s="44">
        <v>0</v>
      </c>
    </row>
    <row r="49" spans="1:9" ht="15">
      <c r="A49" s="43" t="str">
        <f>HLOOKUP(INDICE!$F$2,Nombres!$C$3:$D$636,62,FALSE)</f>
        <v>Valores representativos de deuda emitidos</v>
      </c>
      <c r="B49" s="44">
        <v>3383.1166194999996</v>
      </c>
      <c r="C49" s="44">
        <v>1882.2815563500014</v>
      </c>
      <c r="D49" s="44">
        <v>1602.5345271900005</v>
      </c>
      <c r="E49" s="45">
        <v>1556.3347012199997</v>
      </c>
      <c r="F49" s="44">
        <v>946.7578466500006</v>
      </c>
      <c r="G49" s="44">
        <v>-530.5565864599987</v>
      </c>
      <c r="H49" s="44">
        <v>-791.7168418800004</v>
      </c>
      <c r="I49" s="44">
        <v>0</v>
      </c>
    </row>
    <row r="50" spans="1:9" ht="15">
      <c r="A50" s="87" t="str">
        <f>HLOOKUP(INDICE!$F$2,Nombres!$C$3:$D$636,122,FALSE)</f>
        <v>Posiciones inter-áreas pasivo</v>
      </c>
      <c r="B50" s="44">
        <v>495.9309749699896</v>
      </c>
      <c r="C50" s="44">
        <v>6842.252097389999</v>
      </c>
      <c r="D50" s="44">
        <v>7279.647209580005</v>
      </c>
      <c r="E50" s="45">
        <v>7758.0316279200015</v>
      </c>
      <c r="F50" s="44">
        <v>9620.769197000001</v>
      </c>
      <c r="G50" s="44">
        <v>12047.442375209997</v>
      </c>
      <c r="H50" s="44">
        <v>7350.719262710016</v>
      </c>
      <c r="I50" s="44">
        <v>0</v>
      </c>
    </row>
    <row r="51" spans="1:9" ht="15">
      <c r="A51" s="43" t="str">
        <f>HLOOKUP(INDICE!$F$2,Nombres!$C$3:$D$636,63,FALSE)</f>
        <v>Otros pasivos</v>
      </c>
      <c r="B51" s="44">
        <f aca="true" t="shared" si="8" ref="B51:I51">+B45-B46-B47-B48-B49-B50-B53-B52</f>
        <v>87417.90448341999</v>
      </c>
      <c r="C51" s="44">
        <f t="shared" si="8"/>
        <v>5871.239806230009</v>
      </c>
      <c r="D51" s="44">
        <f t="shared" si="8"/>
        <v>6101.589289949992</v>
      </c>
      <c r="E51" s="45">
        <f t="shared" si="8"/>
        <v>6932.245405690006</v>
      </c>
      <c r="F51" s="44">
        <f t="shared" si="8"/>
        <v>6929.690586259992</v>
      </c>
      <c r="G51" s="44">
        <f t="shared" si="8"/>
        <v>5014.571567630002</v>
      </c>
      <c r="H51" s="44">
        <f t="shared" si="8"/>
        <v>4546.1762586800105</v>
      </c>
      <c r="I51" s="44">
        <f t="shared" si="8"/>
        <v>0</v>
      </c>
    </row>
    <row r="52" spans="1:9" ht="15">
      <c r="A52" s="43" t="str">
        <f>HLOOKUP(INDICE!$F$2,Nombres!$C$3:$D$636,282,FALSE)</f>
        <v>Dotación de capital regulatorio</v>
      </c>
      <c r="B52" s="44">
        <f>-España!B47-Mexico!B45-Turquia!B45-AdS!B45-'Resto de Negocios'!B45</f>
        <v>-33751.051601600004</v>
      </c>
      <c r="C52" s="44">
        <f>-España!C47-Mexico!C45-Turquia!C45-AdS!C45-'Resto de Negocios'!C45</f>
        <v>-34408.42119170001</v>
      </c>
      <c r="D52" s="44">
        <f>-España!D47-Mexico!D45-Turquia!D45-AdS!D45-'Resto de Negocios'!D45</f>
        <v>-35466.03845661</v>
      </c>
      <c r="E52" s="45">
        <f>-España!E47-Mexico!E45-Turquia!E45-AdS!E45-'Resto de Negocios'!E45</f>
        <v>-35256.52048911</v>
      </c>
      <c r="F52" s="44">
        <f>-España!F47-Mexico!F45-Turquia!F45-AdS!F45-'Resto de Negocios'!F45</f>
        <v>-37900.644049639996</v>
      </c>
      <c r="G52" s="44">
        <f>-España!G47-Mexico!G45-Turquia!G45-AdS!G45-'Resto de Negocios'!G45</f>
        <v>-40379.05744986</v>
      </c>
      <c r="H52" s="44">
        <f>-España!H47-Mexico!H45-Turquia!H45-AdS!H45-'Resto de Negocios'!H45</f>
        <v>-40769.032487309996</v>
      </c>
      <c r="I52" s="44">
        <f>-España!I47-Mexico!I45-Turquia!I45-AdS!I45-'Resto de Negocios'!I45</f>
        <v>0</v>
      </c>
    </row>
    <row r="53" spans="1:9" ht="15">
      <c r="A53" s="87" t="str">
        <f>HLOOKUP(INDICE!$F$2,Nombres!$C$3:$D$636,150,FALSE)</f>
        <v>Patrimonio neto</v>
      </c>
      <c r="B53" s="44">
        <v>50711.292001</v>
      </c>
      <c r="C53" s="44">
        <v>49944.16900401001</v>
      </c>
      <c r="D53" s="44">
        <v>50566.92299298999</v>
      </c>
      <c r="E53" s="45">
        <v>48760.11799594999</v>
      </c>
      <c r="F53" s="44">
        <v>48625.20156941</v>
      </c>
      <c r="G53" s="44">
        <v>48792.95756727</v>
      </c>
      <c r="H53" s="44">
        <v>49896.588581919976</v>
      </c>
      <c r="I53" s="44">
        <v>0</v>
      </c>
    </row>
    <row r="54" spans="1:9" ht="15">
      <c r="A54" s="43"/>
      <c r="B54" s="58"/>
      <c r="C54" s="58"/>
      <c r="D54" s="58"/>
      <c r="E54" s="58"/>
      <c r="F54" s="58"/>
      <c r="G54" s="58"/>
      <c r="H54" s="58"/>
      <c r="I54" s="58"/>
    </row>
    <row r="55" spans="1:9" ht="15">
      <c r="A55" s="43"/>
      <c r="B55" s="58"/>
      <c r="C55" s="58"/>
      <c r="D55" s="58"/>
      <c r="E55" s="58"/>
      <c r="F55" s="58"/>
      <c r="G55" s="58"/>
      <c r="H55" s="58"/>
      <c r="I55" s="58"/>
    </row>
    <row r="56" spans="1:9" ht="15">
      <c r="A56" s="43"/>
      <c r="B56" s="58"/>
      <c r="C56" s="58"/>
      <c r="D56" s="58"/>
      <c r="E56" s="58"/>
      <c r="F56" s="44"/>
      <c r="G56" s="44"/>
      <c r="H56" s="44"/>
      <c r="I56" s="44"/>
    </row>
    <row r="57" spans="1:9" ht="15">
      <c r="A57" s="43"/>
      <c r="B57" s="30"/>
      <c r="C57" s="275"/>
      <c r="D57" s="30"/>
      <c r="E57" s="30"/>
      <c r="F57" s="69"/>
      <c r="G57" s="44"/>
      <c r="H57" s="44"/>
      <c r="I57" s="44"/>
    </row>
    <row r="58" spans="1:9" ht="15.75">
      <c r="A58" s="43"/>
      <c r="B58" s="30"/>
      <c r="C58" s="53"/>
      <c r="D58" s="53"/>
      <c r="E58" s="53"/>
      <c r="F58" s="53"/>
      <c r="G58" s="53"/>
      <c r="H58" s="53"/>
      <c r="I58" s="53"/>
    </row>
    <row r="59" spans="1:9" ht="15">
      <c r="A59" s="43"/>
      <c r="B59" s="44"/>
      <c r="C59" s="44"/>
      <c r="D59" s="44"/>
      <c r="E59" s="44"/>
      <c r="F59" s="44"/>
      <c r="G59" s="44"/>
      <c r="H59" s="44"/>
      <c r="I59" s="44"/>
    </row>
    <row r="60" spans="1:9" ht="15">
      <c r="A60" s="41"/>
      <c r="B60" s="44"/>
      <c r="C60" s="44"/>
      <c r="D60" s="44"/>
      <c r="E60" s="44"/>
      <c r="F60" s="44"/>
      <c r="G60" s="44"/>
      <c r="H60" s="44"/>
      <c r="I60" s="44"/>
    </row>
    <row r="61" spans="1:9" ht="15">
      <c r="A61" s="43"/>
      <c r="B61" s="44"/>
      <c r="C61" s="44"/>
      <c r="D61" s="44"/>
      <c r="E61" s="44"/>
      <c r="F61" s="44"/>
      <c r="G61" s="44"/>
      <c r="H61" s="44"/>
      <c r="I61" s="44"/>
    </row>
    <row r="62" spans="1:9" ht="15">
      <c r="A62" s="43"/>
      <c r="B62" s="44"/>
      <c r="D62" s="44"/>
      <c r="E62" s="44"/>
      <c r="F62" s="44"/>
      <c r="G62" s="44"/>
      <c r="H62" s="44"/>
      <c r="I62" s="44"/>
    </row>
    <row r="63" spans="1:9" ht="15">
      <c r="A63" s="43"/>
      <c r="B63" s="44"/>
      <c r="D63" s="44"/>
      <c r="E63" s="44"/>
      <c r="F63" s="44"/>
      <c r="G63" s="44"/>
      <c r="H63" s="44"/>
      <c r="I63" s="44"/>
    </row>
    <row r="64" spans="1:9" ht="15">
      <c r="A64" s="62"/>
      <c r="B64" s="58"/>
      <c r="D64" s="58"/>
      <c r="E64" s="58"/>
      <c r="F64" s="44"/>
      <c r="G64" s="44"/>
      <c r="H64" s="44"/>
      <c r="I64" s="44"/>
    </row>
    <row r="65" spans="1:9" ht="15">
      <c r="A65" s="62"/>
      <c r="B65" s="58"/>
      <c r="D65" s="30"/>
      <c r="E65" s="30"/>
      <c r="F65" s="69"/>
      <c r="G65" s="69"/>
      <c r="H65" s="69"/>
      <c r="I65" s="69"/>
    </row>
    <row r="66" spans="1:9" ht="15">
      <c r="A66" s="62"/>
      <c r="B66" s="58"/>
      <c r="D66" s="30"/>
      <c r="E66" s="30"/>
      <c r="F66" s="69"/>
      <c r="G66" s="69"/>
      <c r="H66" s="69"/>
      <c r="I66" s="69"/>
    </row>
    <row r="67" spans="2:9" ht="15">
      <c r="B67" s="54"/>
      <c r="C67" s="54"/>
      <c r="D67" s="54"/>
      <c r="E67" s="73"/>
      <c r="F67" s="93"/>
      <c r="G67" s="81"/>
      <c r="H67" s="81"/>
      <c r="I67" s="81"/>
    </row>
    <row r="68" spans="2:9" ht="15">
      <c r="B68" s="54"/>
      <c r="F68" s="81"/>
      <c r="G68" s="81"/>
      <c r="H68" s="81"/>
      <c r="I68" s="81"/>
    </row>
    <row r="69" spans="2:9" ht="15">
      <c r="B69" s="54"/>
      <c r="F69" s="81"/>
      <c r="G69" s="81"/>
      <c r="H69" s="81"/>
      <c r="I69" s="81"/>
    </row>
    <row r="70" spans="2:9" ht="15">
      <c r="B70" s="54"/>
      <c r="F70" s="81"/>
      <c r="G70" s="81"/>
      <c r="H70" s="81"/>
      <c r="I70" s="81"/>
    </row>
    <row r="71" spans="2:9" ht="15">
      <c r="B71" s="54"/>
      <c r="F71" s="81"/>
      <c r="G71" s="81"/>
      <c r="H71" s="81"/>
      <c r="I71" s="81"/>
    </row>
    <row r="72" spans="2:9" ht="15">
      <c r="B72" s="54"/>
      <c r="F72" s="81"/>
      <c r="G72" s="81"/>
      <c r="H72" s="81"/>
      <c r="I72" s="81"/>
    </row>
    <row r="73" spans="2:9" ht="15">
      <c r="B73" s="54"/>
      <c r="F73" s="81"/>
      <c r="G73" s="81"/>
      <c r="H73" s="81"/>
      <c r="I73" s="81"/>
    </row>
    <row r="74" spans="2:9" ht="15">
      <c r="B74" s="54"/>
      <c r="F74" s="81"/>
      <c r="G74" s="81"/>
      <c r="H74" s="81"/>
      <c r="I74" s="81"/>
    </row>
    <row r="75" spans="6:9" ht="15">
      <c r="F75" s="81"/>
      <c r="G75" s="81"/>
      <c r="H75" s="81"/>
      <c r="I75" s="81"/>
    </row>
    <row r="76" spans="6:9" ht="15">
      <c r="F76" s="81"/>
      <c r="G76" s="81"/>
      <c r="H76" s="81"/>
      <c r="I76" s="81"/>
    </row>
    <row r="77" spans="6:9" ht="15">
      <c r="F77" s="81"/>
      <c r="G77" s="81"/>
      <c r="H77" s="81"/>
      <c r="I77" s="81"/>
    </row>
    <row r="78" spans="6:9" ht="15">
      <c r="F78" s="81"/>
      <c r="G78" s="81"/>
      <c r="H78" s="81"/>
      <c r="I78" s="81"/>
    </row>
    <row r="79" spans="6:9" ht="15">
      <c r="F79" s="81"/>
      <c r="G79" s="81"/>
      <c r="H79" s="81"/>
      <c r="I79" s="81"/>
    </row>
    <row r="80" spans="6:9" ht="15">
      <c r="F80" s="81"/>
      <c r="G80" s="81"/>
      <c r="H80" s="81"/>
      <c r="I80" s="81"/>
    </row>
    <row r="81" spans="6:9" ht="15">
      <c r="F81" s="81"/>
      <c r="G81" s="81"/>
      <c r="H81" s="81"/>
      <c r="I81" s="81"/>
    </row>
    <row r="82" spans="6:9" ht="15">
      <c r="F82" s="81"/>
      <c r="G82" s="81"/>
      <c r="H82" s="81"/>
      <c r="I82" s="81"/>
    </row>
    <row r="83" spans="6:9" ht="15">
      <c r="F83" s="81"/>
      <c r="G83" s="81"/>
      <c r="H83" s="81"/>
      <c r="I83" s="81"/>
    </row>
    <row r="84" spans="6:9" ht="15">
      <c r="F84" s="81"/>
      <c r="G84" s="81"/>
      <c r="H84" s="81"/>
      <c r="I84" s="81"/>
    </row>
    <row r="85" spans="6:9" ht="15">
      <c r="F85" s="81"/>
      <c r="G85" s="81"/>
      <c r="H85" s="81"/>
      <c r="I85" s="81"/>
    </row>
    <row r="86" spans="6:9" ht="15">
      <c r="F86" s="81"/>
      <c r="G86" s="81"/>
      <c r="H86" s="81"/>
      <c r="I86" s="81"/>
    </row>
    <row r="87" spans="6:9" ht="15">
      <c r="F87" s="81"/>
      <c r="G87" s="81"/>
      <c r="H87" s="81"/>
      <c r="I87" s="81"/>
    </row>
    <row r="88" spans="6:9" ht="15">
      <c r="F88" s="81"/>
      <c r="G88" s="81"/>
      <c r="H88" s="81"/>
      <c r="I88" s="81"/>
    </row>
    <row r="89" spans="6:9" ht="15">
      <c r="F89" s="81"/>
      <c r="G89" s="81"/>
      <c r="H89" s="81"/>
      <c r="I89" s="81"/>
    </row>
    <row r="90" spans="6:9" ht="15">
      <c r="F90" s="81"/>
      <c r="G90" s="81"/>
      <c r="H90" s="81"/>
      <c r="I90" s="81"/>
    </row>
    <row r="91" spans="6:9" ht="15">
      <c r="F91" s="81"/>
      <c r="G91" s="81"/>
      <c r="H91" s="81"/>
      <c r="I91" s="81"/>
    </row>
    <row r="92" spans="6:9" ht="15">
      <c r="F92" s="81"/>
      <c r="G92" s="81"/>
      <c r="H92" s="81"/>
      <c r="I92" s="81"/>
    </row>
    <row r="93" spans="6:9" ht="15">
      <c r="F93" s="81"/>
      <c r="G93" s="81"/>
      <c r="H93" s="81"/>
      <c r="I93" s="81"/>
    </row>
    <row r="94" spans="6:9" ht="15">
      <c r="F94" s="81"/>
      <c r="G94" s="81"/>
      <c r="H94" s="81"/>
      <c r="I94" s="81"/>
    </row>
    <row r="95" spans="6:9" ht="15">
      <c r="F95" s="81"/>
      <c r="G95" s="81"/>
      <c r="H95" s="81"/>
      <c r="I95" s="81"/>
    </row>
    <row r="96" spans="6:9" ht="15">
      <c r="F96" s="81"/>
      <c r="G96" s="81"/>
      <c r="H96" s="81"/>
      <c r="I96" s="81"/>
    </row>
    <row r="97" spans="6:9" ht="15">
      <c r="F97" s="81"/>
      <c r="G97" s="81"/>
      <c r="H97" s="81"/>
      <c r="I97" s="81"/>
    </row>
    <row r="98" spans="6:9" ht="15">
      <c r="F98" s="81"/>
      <c r="G98" s="81"/>
      <c r="H98" s="81"/>
      <c r="I98" s="81"/>
    </row>
    <row r="99" spans="6:9" ht="15">
      <c r="F99" s="81"/>
      <c r="G99" s="81"/>
      <c r="H99" s="81"/>
      <c r="I99" s="81"/>
    </row>
    <row r="100" spans="6:9" ht="15">
      <c r="F100" s="81"/>
      <c r="G100" s="81"/>
      <c r="H100" s="81"/>
      <c r="I100" s="81"/>
    </row>
    <row r="101" spans="6:9" ht="15">
      <c r="F101" s="81"/>
      <c r="G101" s="81"/>
      <c r="H101" s="81"/>
      <c r="I101" s="81"/>
    </row>
    <row r="102" spans="6:9" ht="15">
      <c r="F102" s="81"/>
      <c r="G102" s="81"/>
      <c r="H102" s="81"/>
      <c r="I102" s="81"/>
    </row>
    <row r="103" spans="6:9" ht="15">
      <c r="F103" s="81"/>
      <c r="G103" s="81"/>
      <c r="H103" s="81"/>
      <c r="I103" s="81"/>
    </row>
    <row r="104" spans="6:9" ht="15">
      <c r="F104" s="81"/>
      <c r="G104" s="81"/>
      <c r="H104" s="81"/>
      <c r="I104" s="81"/>
    </row>
    <row r="105" spans="6:9" ht="15">
      <c r="F105" s="81"/>
      <c r="G105" s="81"/>
      <c r="H105" s="81"/>
      <c r="I105" s="81"/>
    </row>
    <row r="106" spans="6:9" ht="15">
      <c r="F106" s="81"/>
      <c r="G106" s="81"/>
      <c r="H106" s="81"/>
      <c r="I106" s="81"/>
    </row>
    <row r="107" spans="6:9" ht="15">
      <c r="F107" s="81"/>
      <c r="G107" s="81"/>
      <c r="H107" s="81"/>
      <c r="I107" s="81"/>
    </row>
    <row r="108" spans="6:9" ht="15">
      <c r="F108" s="81"/>
      <c r="G108" s="81"/>
      <c r="H108" s="81"/>
      <c r="I108" s="81"/>
    </row>
    <row r="109" spans="6:9" ht="15">
      <c r="F109" s="81"/>
      <c r="G109" s="81"/>
      <c r="H109" s="81"/>
      <c r="I109" s="81"/>
    </row>
    <row r="110" spans="6:9" ht="15">
      <c r="F110" s="81"/>
      <c r="G110" s="81"/>
      <c r="H110" s="81"/>
      <c r="I110" s="81"/>
    </row>
    <row r="111" spans="6:9" ht="15">
      <c r="F111" s="81"/>
      <c r="G111" s="81"/>
      <c r="H111" s="81"/>
      <c r="I111" s="81"/>
    </row>
    <row r="112" spans="6:9" ht="15">
      <c r="F112" s="81"/>
      <c r="G112" s="81"/>
      <c r="H112" s="81"/>
      <c r="I112"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167" spans="6:9" ht="15">
      <c r="F167" s="81"/>
      <c r="G167" s="81"/>
      <c r="H167" s="81"/>
      <c r="I167" s="81"/>
    </row>
  </sheetData>
  <sheetProtection/>
  <mergeCells count="4">
    <mergeCell ref="B6:E6"/>
    <mergeCell ref="F6:I6"/>
    <mergeCell ref="A32:I32"/>
    <mergeCell ref="A31:I31"/>
  </mergeCells>
  <conditionalFormatting sqref="B33:I33">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M1000"/>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29" t="str">
        <f>HLOOKUP(INDICE!$F$2,Nombres!$C$3:$D$636,280,FALSE)</f>
        <v>Corporate &amp; Investment Banking (*)</v>
      </c>
      <c r="B1" s="30"/>
      <c r="C1" s="30"/>
      <c r="D1" s="30"/>
      <c r="E1" s="30"/>
      <c r="F1" s="30"/>
      <c r="G1" s="30"/>
      <c r="H1" s="30"/>
      <c r="I1" s="30"/>
    </row>
    <row r="2" spans="1:9" ht="15">
      <c r="A2" s="312" t="str">
        <f>HLOOKUP(INDICE!$F$2,Nombres!$C$3:$D$636,281,FALSE)</f>
        <v>(*) No incluye el negocio de CIB vendido a PNC.</v>
      </c>
      <c r="B2" s="312"/>
      <c r="C2" s="312"/>
      <c r="D2" s="312"/>
      <c r="E2" s="312"/>
      <c r="F2" s="312"/>
      <c r="G2" s="312"/>
      <c r="H2" s="312"/>
      <c r="I2" s="312"/>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13">
        <f>+España!B6</f>
        <v>2021</v>
      </c>
      <c r="C6" s="313"/>
      <c r="D6" s="313"/>
      <c r="E6" s="314"/>
      <c r="F6" s="313">
        <f>+España!F6</f>
        <v>2022</v>
      </c>
      <c r="G6" s="313"/>
      <c r="H6" s="313"/>
      <c r="I6" s="313"/>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381.30943282</v>
      </c>
      <c r="C8" s="41">
        <v>370.53462382999993</v>
      </c>
      <c r="D8" s="41">
        <v>403.90839172000005</v>
      </c>
      <c r="E8" s="42">
        <v>419.9916559100001</v>
      </c>
      <c r="F8" s="50">
        <v>462.85520399999996</v>
      </c>
      <c r="G8" s="50">
        <v>482.36041845</v>
      </c>
      <c r="H8" s="50">
        <v>525.9752584099999</v>
      </c>
      <c r="I8" s="50">
        <v>0</v>
      </c>
    </row>
    <row r="9" spans="1:9" ht="15">
      <c r="A9" s="43" t="str">
        <f>HLOOKUP(INDICE!$F$2,Nombres!$C$3:$D$636,34,FALSE)</f>
        <v>Comisiones netas</v>
      </c>
      <c r="B9" s="44">
        <v>192.20489363000002</v>
      </c>
      <c r="C9" s="44">
        <v>194.29421501000002</v>
      </c>
      <c r="D9" s="44">
        <v>196.41632854000005</v>
      </c>
      <c r="E9" s="45">
        <v>210.80869652</v>
      </c>
      <c r="F9" s="44">
        <v>197.82502889</v>
      </c>
      <c r="G9" s="44">
        <v>236.5641594</v>
      </c>
      <c r="H9" s="44">
        <v>244.78966080000004</v>
      </c>
      <c r="I9" s="44">
        <v>0</v>
      </c>
    </row>
    <row r="10" spans="1:9" ht="15">
      <c r="A10" s="43" t="str">
        <f>HLOOKUP(INDICE!$F$2,Nombres!$C$3:$D$636,35,FALSE)</f>
        <v>Resultados de operaciones financieras</v>
      </c>
      <c r="B10" s="44">
        <v>272.72820229999996</v>
      </c>
      <c r="C10" s="44">
        <v>227.23399016999997</v>
      </c>
      <c r="D10" s="44">
        <v>135.55511246000003</v>
      </c>
      <c r="E10" s="45">
        <v>269.87177841000005</v>
      </c>
      <c r="F10" s="44">
        <v>359.73806740000003</v>
      </c>
      <c r="G10" s="44">
        <v>293.77012088</v>
      </c>
      <c r="H10" s="44">
        <v>293.15943139</v>
      </c>
      <c r="I10" s="44">
        <v>0</v>
      </c>
    </row>
    <row r="11" spans="1:9" ht="15">
      <c r="A11" s="43" t="str">
        <f>HLOOKUP(INDICE!$F$2,Nombres!$C$3:$D$636,36,FALSE)</f>
        <v>Otros ingresos y cargas de explotación</v>
      </c>
      <c r="B11" s="44">
        <v>-10.85766648</v>
      </c>
      <c r="C11" s="44">
        <v>-6.87800135</v>
      </c>
      <c r="D11" s="44">
        <v>-10.40183264</v>
      </c>
      <c r="E11" s="45">
        <v>-11.782524420000001</v>
      </c>
      <c r="F11" s="44">
        <v>-7.927588610000001</v>
      </c>
      <c r="G11" s="44">
        <v>-7.6074272</v>
      </c>
      <c r="H11" s="44">
        <v>-14.136491889999995</v>
      </c>
      <c r="I11" s="44">
        <v>0</v>
      </c>
    </row>
    <row r="12" spans="1:9" ht="15">
      <c r="A12" s="41" t="str">
        <f>HLOOKUP(INDICE!$F$2,Nombres!$C$3:$D$636,37,FALSE)</f>
        <v>Margen bruto</v>
      </c>
      <c r="B12" s="41">
        <f>+SUM(B8:B11)</f>
        <v>835.38486227</v>
      </c>
      <c r="C12" s="41">
        <f aca="true" t="shared" si="0" ref="C12:I12">+SUM(C8:C11)</f>
        <v>785.1848276599999</v>
      </c>
      <c r="D12" s="41">
        <f t="shared" si="0"/>
        <v>725.4780000800001</v>
      </c>
      <c r="E12" s="42">
        <f t="shared" si="0"/>
        <v>888.8896064200002</v>
      </c>
      <c r="F12" s="50">
        <f t="shared" si="0"/>
        <v>1012.4907116799999</v>
      </c>
      <c r="G12" s="50">
        <f t="shared" si="0"/>
        <v>1005.0872715300001</v>
      </c>
      <c r="H12" s="50">
        <f t="shared" si="0"/>
        <v>1049.7878587100001</v>
      </c>
      <c r="I12" s="50">
        <f t="shared" si="0"/>
        <v>0</v>
      </c>
    </row>
    <row r="13" spans="1:9" ht="15">
      <c r="A13" s="43" t="str">
        <f>HLOOKUP(INDICE!$F$2,Nombres!$C$3:$D$636,38,FALSE)</f>
        <v>Gastos de explotación</v>
      </c>
      <c r="B13" s="44">
        <v>-234.50765034</v>
      </c>
      <c r="C13" s="44">
        <v>-237.98023368</v>
      </c>
      <c r="D13" s="44">
        <v>-238.12408507000004</v>
      </c>
      <c r="E13" s="45">
        <v>-288.07963643</v>
      </c>
      <c r="F13" s="44">
        <v>-258.38360564</v>
      </c>
      <c r="G13" s="44">
        <v>-266.80932994000005</v>
      </c>
      <c r="H13" s="44">
        <v>-297.73674761</v>
      </c>
      <c r="I13" s="44">
        <v>0</v>
      </c>
    </row>
    <row r="14" spans="1:9" ht="15">
      <c r="A14" s="43" t="str">
        <f>HLOOKUP(INDICE!$F$2,Nombres!$C$3:$D$636,39,FALSE)</f>
        <v>  Gastos de administración</v>
      </c>
      <c r="B14" s="44">
        <v>-207.50125348</v>
      </c>
      <c r="C14" s="44">
        <v>-210.90075214</v>
      </c>
      <c r="D14" s="44">
        <v>-210.81253869000005</v>
      </c>
      <c r="E14" s="45">
        <v>-261.98104011</v>
      </c>
      <c r="F14" s="44">
        <v>-232.84397177000002</v>
      </c>
      <c r="G14" s="44">
        <v>-240.11475741</v>
      </c>
      <c r="H14" s="44">
        <v>-270.47586025000004</v>
      </c>
      <c r="I14" s="44">
        <v>0</v>
      </c>
    </row>
    <row r="15" spans="1:9" ht="15">
      <c r="A15" s="46" t="str">
        <f>HLOOKUP(INDICE!$F$2,Nombres!$C$3:$D$636,40,FALSE)</f>
        <v>  Gastos de personal</v>
      </c>
      <c r="B15" s="44">
        <v>-106.11608858</v>
      </c>
      <c r="C15" s="44">
        <v>-106.18785743000001</v>
      </c>
      <c r="D15" s="44">
        <v>-111.42252795000002</v>
      </c>
      <c r="E15" s="45">
        <v>-150.41261318</v>
      </c>
      <c r="F15" s="44">
        <v>-118.92000071</v>
      </c>
      <c r="G15" s="44">
        <v>-117.56538282999999</v>
      </c>
      <c r="H15" s="44">
        <v>-139.12607233</v>
      </c>
      <c r="I15" s="44">
        <v>0</v>
      </c>
    </row>
    <row r="16" spans="1:9" ht="15">
      <c r="A16" s="46" t="str">
        <f>HLOOKUP(INDICE!$F$2,Nombres!$C$3:$D$636,41,FALSE)</f>
        <v>  Otros gastos de administración</v>
      </c>
      <c r="B16" s="44">
        <v>-101.38516489999998</v>
      </c>
      <c r="C16" s="44">
        <v>-104.71289471</v>
      </c>
      <c r="D16" s="44">
        <v>-99.39001074000004</v>
      </c>
      <c r="E16" s="45">
        <v>-111.56842692999999</v>
      </c>
      <c r="F16" s="44">
        <v>-113.92397106000001</v>
      </c>
      <c r="G16" s="44">
        <v>-122.54937458000003</v>
      </c>
      <c r="H16" s="44">
        <v>-131.34978792</v>
      </c>
      <c r="I16" s="44">
        <v>0</v>
      </c>
    </row>
    <row r="17" spans="1:9" ht="15">
      <c r="A17" s="43" t="str">
        <f>HLOOKUP(INDICE!$F$2,Nombres!$C$3:$D$636,42,FALSE)</f>
        <v>  Amortización</v>
      </c>
      <c r="B17" s="44">
        <v>-27.006396860000002</v>
      </c>
      <c r="C17" s="44">
        <v>-27.079481539999996</v>
      </c>
      <c r="D17" s="44">
        <v>-27.31154638</v>
      </c>
      <c r="E17" s="45">
        <v>-26.098596319999995</v>
      </c>
      <c r="F17" s="44">
        <v>-25.53963387</v>
      </c>
      <c r="G17" s="44">
        <v>-26.694572530000006</v>
      </c>
      <c r="H17" s="44">
        <v>-27.260887359999995</v>
      </c>
      <c r="I17" s="44">
        <v>0</v>
      </c>
    </row>
    <row r="18" spans="1:9" ht="15">
      <c r="A18" s="41" t="str">
        <f>HLOOKUP(INDICE!$F$2,Nombres!$C$3:$D$636,43,FALSE)</f>
        <v>Margen neto</v>
      </c>
      <c r="B18" s="41">
        <f>+B12+B13</f>
        <v>600.8772119299999</v>
      </c>
      <c r="C18" s="41">
        <f aca="true" t="shared" si="1" ref="C18:I18">+C12+C13</f>
        <v>547.2045939799999</v>
      </c>
      <c r="D18" s="41">
        <f t="shared" si="1"/>
        <v>487.3539150100001</v>
      </c>
      <c r="E18" s="42">
        <f t="shared" si="1"/>
        <v>600.8099699900001</v>
      </c>
      <c r="F18" s="50">
        <f t="shared" si="1"/>
        <v>754.10710604</v>
      </c>
      <c r="G18" s="50">
        <f t="shared" si="1"/>
        <v>738.27794159</v>
      </c>
      <c r="H18" s="50">
        <f t="shared" si="1"/>
        <v>752.0511111000001</v>
      </c>
      <c r="I18" s="50">
        <f t="shared" si="1"/>
        <v>0</v>
      </c>
    </row>
    <row r="19" spans="1:9" ht="15">
      <c r="A19" s="43" t="str">
        <f>HLOOKUP(INDICE!$F$2,Nombres!$C$3:$D$636,44,FALSE)</f>
        <v>Deterioro de activos financieros no valorados a valor razonable con cambios en resultados</v>
      </c>
      <c r="B19" s="44">
        <v>-42.86934394000001</v>
      </c>
      <c r="C19" s="44">
        <v>-10.941993759999987</v>
      </c>
      <c r="D19" s="44">
        <v>40.84088840999997</v>
      </c>
      <c r="E19" s="45">
        <v>-55.69445961999998</v>
      </c>
      <c r="F19" s="44">
        <v>-20.488427249999994</v>
      </c>
      <c r="G19" s="44">
        <v>25.198967769999996</v>
      </c>
      <c r="H19" s="44">
        <v>-70.10668663000001</v>
      </c>
      <c r="I19" s="44">
        <v>0</v>
      </c>
    </row>
    <row r="20" spans="1:9" ht="15">
      <c r="A20" s="43" t="str">
        <f>HLOOKUP(INDICE!$F$2,Nombres!$C$3:$D$636,45,FALSE)</f>
        <v>Provisiones o reversión de provisiones y otros resultados</v>
      </c>
      <c r="B20" s="44">
        <v>-22.131654360000002</v>
      </c>
      <c r="C20" s="44">
        <v>5.6919044700000025</v>
      </c>
      <c r="D20" s="44">
        <v>16.4108476</v>
      </c>
      <c r="E20" s="45">
        <v>-11.680644600000004</v>
      </c>
      <c r="F20" s="44">
        <v>18.65117579</v>
      </c>
      <c r="G20" s="44">
        <v>-9.44813636</v>
      </c>
      <c r="H20" s="44">
        <v>0.05253734999999948</v>
      </c>
      <c r="I20" s="44">
        <v>0</v>
      </c>
    </row>
    <row r="21" spans="1:9" ht="15">
      <c r="A21" s="41" t="str">
        <f>HLOOKUP(INDICE!$F$2,Nombres!$C$3:$D$636,46,FALSE)</f>
        <v>Resultado antes de impuestos</v>
      </c>
      <c r="B21" s="41">
        <f>+B18+B19+B20</f>
        <v>535.8762136299999</v>
      </c>
      <c r="C21" s="41">
        <f aca="true" t="shared" si="2" ref="C21:I21">+C18+C19+C20</f>
        <v>541.95450469</v>
      </c>
      <c r="D21" s="41">
        <f t="shared" si="2"/>
        <v>544.6056510200001</v>
      </c>
      <c r="E21" s="42">
        <f t="shared" si="2"/>
        <v>533.4348657700001</v>
      </c>
      <c r="F21" s="50">
        <f t="shared" si="2"/>
        <v>752.26985458</v>
      </c>
      <c r="G21" s="50">
        <f t="shared" si="2"/>
        <v>754.0287729999999</v>
      </c>
      <c r="H21" s="50">
        <f t="shared" si="2"/>
        <v>681.99696182</v>
      </c>
      <c r="I21" s="50">
        <f t="shared" si="2"/>
        <v>0</v>
      </c>
    </row>
    <row r="22" spans="1:9" ht="15">
      <c r="A22" s="43" t="str">
        <f>HLOOKUP(INDICE!$F$2,Nombres!$C$3:$D$636,47,FALSE)</f>
        <v>Impuesto sobre beneficios</v>
      </c>
      <c r="B22" s="44">
        <v>-140.51039845000003</v>
      </c>
      <c r="C22" s="44">
        <v>-160.45496279000002</v>
      </c>
      <c r="D22" s="44">
        <v>-153.29763511</v>
      </c>
      <c r="E22" s="45">
        <v>-135.01085758</v>
      </c>
      <c r="F22" s="44">
        <v>-212.27958854000005</v>
      </c>
      <c r="G22" s="44">
        <v>-211.47903029999998</v>
      </c>
      <c r="H22" s="44">
        <v>-197.56758806</v>
      </c>
      <c r="I22" s="44">
        <v>0</v>
      </c>
    </row>
    <row r="23" spans="1:9" ht="15">
      <c r="A23" s="41" t="str">
        <f>HLOOKUP(INDICE!$F$2,Nombres!$C$3:$D$636,48,FALSE)</f>
        <v>Resultado del ejercicio</v>
      </c>
      <c r="B23" s="41">
        <f>+B21+B22</f>
        <v>395.3658151799999</v>
      </c>
      <c r="C23" s="41">
        <f aca="true" t="shared" si="3" ref="C23:I23">+C21+C22</f>
        <v>381.4995419</v>
      </c>
      <c r="D23" s="41">
        <f t="shared" si="3"/>
        <v>391.3080159100001</v>
      </c>
      <c r="E23" s="42">
        <f t="shared" si="3"/>
        <v>398.4240081900001</v>
      </c>
      <c r="F23" s="50">
        <f t="shared" si="3"/>
        <v>539.9902660399999</v>
      </c>
      <c r="G23" s="50">
        <f t="shared" si="3"/>
        <v>542.5497426999999</v>
      </c>
      <c r="H23" s="50">
        <f t="shared" si="3"/>
        <v>484.42937376000003</v>
      </c>
      <c r="I23" s="50">
        <f t="shared" si="3"/>
        <v>0</v>
      </c>
    </row>
    <row r="24" spans="1:9" ht="15">
      <c r="A24" s="43" t="str">
        <f>HLOOKUP(INDICE!$F$2,Nombres!$C$3:$D$636,49,FALSE)</f>
        <v>Minoritarios</v>
      </c>
      <c r="B24" s="44">
        <v>-76.23864476</v>
      </c>
      <c r="C24" s="44">
        <v>-66.44225313</v>
      </c>
      <c r="D24" s="44">
        <v>-77.1920655</v>
      </c>
      <c r="E24" s="45">
        <v>-106.67073974000002</v>
      </c>
      <c r="F24" s="44">
        <v>-99.81530437999999</v>
      </c>
      <c r="G24" s="44">
        <v>-78.74361823999999</v>
      </c>
      <c r="H24" s="44">
        <v>-35.02397531</v>
      </c>
      <c r="I24" s="44">
        <v>0</v>
      </c>
    </row>
    <row r="25" spans="1:9" ht="15">
      <c r="A25" s="47" t="str">
        <f>HLOOKUP(INDICE!$F$2,Nombres!$C$3:$D$636,50,FALSE)</f>
        <v>Resultado atribuido</v>
      </c>
      <c r="B25" s="47">
        <f>+B23+B24</f>
        <v>319.1271704199999</v>
      </c>
      <c r="C25" s="47">
        <f aca="true" t="shared" si="4" ref="C25:I25">+C23+C24</f>
        <v>315.05728877</v>
      </c>
      <c r="D25" s="47">
        <f t="shared" si="4"/>
        <v>314.1159504100001</v>
      </c>
      <c r="E25" s="47">
        <f t="shared" si="4"/>
        <v>291.75326845000006</v>
      </c>
      <c r="F25" s="51">
        <f t="shared" si="4"/>
        <v>440.17496165999995</v>
      </c>
      <c r="G25" s="51">
        <f t="shared" si="4"/>
        <v>463.8061244599999</v>
      </c>
      <c r="H25" s="51">
        <f t="shared" si="4"/>
        <v>449.40539845</v>
      </c>
      <c r="I25" s="51">
        <f t="shared" si="4"/>
        <v>0</v>
      </c>
    </row>
    <row r="26" spans="1:9" ht="15">
      <c r="A26" s="284"/>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13" ht="15">
      <c r="A31" s="43" t="str">
        <f>HLOOKUP(INDICE!$F$2,Nombres!$C$3:$D$636,52,FALSE)</f>
        <v>Efectivo, saldos en efectivo en bancos centrales y otros depósitos a la vista</v>
      </c>
      <c r="B31" s="44">
        <v>4756.907981450004</v>
      </c>
      <c r="C31" s="44">
        <v>4748.889295589999</v>
      </c>
      <c r="D31" s="44">
        <v>5118.1363494299985</v>
      </c>
      <c r="E31" s="45">
        <v>5125.256835370001</v>
      </c>
      <c r="F31" s="44">
        <v>6333.955833989999</v>
      </c>
      <c r="G31" s="44">
        <v>8194.673499019998</v>
      </c>
      <c r="H31" s="44">
        <v>7133.68711934</v>
      </c>
      <c r="I31" s="44">
        <v>0</v>
      </c>
      <c r="L31" s="54"/>
      <c r="M31" s="54"/>
    </row>
    <row r="32" spans="1:13" ht="15">
      <c r="A32" s="43" t="str">
        <f>HLOOKUP(INDICE!$F$2,Nombres!$C$3:$D$636,53,FALSE)</f>
        <v>Activos financieros a valor razonable</v>
      </c>
      <c r="B32" s="58">
        <v>102467.68854402</v>
      </c>
      <c r="C32" s="58">
        <v>107855.91808451003</v>
      </c>
      <c r="D32" s="58">
        <v>111931.94124331002</v>
      </c>
      <c r="E32" s="64">
        <v>131710.73868866</v>
      </c>
      <c r="F32" s="44">
        <v>121981.77695218001</v>
      </c>
      <c r="G32" s="44">
        <v>127392.39282094</v>
      </c>
      <c r="H32" s="44">
        <v>124527.60585172998</v>
      </c>
      <c r="I32" s="44">
        <v>0</v>
      </c>
      <c r="L32" s="54"/>
      <c r="M32" s="54"/>
    </row>
    <row r="33" spans="1:13" ht="15">
      <c r="A33" s="43" t="str">
        <f>HLOOKUP(INDICE!$F$2,Nombres!$C$3:$D$636,54,FALSE)</f>
        <v>Activos financieros a coste amortizado</v>
      </c>
      <c r="B33" s="44">
        <v>68969.52906472</v>
      </c>
      <c r="C33" s="44">
        <v>68486.4781597</v>
      </c>
      <c r="D33" s="44">
        <v>68979.34209984001</v>
      </c>
      <c r="E33" s="45">
        <v>72363.16147175</v>
      </c>
      <c r="F33" s="44">
        <v>80210.69467848</v>
      </c>
      <c r="G33" s="44">
        <v>84299.83718864</v>
      </c>
      <c r="H33" s="44">
        <v>91927.44914708</v>
      </c>
      <c r="I33" s="44">
        <v>0</v>
      </c>
      <c r="L33" s="54"/>
      <c r="M33" s="54"/>
    </row>
    <row r="34" spans="1:13" ht="15">
      <c r="A34" s="43" t="str">
        <f>HLOOKUP(INDICE!$F$2,Nombres!$C$3:$D$636,55,FALSE)</f>
        <v>    de los que préstamos y anticipos a la clientela</v>
      </c>
      <c r="B34" s="44">
        <v>58026.63823676</v>
      </c>
      <c r="C34" s="44">
        <v>57870.13750652</v>
      </c>
      <c r="D34" s="44">
        <v>58400.68174325</v>
      </c>
      <c r="E34" s="45">
        <v>62042.499257760006</v>
      </c>
      <c r="F34" s="44">
        <v>70184.88136120001</v>
      </c>
      <c r="G34" s="44">
        <v>72966.28573626</v>
      </c>
      <c r="H34" s="44">
        <v>78837.01051203</v>
      </c>
      <c r="I34" s="44">
        <v>0</v>
      </c>
      <c r="L34" s="54"/>
      <c r="M34" s="54"/>
    </row>
    <row r="35" spans="1:13" ht="15">
      <c r="A35" s="43" t="str">
        <f>HLOOKUP(INDICE!$F$2,Nombres!$C$3:$D$636,121,FALSE)</f>
        <v>Posiciones inter-áreas activo</v>
      </c>
      <c r="B35" s="44">
        <v>0</v>
      </c>
      <c r="C35" s="44">
        <v>0</v>
      </c>
      <c r="D35" s="44">
        <v>0</v>
      </c>
      <c r="E35" s="45">
        <v>0</v>
      </c>
      <c r="F35" s="44">
        <v>0</v>
      </c>
      <c r="G35" s="44">
        <v>0</v>
      </c>
      <c r="H35" s="44">
        <v>0</v>
      </c>
      <c r="I35" s="44">
        <v>0</v>
      </c>
      <c r="L35" s="54"/>
      <c r="M35" s="54"/>
    </row>
    <row r="36" spans="1:13" ht="15">
      <c r="A36" s="43" t="str">
        <f>HLOOKUP(INDICE!$F$2,Nombres!$C$3:$D$636,56,FALSE)</f>
        <v>Activos tangibles</v>
      </c>
      <c r="B36" s="44">
        <v>45.1876791</v>
      </c>
      <c r="C36" s="44">
        <v>42.16608227</v>
      </c>
      <c r="D36" s="44">
        <v>39.262886699999996</v>
      </c>
      <c r="E36" s="45">
        <v>42.97531898</v>
      </c>
      <c r="F36" s="44">
        <v>53.5468733</v>
      </c>
      <c r="G36" s="44">
        <v>51.3168347</v>
      </c>
      <c r="H36" s="44">
        <v>52.2117761</v>
      </c>
      <c r="I36" s="44">
        <v>0</v>
      </c>
      <c r="L36" s="54"/>
      <c r="M36" s="54"/>
    </row>
    <row r="37" spans="1:13" ht="15">
      <c r="A37" s="43" t="str">
        <f>HLOOKUP(INDICE!$F$2,Nombres!$C$3:$D$636,57,FALSE)</f>
        <v>Otros activos</v>
      </c>
      <c r="B37" s="58">
        <f>+B38-B36-B33-B32-B31-B35</f>
        <v>1221.6207880100374</v>
      </c>
      <c r="C37" s="58">
        <f aca="true" t="shared" si="5" ref="C37:I37">+C38-C36-C33-C32-C31-C35</f>
        <v>2355.04481922999</v>
      </c>
      <c r="D37" s="58">
        <f t="shared" si="5"/>
        <v>1725.9821304300021</v>
      </c>
      <c r="E37" s="64">
        <f t="shared" si="5"/>
        <v>109.90630291001071</v>
      </c>
      <c r="F37" s="58">
        <f t="shared" si="5"/>
        <v>1061.2934738000158</v>
      </c>
      <c r="G37" s="58">
        <f t="shared" si="5"/>
        <v>2000.7447091799913</v>
      </c>
      <c r="H37" s="58">
        <f t="shared" si="5"/>
        <v>1916.458863309992</v>
      </c>
      <c r="I37" s="58">
        <f t="shared" si="5"/>
        <v>0</v>
      </c>
      <c r="L37" s="54"/>
      <c r="M37" s="54"/>
    </row>
    <row r="38" spans="1:13" ht="15">
      <c r="A38" s="47" t="str">
        <f>HLOOKUP(INDICE!$F$2,Nombres!$C$3:$D$636,58,FALSE)</f>
        <v>Total activo / pasivo</v>
      </c>
      <c r="B38" s="47">
        <v>177460.93405730004</v>
      </c>
      <c r="C38" s="47">
        <v>183488.49644130003</v>
      </c>
      <c r="D38" s="47">
        <v>187794.66470971002</v>
      </c>
      <c r="E38" s="70">
        <v>209352.03861767</v>
      </c>
      <c r="F38" s="51">
        <v>209641.26781175</v>
      </c>
      <c r="G38" s="51">
        <v>221938.96505248</v>
      </c>
      <c r="H38" s="51">
        <v>225557.41275756</v>
      </c>
      <c r="I38" s="51">
        <v>0</v>
      </c>
      <c r="L38" s="54"/>
      <c r="M38" s="54"/>
    </row>
    <row r="39" spans="1:13" ht="15">
      <c r="A39" s="43" t="str">
        <f>HLOOKUP(INDICE!$F$2,Nombres!$C$3:$D$636,59,FALSE)</f>
        <v>Pasivos financieros mantenidos para negociar y designados a valor razonable con cambios en resultados</v>
      </c>
      <c r="B39" s="58">
        <v>81075.84844107002</v>
      </c>
      <c r="C39" s="58">
        <v>82208.51664821</v>
      </c>
      <c r="D39" s="58">
        <v>83088.08032127</v>
      </c>
      <c r="E39" s="64">
        <v>95283.13941246</v>
      </c>
      <c r="F39" s="44">
        <v>92173.41449375001</v>
      </c>
      <c r="G39" s="44">
        <v>104489.15465049002</v>
      </c>
      <c r="H39" s="44">
        <v>104536.04972563002</v>
      </c>
      <c r="I39" s="44">
        <v>0</v>
      </c>
      <c r="L39" s="54"/>
      <c r="M39" s="54"/>
    </row>
    <row r="40" spans="1:13" ht="15">
      <c r="A40" s="43" t="str">
        <f>HLOOKUP(INDICE!$F$2,Nombres!$C$3:$D$636,60,FALSE)</f>
        <v>Depósitos de bancos centrales y entidades de crédito</v>
      </c>
      <c r="B40" s="58">
        <v>14230.343513389998</v>
      </c>
      <c r="C40" s="58">
        <v>14878.94608085</v>
      </c>
      <c r="D40" s="58">
        <v>15307.926067229997</v>
      </c>
      <c r="E40" s="64">
        <v>12883.517656659998</v>
      </c>
      <c r="F40" s="44">
        <v>16254.94732625</v>
      </c>
      <c r="G40" s="44">
        <v>21020.248880389998</v>
      </c>
      <c r="H40" s="44">
        <v>22493.47156409</v>
      </c>
      <c r="I40" s="44">
        <v>0</v>
      </c>
      <c r="L40" s="54"/>
      <c r="M40" s="54"/>
    </row>
    <row r="41" spans="1:13" ht="15.75" customHeight="1">
      <c r="A41" s="43" t="str">
        <f>HLOOKUP(INDICE!$F$2,Nombres!$C$3:$D$636,61,FALSE)</f>
        <v>Depósitos de la clientela</v>
      </c>
      <c r="B41" s="58">
        <v>36489.33001814</v>
      </c>
      <c r="C41" s="58">
        <v>37169.56320787</v>
      </c>
      <c r="D41" s="58">
        <v>36686.46877222</v>
      </c>
      <c r="E41" s="64">
        <v>38359.8209804</v>
      </c>
      <c r="F41" s="44">
        <v>38572.392747369995</v>
      </c>
      <c r="G41" s="44">
        <v>40542.38192001</v>
      </c>
      <c r="H41" s="44">
        <v>45078.277311000005</v>
      </c>
      <c r="I41" s="44">
        <v>0</v>
      </c>
      <c r="L41" s="54"/>
      <c r="M41" s="54"/>
    </row>
    <row r="42" spans="1:13" ht="15">
      <c r="A42" s="43" t="str">
        <f>HLOOKUP(INDICE!$F$2,Nombres!$C$3:$D$636,62,FALSE)</f>
        <v>Valores representativos de deuda emitidos</v>
      </c>
      <c r="B42" s="44">
        <v>2194.24470509</v>
      </c>
      <c r="C42" s="44">
        <v>2713.23074017</v>
      </c>
      <c r="D42" s="44">
        <v>3132.3048752499994</v>
      </c>
      <c r="E42" s="45">
        <v>5746.02746363</v>
      </c>
      <c r="F42" s="44">
        <v>4278.92715128</v>
      </c>
      <c r="G42" s="44">
        <v>5004.723124300001</v>
      </c>
      <c r="H42" s="44">
        <v>5358.37177386</v>
      </c>
      <c r="I42" s="44">
        <v>0</v>
      </c>
      <c r="L42" s="54"/>
      <c r="M42" s="54"/>
    </row>
    <row r="43" spans="1:13" ht="15">
      <c r="A43" s="43" t="str">
        <f>HLOOKUP(INDICE!$F$2,Nombres!$C$3:$D$636,122,FALSE)</f>
        <v>Posiciones inter-áreas pasivo</v>
      </c>
      <c r="B43" s="44">
        <v>33175.89800549745</v>
      </c>
      <c r="C43" s="44">
        <v>33861.31383329441</v>
      </c>
      <c r="D43" s="44">
        <v>37146.19986256198</v>
      </c>
      <c r="E43" s="45">
        <v>44195.53935445562</v>
      </c>
      <c r="F43" s="44">
        <v>45440.4048979904</v>
      </c>
      <c r="G43" s="44">
        <v>35438.32602614719</v>
      </c>
      <c r="H43" s="44">
        <v>31820.953228323197</v>
      </c>
      <c r="I43" s="44">
        <v>0</v>
      </c>
      <c r="L43" s="54"/>
      <c r="M43" s="54"/>
    </row>
    <row r="44" spans="1:13" ht="15">
      <c r="A44" s="43" t="str">
        <f>HLOOKUP(INDICE!$F$2,Nombres!$C$3:$D$636,63,FALSE)</f>
        <v>Otros pasivos</v>
      </c>
      <c r="B44" s="44">
        <f aca="true" t="shared" si="6" ref="B44:I44">+B38-B39-B40-B41-B42-B45-B43</f>
        <v>1565.3687436449109</v>
      </c>
      <c r="C44" s="44">
        <f t="shared" si="6"/>
        <v>2806.2746584129127</v>
      </c>
      <c r="D44" s="44">
        <f t="shared" si="6"/>
        <v>2519.8738726927913</v>
      </c>
      <c r="E44" s="45">
        <f t="shared" si="6"/>
        <v>2900.5941456762303</v>
      </c>
      <c r="F44" s="44">
        <f t="shared" si="6"/>
        <v>2614.9123381688114</v>
      </c>
      <c r="G44" s="44">
        <f t="shared" si="6"/>
        <v>4183.25884781799</v>
      </c>
      <c r="H44" s="44">
        <f t="shared" si="6"/>
        <v>4587.915723348386</v>
      </c>
      <c r="I44" s="44">
        <f t="shared" si="6"/>
        <v>0</v>
      </c>
      <c r="L44" s="54"/>
      <c r="M44" s="54"/>
    </row>
    <row r="45" spans="1:13" ht="15">
      <c r="A45" s="43" t="str">
        <f>HLOOKUP(INDICE!$F$2,Nombres!$C$3:$D$636,282,FALSE)</f>
        <v>Dotación de capital regulatorio</v>
      </c>
      <c r="B45" s="44">
        <v>8729.900630467651</v>
      </c>
      <c r="C45" s="44">
        <v>9850.6512724927</v>
      </c>
      <c r="D45" s="44">
        <v>9913.810938485252</v>
      </c>
      <c r="E45" s="45">
        <v>9983.399604388153</v>
      </c>
      <c r="F45" s="44">
        <v>10306.268856940798</v>
      </c>
      <c r="G45" s="44">
        <v>11260.8716033248</v>
      </c>
      <c r="H45" s="44">
        <v>11682.3734313084</v>
      </c>
      <c r="I45" s="44">
        <v>0</v>
      </c>
      <c r="L45" s="54"/>
      <c r="M45" s="54"/>
    </row>
    <row r="46" spans="1:9" ht="15">
      <c r="A46" s="62"/>
      <c r="B46" s="58"/>
      <c r="C46" s="58"/>
      <c r="D46" s="58"/>
      <c r="E46" s="58"/>
      <c r="F46" s="76"/>
      <c r="G46" s="76"/>
      <c r="H46" s="76"/>
      <c r="I46" s="76"/>
    </row>
    <row r="47" spans="1:9" ht="15">
      <c r="A47" s="43"/>
      <c r="B47" s="58"/>
      <c r="C47" s="58"/>
      <c r="D47" s="58"/>
      <c r="E47" s="58"/>
      <c r="F47" s="76"/>
      <c r="G47" s="76"/>
      <c r="H47" s="76"/>
      <c r="I47" s="76"/>
    </row>
    <row r="48" spans="1:9" ht="18">
      <c r="A48" s="33" t="str">
        <f>HLOOKUP(INDICE!$F$2,Nombres!$C$3:$D$636,65,FALSE)</f>
        <v>Indicadores relevantes y de gestión</v>
      </c>
      <c r="B48" s="34"/>
      <c r="C48" s="34"/>
      <c r="D48" s="34"/>
      <c r="E48" s="34"/>
      <c r="F48" s="80"/>
      <c r="G48" s="80"/>
      <c r="H48" s="80"/>
      <c r="I48" s="80"/>
    </row>
    <row r="49" spans="1:9" ht="15">
      <c r="A49" s="35" t="str">
        <f>HLOOKUP(INDICE!$F$2,Nombres!$C$3:$D$636,32,FALSE)</f>
        <v>(Millones de euros)</v>
      </c>
      <c r="B49" s="30"/>
      <c r="C49" s="30"/>
      <c r="D49" s="30"/>
      <c r="E49" s="30"/>
      <c r="F49" s="78"/>
      <c r="G49" s="76"/>
      <c r="H49" s="76"/>
      <c r="I49" s="76"/>
    </row>
    <row r="50" spans="1:9" ht="15.75">
      <c r="A50" s="30"/>
      <c r="B50" s="53">
        <f aca="true" t="shared" si="7" ref="B50:I50">+B$30</f>
        <v>44286</v>
      </c>
      <c r="C50" s="53">
        <f t="shared" si="7"/>
        <v>44377</v>
      </c>
      <c r="D50" s="53">
        <f t="shared" si="7"/>
        <v>44469</v>
      </c>
      <c r="E50" s="67">
        <f t="shared" si="7"/>
        <v>44561</v>
      </c>
      <c r="F50" s="75">
        <f t="shared" si="7"/>
        <v>44651</v>
      </c>
      <c r="G50" s="75">
        <f t="shared" si="7"/>
        <v>44742</v>
      </c>
      <c r="H50" s="75">
        <f t="shared" si="7"/>
        <v>44834</v>
      </c>
      <c r="I50" s="75">
        <f t="shared" si="7"/>
        <v>44926</v>
      </c>
    </row>
    <row r="51" spans="1:9" ht="15" customHeight="1">
      <c r="A51" s="43" t="str">
        <f>HLOOKUP(INDICE!$F$2,Nombres!$C$3:$D$636,66,FALSE)</f>
        <v>Préstamos y anticipos a la clientela bruto (*)</v>
      </c>
      <c r="B51" s="44">
        <v>58932.06356524</v>
      </c>
      <c r="C51" s="44">
        <v>58822.29361016</v>
      </c>
      <c r="D51" s="44">
        <v>59120.4147644</v>
      </c>
      <c r="E51" s="45">
        <v>62896.06160924</v>
      </c>
      <c r="F51" s="76">
        <v>70929.41591351999</v>
      </c>
      <c r="G51" s="76">
        <v>73777.19767849999</v>
      </c>
      <c r="H51" s="76">
        <v>79606.05511175</v>
      </c>
      <c r="I51" s="76">
        <v>0</v>
      </c>
    </row>
    <row r="52" spans="1:9" ht="15">
      <c r="A52" s="43" t="str">
        <f>HLOOKUP(INDICE!$F$2,Nombres!$C$3:$D$636,67,FALSE)</f>
        <v>Depósitos de clientes en gestión (**)</v>
      </c>
      <c r="B52" s="44">
        <v>35881.37108473</v>
      </c>
      <c r="C52" s="44">
        <v>36524.3060845</v>
      </c>
      <c r="D52" s="44">
        <v>36036.59698627</v>
      </c>
      <c r="E52" s="45">
        <v>37445.110905760004</v>
      </c>
      <c r="F52" s="44">
        <v>38010.77453535001</v>
      </c>
      <c r="G52" s="44">
        <v>39976.654460180005</v>
      </c>
      <c r="H52" s="44">
        <v>44417.12598849999</v>
      </c>
      <c r="I52" s="44">
        <v>0</v>
      </c>
    </row>
    <row r="53" spans="1:9" ht="15">
      <c r="A53" s="43" t="str">
        <f>HLOOKUP(INDICE!$F$2,Nombres!$C$3:$D$636,68,FALSE)</f>
        <v>Fondos de inversión y carteras gestionadas</v>
      </c>
      <c r="B53" s="44">
        <v>1062.4762971</v>
      </c>
      <c r="C53" s="44">
        <v>1055.6925817400002</v>
      </c>
      <c r="D53" s="44">
        <v>1122.5360347900003</v>
      </c>
      <c r="E53" s="45">
        <v>1209.5401303499998</v>
      </c>
      <c r="F53" s="44">
        <v>1364.1225290099999</v>
      </c>
      <c r="G53" s="44">
        <v>1268.3651473</v>
      </c>
      <c r="H53" s="44">
        <v>1482.83569009</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92.72548207999999</v>
      </c>
      <c r="C55" s="44">
        <v>116.31582259</v>
      </c>
      <c r="D55" s="44">
        <v>112.85494168</v>
      </c>
      <c r="E55" s="45">
        <v>104.17368884999999</v>
      </c>
      <c r="F55" s="44">
        <v>135.55139111</v>
      </c>
      <c r="G55" s="44">
        <v>355.16733027</v>
      </c>
      <c r="H55" s="44">
        <v>308.93988207</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13">
        <f>+B$6</f>
        <v>2021</v>
      </c>
      <c r="C62" s="313"/>
      <c r="D62" s="313"/>
      <c r="E62" s="314"/>
      <c r="F62" s="313">
        <f>+F$6</f>
        <v>2022</v>
      </c>
      <c r="G62" s="313"/>
      <c r="H62" s="313"/>
      <c r="I62" s="313"/>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365.12167660958244</v>
      </c>
      <c r="C64" s="41">
        <v>354.16319782803123</v>
      </c>
      <c r="D64" s="41">
        <v>389.21995578819735</v>
      </c>
      <c r="E64" s="42">
        <v>406.98143101369243</v>
      </c>
      <c r="F64" s="50">
        <v>466.38137630758115</v>
      </c>
      <c r="G64" s="50">
        <v>477.5766183676077</v>
      </c>
      <c r="H64" s="50">
        <v>527.2328861848112</v>
      </c>
      <c r="I64" s="50">
        <v>0</v>
      </c>
    </row>
    <row r="65" spans="1:9" ht="15">
      <c r="A65" s="43" t="str">
        <f>HLOOKUP(INDICE!$F$2,Nombres!$C$3:$D$636,34,FALSE)</f>
        <v>Comisiones netas</v>
      </c>
      <c r="B65" s="44">
        <v>180.40926477872748</v>
      </c>
      <c r="C65" s="44">
        <v>186.99660140527854</v>
      </c>
      <c r="D65" s="44">
        <v>196.25168557180086</v>
      </c>
      <c r="E65" s="45">
        <v>211.6128036022628</v>
      </c>
      <c r="F65" s="44">
        <v>200.18376714078136</v>
      </c>
      <c r="G65" s="44">
        <v>236.12498617240013</v>
      </c>
      <c r="H65" s="44">
        <v>242.87009577681857</v>
      </c>
      <c r="I65" s="44">
        <v>0</v>
      </c>
    </row>
    <row r="66" spans="1:9" ht="15">
      <c r="A66" s="43" t="str">
        <f>HLOOKUP(INDICE!$F$2,Nombres!$C$3:$D$636,35,FALSE)</f>
        <v>Resultados de operaciones financieras</v>
      </c>
      <c r="B66" s="44">
        <v>250.23998439077442</v>
      </c>
      <c r="C66" s="44">
        <v>227.71764069614</v>
      </c>
      <c r="D66" s="44">
        <v>130.6942122187504</v>
      </c>
      <c r="E66" s="45">
        <v>212.72997912277765</v>
      </c>
      <c r="F66" s="44">
        <v>353.29404491464055</v>
      </c>
      <c r="G66" s="44">
        <v>294.5657065904011</v>
      </c>
      <c r="H66" s="44">
        <v>298.80786816495834</v>
      </c>
      <c r="I66" s="44">
        <v>0</v>
      </c>
    </row>
    <row r="67" spans="1:9" ht="15">
      <c r="A67" s="43" t="str">
        <f>HLOOKUP(INDICE!$F$2,Nombres!$C$3:$D$636,36,FALSE)</f>
        <v>Otros ingresos y cargas de explotación</v>
      </c>
      <c r="B67" s="44">
        <v>-10.852728406255814</v>
      </c>
      <c r="C67" s="44">
        <v>-7.710081301200658</v>
      </c>
      <c r="D67" s="44">
        <v>-10.629736041926986</v>
      </c>
      <c r="E67" s="45">
        <v>-11.521362095098768</v>
      </c>
      <c r="F67" s="44">
        <v>-7.827308854071147</v>
      </c>
      <c r="G67" s="44">
        <v>-7.56574726729748</v>
      </c>
      <c r="H67" s="44">
        <v>-14.278451578631367</v>
      </c>
      <c r="I67" s="44">
        <v>0</v>
      </c>
    </row>
    <row r="68" spans="1:9" ht="15">
      <c r="A68" s="41" t="str">
        <f>HLOOKUP(INDICE!$F$2,Nombres!$C$3:$D$636,37,FALSE)</f>
        <v>Margen bruto</v>
      </c>
      <c r="B68" s="41">
        <f>+SUM(B64:B67)</f>
        <v>784.9181973728286</v>
      </c>
      <c r="C68" s="41">
        <f aca="true" t="shared" si="9" ref="C68:I68">+SUM(C64:C67)</f>
        <v>761.1673586282492</v>
      </c>
      <c r="D68" s="41">
        <f t="shared" si="9"/>
        <v>705.5361175368216</v>
      </c>
      <c r="E68" s="42">
        <f t="shared" si="9"/>
        <v>819.8028516436341</v>
      </c>
      <c r="F68" s="50">
        <f t="shared" si="9"/>
        <v>1012.031879508932</v>
      </c>
      <c r="G68" s="50">
        <f t="shared" si="9"/>
        <v>1000.7015638631113</v>
      </c>
      <c r="H68" s="50">
        <f t="shared" si="9"/>
        <v>1054.6323985479567</v>
      </c>
      <c r="I68" s="50">
        <f t="shared" si="9"/>
        <v>0</v>
      </c>
    </row>
    <row r="69" spans="1:9" ht="15">
      <c r="A69" s="43" t="str">
        <f>HLOOKUP(INDICE!$F$2,Nombres!$C$3:$D$636,38,FALSE)</f>
        <v>Gastos de explotación</v>
      </c>
      <c r="B69" s="44">
        <v>-236.70910338306498</v>
      </c>
      <c r="C69" s="44">
        <v>-242.99774559432808</v>
      </c>
      <c r="D69" s="44">
        <v>-237.83649685588534</v>
      </c>
      <c r="E69" s="45">
        <v>-291.5245530793652</v>
      </c>
      <c r="F69" s="44">
        <v>-262.3727611559924</v>
      </c>
      <c r="G69" s="44">
        <v>-265.79891102460795</v>
      </c>
      <c r="H69" s="44">
        <v>-294.7580110093997</v>
      </c>
      <c r="I69" s="44">
        <v>0</v>
      </c>
    </row>
    <row r="70" spans="1:9" ht="15">
      <c r="A70" s="43" t="str">
        <f>HLOOKUP(INDICE!$F$2,Nombres!$C$3:$D$636,39,FALSE)</f>
        <v>  Gastos de administración</v>
      </c>
      <c r="B70" s="44">
        <v>-209.308950945874</v>
      </c>
      <c r="C70" s="44">
        <v>-215.4694682110608</v>
      </c>
      <c r="D70" s="44">
        <v>-210.20668470239798</v>
      </c>
      <c r="E70" s="45">
        <v>-265.04900430139935</v>
      </c>
      <c r="F70" s="44">
        <v>-236.52522761282518</v>
      </c>
      <c r="G70" s="44">
        <v>-239.13703740104324</v>
      </c>
      <c r="H70" s="44">
        <v>-267.7723244161316</v>
      </c>
      <c r="I70" s="44">
        <v>0</v>
      </c>
    </row>
    <row r="71" spans="1:9" ht="15">
      <c r="A71" s="46" t="str">
        <f>HLOOKUP(INDICE!$F$2,Nombres!$C$3:$D$636,40,FALSE)</f>
        <v>  Gastos de personal</v>
      </c>
      <c r="B71" s="44">
        <v>-107.45144760772502</v>
      </c>
      <c r="C71" s="44">
        <v>-108.7125147125364</v>
      </c>
      <c r="D71" s="44">
        <v>-112.42001663470239</v>
      </c>
      <c r="E71" s="45">
        <v>-153.54097623581634</v>
      </c>
      <c r="F71" s="44">
        <v>-121.18868658375945</v>
      </c>
      <c r="G71" s="44">
        <v>-117.39626942951799</v>
      </c>
      <c r="H71" s="44">
        <v>-137.02649985672255</v>
      </c>
      <c r="I71" s="44">
        <v>0</v>
      </c>
    </row>
    <row r="72" spans="1:9" ht="15">
      <c r="A72" s="46" t="str">
        <f>HLOOKUP(INDICE!$F$2,Nombres!$C$3:$D$636,41,FALSE)</f>
        <v>  Otros gastos de administración</v>
      </c>
      <c r="B72" s="44">
        <v>-101.85750333814894</v>
      </c>
      <c r="C72" s="44">
        <v>-106.75695349852438</v>
      </c>
      <c r="D72" s="44">
        <v>-97.78666806769557</v>
      </c>
      <c r="E72" s="45">
        <v>-111.50802806558302</v>
      </c>
      <c r="F72" s="44">
        <v>-115.33654102906574</v>
      </c>
      <c r="G72" s="44">
        <v>-121.74076797152522</v>
      </c>
      <c r="H72" s="44">
        <v>-130.74582455940902</v>
      </c>
      <c r="I72" s="44">
        <v>0</v>
      </c>
    </row>
    <row r="73" spans="1:9" ht="15">
      <c r="A73" s="43" t="str">
        <f>HLOOKUP(INDICE!$F$2,Nombres!$C$3:$D$636,42,FALSE)</f>
        <v>  Amortización</v>
      </c>
      <c r="B73" s="44">
        <v>-27.40015243719106</v>
      </c>
      <c r="C73" s="44">
        <v>-27.528277383267294</v>
      </c>
      <c r="D73" s="44">
        <v>-27.62981215348738</v>
      </c>
      <c r="E73" s="45">
        <v>-26.475548777965905</v>
      </c>
      <c r="F73" s="44">
        <v>-25.847533543167195</v>
      </c>
      <c r="G73" s="44">
        <v>-26.661873623564723</v>
      </c>
      <c r="H73" s="44">
        <v>-26.985686593268085</v>
      </c>
      <c r="I73" s="44">
        <v>0</v>
      </c>
    </row>
    <row r="74" spans="1:9" ht="15">
      <c r="A74" s="41" t="str">
        <f>HLOOKUP(INDICE!$F$2,Nombres!$C$3:$D$636,43,FALSE)</f>
        <v>Margen neto</v>
      </c>
      <c r="B74" s="41">
        <f>+B68+B69</f>
        <v>548.2090939897636</v>
      </c>
      <c r="C74" s="41">
        <f aca="true" t="shared" si="10" ref="C74:I74">+C68+C69</f>
        <v>518.1696130339211</v>
      </c>
      <c r="D74" s="41">
        <f t="shared" si="10"/>
        <v>467.6996206809363</v>
      </c>
      <c r="E74" s="42">
        <f t="shared" si="10"/>
        <v>528.2782985642689</v>
      </c>
      <c r="F74" s="50">
        <f t="shared" si="10"/>
        <v>749.6591183529396</v>
      </c>
      <c r="G74" s="50">
        <f t="shared" si="10"/>
        <v>734.9026528385034</v>
      </c>
      <c r="H74" s="50">
        <f t="shared" si="10"/>
        <v>759.8743875385569</v>
      </c>
      <c r="I74" s="50">
        <f t="shared" si="10"/>
        <v>0</v>
      </c>
    </row>
    <row r="75" spans="1:9" ht="15">
      <c r="A75" s="43" t="str">
        <f>HLOOKUP(INDICE!$F$2,Nombres!$C$3:$D$636,44,FALSE)</f>
        <v>Deterioro de activos financieros no valorados a valor razonable con cambios en resultados</v>
      </c>
      <c r="B75" s="44">
        <v>-29.446930996037935</v>
      </c>
      <c r="C75" s="44">
        <v>0.09168739757617805</v>
      </c>
      <c r="D75" s="44">
        <v>18.700378113878898</v>
      </c>
      <c r="E75" s="45">
        <v>-39.48295996624793</v>
      </c>
      <c r="F75" s="44">
        <v>-20.50917299741731</v>
      </c>
      <c r="G75" s="44">
        <v>23.458024870020733</v>
      </c>
      <c r="H75" s="44">
        <v>-68.34499798260345</v>
      </c>
      <c r="I75" s="44">
        <v>0</v>
      </c>
    </row>
    <row r="76" spans="1:9" ht="15">
      <c r="A76" s="43" t="str">
        <f>HLOOKUP(INDICE!$F$2,Nombres!$C$3:$D$636,45,FALSE)</f>
        <v>Provisiones o reversión de provisiones y otros resultados</v>
      </c>
      <c r="B76" s="44">
        <v>-23.665133617206717</v>
      </c>
      <c r="C76" s="44">
        <v>8.368465681983263</v>
      </c>
      <c r="D76" s="44">
        <v>15.720818505677387</v>
      </c>
      <c r="E76" s="45">
        <v>-13.014984705204494</v>
      </c>
      <c r="F76" s="44">
        <v>20.158002071829884</v>
      </c>
      <c r="G76" s="44">
        <v>-10.303252812136614</v>
      </c>
      <c r="H76" s="44">
        <v>-0.5991724796932683</v>
      </c>
      <c r="I76" s="44">
        <v>0</v>
      </c>
    </row>
    <row r="77" spans="1:9" ht="15">
      <c r="A77" s="41" t="str">
        <f>HLOOKUP(INDICE!$F$2,Nombres!$C$3:$D$636,46,FALSE)</f>
        <v>Resultado antes de impuestos</v>
      </c>
      <c r="B77" s="41">
        <f>+B74+B75+B76</f>
        <v>495.0970293765189</v>
      </c>
      <c r="C77" s="41">
        <f aca="true" t="shared" si="11" ref="C77:I77">+C74+C75+C76</f>
        <v>526.6297661134805</v>
      </c>
      <c r="D77" s="41">
        <f t="shared" si="11"/>
        <v>502.1208173004926</v>
      </c>
      <c r="E77" s="42">
        <f t="shared" si="11"/>
        <v>475.7803538928165</v>
      </c>
      <c r="F77" s="50">
        <f t="shared" si="11"/>
        <v>749.3079474273521</v>
      </c>
      <c r="G77" s="50">
        <f t="shared" si="11"/>
        <v>748.0574248963875</v>
      </c>
      <c r="H77" s="50">
        <f t="shared" si="11"/>
        <v>690.9302170762602</v>
      </c>
      <c r="I77" s="50">
        <f t="shared" si="11"/>
        <v>0</v>
      </c>
    </row>
    <row r="78" spans="1:9" ht="15">
      <c r="A78" s="43" t="str">
        <f>HLOOKUP(INDICE!$F$2,Nombres!$C$3:$D$636,47,FALSE)</f>
        <v>Impuesto sobre beneficios</v>
      </c>
      <c r="B78" s="44">
        <v>-131.75906412533493</v>
      </c>
      <c r="C78" s="44">
        <v>-155.85604903505035</v>
      </c>
      <c r="D78" s="44">
        <v>-143.43779007218245</v>
      </c>
      <c r="E78" s="45">
        <v>-119.43712330921592</v>
      </c>
      <c r="F78" s="44">
        <v>-211.4743992458489</v>
      </c>
      <c r="G78" s="44">
        <v>-209.57235544160577</v>
      </c>
      <c r="H78" s="44">
        <v>-200.27945221254538</v>
      </c>
      <c r="I78" s="44">
        <v>0</v>
      </c>
    </row>
    <row r="79" spans="1:9" ht="15">
      <c r="A79" s="41" t="str">
        <f>HLOOKUP(INDICE!$F$2,Nombres!$C$3:$D$636,48,FALSE)</f>
        <v>Resultado del ejercicio</v>
      </c>
      <c r="B79" s="41">
        <f>+B77+B78</f>
        <v>363.33796525118396</v>
      </c>
      <c r="C79" s="41">
        <f aca="true" t="shared" si="12" ref="C79:I79">+C77+C78</f>
        <v>370.7737170784302</v>
      </c>
      <c r="D79" s="41">
        <f t="shared" si="12"/>
        <v>358.68302722831015</v>
      </c>
      <c r="E79" s="42">
        <f t="shared" si="12"/>
        <v>356.3432305836006</v>
      </c>
      <c r="F79" s="50">
        <f t="shared" si="12"/>
        <v>537.8335481815033</v>
      </c>
      <c r="G79" s="50">
        <f t="shared" si="12"/>
        <v>538.4850694547818</v>
      </c>
      <c r="H79" s="50">
        <f t="shared" si="12"/>
        <v>490.6507648637148</v>
      </c>
      <c r="I79" s="50">
        <f t="shared" si="12"/>
        <v>0</v>
      </c>
    </row>
    <row r="80" spans="1:9" ht="15">
      <c r="A80" s="43" t="str">
        <f>HLOOKUP(INDICE!$F$2,Nombres!$C$3:$D$636,49,FALSE)</f>
        <v>Minoritarios</v>
      </c>
      <c r="B80" s="44">
        <v>-53.77009139609581</v>
      </c>
      <c r="C80" s="44">
        <v>-52.62881382294121</v>
      </c>
      <c r="D80" s="44">
        <v>-56.10496390674457</v>
      </c>
      <c r="E80" s="45">
        <v>-81.56691922293129</v>
      </c>
      <c r="F80" s="44">
        <v>-93.46763824664471</v>
      </c>
      <c r="G80" s="44">
        <v>-79.81159215673196</v>
      </c>
      <c r="H80" s="44">
        <v>-40.30366752662332</v>
      </c>
      <c r="I80" s="44">
        <v>0</v>
      </c>
    </row>
    <row r="81" spans="1:9" ht="15">
      <c r="A81" s="47" t="str">
        <f>HLOOKUP(INDICE!$F$2,Nombres!$C$3:$D$636,50,FALSE)</f>
        <v>Resultado atribuido</v>
      </c>
      <c r="B81" s="47">
        <f>+B79+B80</f>
        <v>309.5678738550881</v>
      </c>
      <c r="C81" s="47">
        <f aca="true" t="shared" si="13" ref="C81:I81">+C79+C80</f>
        <v>318.144903255489</v>
      </c>
      <c r="D81" s="47">
        <f t="shared" si="13"/>
        <v>302.5780633215656</v>
      </c>
      <c r="E81" s="47">
        <f t="shared" si="13"/>
        <v>274.7763113606693</v>
      </c>
      <c r="F81" s="51">
        <f t="shared" si="13"/>
        <v>444.36590993485856</v>
      </c>
      <c r="G81" s="51">
        <f t="shared" si="13"/>
        <v>458.67347729804976</v>
      </c>
      <c r="H81" s="51">
        <f t="shared" si="13"/>
        <v>450.3470973370915</v>
      </c>
      <c r="I81" s="51">
        <f t="shared" si="13"/>
        <v>0</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Efectivo, saldos en efectivo en bancos centrales y otros depósitos a la vista</v>
      </c>
      <c r="B87" s="44">
        <v>5844.2090262002075</v>
      </c>
      <c r="C87" s="44">
        <v>5644.757708312295</v>
      </c>
      <c r="D87" s="44">
        <v>5950.238420909268</v>
      </c>
      <c r="E87" s="45">
        <v>5768.790840696173</v>
      </c>
      <c r="F87" s="44">
        <v>6862.933919924125</v>
      </c>
      <c r="G87" s="44">
        <v>8489.087918511128</v>
      </c>
      <c r="H87" s="44">
        <v>7133.68711934</v>
      </c>
      <c r="I87" s="44">
        <v>0</v>
      </c>
    </row>
    <row r="88" spans="1:9" ht="15">
      <c r="A88" s="43" t="str">
        <f>HLOOKUP(INDICE!$F$2,Nombres!$C$3:$D$636,53,FALSE)</f>
        <v>Activos financieros a valor razonable</v>
      </c>
      <c r="B88" s="58">
        <v>105265.15336491432</v>
      </c>
      <c r="C88" s="58">
        <v>110806.96335665917</v>
      </c>
      <c r="D88" s="58">
        <v>114722.8419679906</v>
      </c>
      <c r="E88" s="64">
        <v>134917.20642067437</v>
      </c>
      <c r="F88" s="44">
        <v>124315.19157350564</v>
      </c>
      <c r="G88" s="44">
        <v>128376.92265608894</v>
      </c>
      <c r="H88" s="44">
        <v>124527.60585172998</v>
      </c>
      <c r="I88" s="44">
        <v>0</v>
      </c>
    </row>
    <row r="89" spans="1:9" ht="15">
      <c r="A89" s="43" t="str">
        <f>HLOOKUP(INDICE!$F$2,Nombres!$C$3:$D$636,54,FALSE)</f>
        <v>Activos financieros a coste amortizado</v>
      </c>
      <c r="B89" s="44">
        <v>69112.9527480183</v>
      </c>
      <c r="C89" s="44">
        <v>68838.34330009512</v>
      </c>
      <c r="D89" s="44">
        <v>69269.41716254831</v>
      </c>
      <c r="E89" s="45">
        <v>74782.39360798334</v>
      </c>
      <c r="F89" s="44">
        <v>82195.3157866344</v>
      </c>
      <c r="G89" s="44">
        <v>85412.77314015347</v>
      </c>
      <c r="H89" s="44">
        <v>91927.44914708</v>
      </c>
      <c r="I89" s="44">
        <v>0</v>
      </c>
    </row>
    <row r="90" spans="1:9" ht="15">
      <c r="A90" s="43" t="str">
        <f>HLOOKUP(INDICE!$F$2,Nombres!$C$3:$D$636,55,FALSE)</f>
        <v>    de los que préstamos y anticipos a la clientela</v>
      </c>
      <c r="B90" s="44">
        <v>57819.91085834327</v>
      </c>
      <c r="C90" s="44">
        <v>57870.7100106519</v>
      </c>
      <c r="D90" s="44">
        <v>58362.32740029262</v>
      </c>
      <c r="E90" s="45">
        <v>64272.484052798914</v>
      </c>
      <c r="F90" s="44">
        <v>71985.36337247977</v>
      </c>
      <c r="G90" s="44">
        <v>73959.99241234122</v>
      </c>
      <c r="H90" s="44">
        <v>78837.01051203</v>
      </c>
      <c r="I90" s="44">
        <v>0</v>
      </c>
    </row>
    <row r="91" spans="1:9" ht="15">
      <c r="A91" s="43" t="str">
        <f>HLOOKUP(INDICE!$F$2,Nombres!$C$3:$D$636,121,FALSE)</f>
        <v>Posiciones inter-áreas activo</v>
      </c>
      <c r="B91" s="44">
        <v>0</v>
      </c>
      <c r="C91" s="44">
        <v>0</v>
      </c>
      <c r="D91" s="44">
        <v>0</v>
      </c>
      <c r="E91" s="45">
        <v>0</v>
      </c>
      <c r="F91" s="44">
        <v>0</v>
      </c>
      <c r="G91" s="44">
        <v>0</v>
      </c>
      <c r="H91" s="44">
        <v>0</v>
      </c>
      <c r="I91" s="44">
        <v>0</v>
      </c>
    </row>
    <row r="92" spans="1:9" ht="15">
      <c r="A92" s="43" t="str">
        <f>HLOOKUP(INDICE!$F$2,Nombres!$C$3:$D$636,56,FALSE)</f>
        <v>Activos tangibles</v>
      </c>
      <c r="B92" s="44">
        <v>47.4148502641804</v>
      </c>
      <c r="C92" s="44">
        <v>44.234721911534876</v>
      </c>
      <c r="D92" s="44">
        <v>41.036685965562</v>
      </c>
      <c r="E92" s="45">
        <v>45.384604770341554</v>
      </c>
      <c r="F92" s="44">
        <v>55.32811282573758</v>
      </c>
      <c r="G92" s="44">
        <v>52.18853959276689</v>
      </c>
      <c r="H92" s="44">
        <v>52.2117761</v>
      </c>
      <c r="I92" s="44">
        <v>0</v>
      </c>
    </row>
    <row r="93" spans="1:9" ht="15">
      <c r="A93" s="43" t="str">
        <f>HLOOKUP(INDICE!$F$2,Nombres!$C$3:$D$636,57,FALSE)</f>
        <v>Otros activos</v>
      </c>
      <c r="B93" s="58">
        <f>+B94-B92-B89-B88-B87-B91</f>
        <v>1228.7755876893152</v>
      </c>
      <c r="C93" s="58">
        <f aca="true" t="shared" si="15" ref="C93:I93">+C94-C92-C89-C88-C87-C91</f>
        <v>2553.251318989359</v>
      </c>
      <c r="D93" s="58">
        <f t="shared" si="15"/>
        <v>1934.6607341650842</v>
      </c>
      <c r="E93" s="64">
        <f t="shared" si="15"/>
        <v>7.988617815651196</v>
      </c>
      <c r="F93" s="58">
        <f t="shared" si="15"/>
        <v>1019.025367348263</v>
      </c>
      <c r="G93" s="58">
        <f t="shared" si="15"/>
        <v>1937.073020620197</v>
      </c>
      <c r="H93" s="58">
        <f t="shared" si="15"/>
        <v>1916.458863309992</v>
      </c>
      <c r="I93" s="58">
        <f t="shared" si="15"/>
        <v>0</v>
      </c>
    </row>
    <row r="94" spans="1:9" ht="15">
      <c r="A94" s="47" t="str">
        <f>HLOOKUP(INDICE!$F$2,Nombres!$C$3:$D$636,58,FALSE)</f>
        <v>Total activo / pasivo</v>
      </c>
      <c r="B94" s="47">
        <v>181498.50557708633</v>
      </c>
      <c r="C94" s="47">
        <v>187887.5504059675</v>
      </c>
      <c r="D94" s="47">
        <v>191918.1949715788</v>
      </c>
      <c r="E94" s="70">
        <v>215521.76409193987</v>
      </c>
      <c r="F94" s="51">
        <v>214447.79476023818</v>
      </c>
      <c r="G94" s="51">
        <v>224268.04527496648</v>
      </c>
      <c r="H94" s="51">
        <v>225557.41275756</v>
      </c>
      <c r="I94" s="51">
        <v>0</v>
      </c>
    </row>
    <row r="95" spans="1:9" ht="15">
      <c r="A95" s="43" t="str">
        <f>HLOOKUP(INDICE!$F$2,Nombres!$C$3:$D$636,59,FALSE)</f>
        <v>Pasivos financieros mantenidos para negociar y designados a valor razonable con cambios en resultados</v>
      </c>
      <c r="B95" s="58">
        <v>83826.3184692829</v>
      </c>
      <c r="C95" s="58">
        <v>84980.0218313531</v>
      </c>
      <c r="D95" s="58">
        <v>85688.82600784821</v>
      </c>
      <c r="E95" s="64">
        <v>97608.24378163775</v>
      </c>
      <c r="F95" s="44">
        <v>94161.27460019857</v>
      </c>
      <c r="G95" s="44">
        <v>105420.43080316624</v>
      </c>
      <c r="H95" s="44">
        <v>104536.04972563002</v>
      </c>
      <c r="I95" s="44">
        <v>0</v>
      </c>
    </row>
    <row r="96" spans="1:9" ht="15">
      <c r="A96" s="43" t="str">
        <f>HLOOKUP(INDICE!$F$2,Nombres!$C$3:$D$636,60,FALSE)</f>
        <v>Depósitos de bancos centrales y entidades de crédito</v>
      </c>
      <c r="B96" s="58">
        <v>14507.166825084627</v>
      </c>
      <c r="C96" s="58">
        <v>15213.144252314385</v>
      </c>
      <c r="D96" s="58">
        <v>15713.040913106648</v>
      </c>
      <c r="E96" s="64">
        <v>13164.899647197177</v>
      </c>
      <c r="F96" s="44">
        <v>16441.89494951318</v>
      </c>
      <c r="G96" s="44">
        <v>21159.44241795282</v>
      </c>
      <c r="H96" s="44">
        <v>22493.47156409</v>
      </c>
      <c r="I96" s="44">
        <v>0</v>
      </c>
    </row>
    <row r="97" spans="1:9" ht="15">
      <c r="A97" s="43" t="str">
        <f>HLOOKUP(INDICE!$F$2,Nombres!$C$3:$D$636,61,FALSE)</f>
        <v>Depósitos de la clientela</v>
      </c>
      <c r="B97" s="58">
        <v>37750.55964865</v>
      </c>
      <c r="C97" s="58">
        <v>38433.011718613416</v>
      </c>
      <c r="D97" s="58">
        <v>38326.94628104091</v>
      </c>
      <c r="E97" s="64">
        <v>40253.72098066103</v>
      </c>
      <c r="F97" s="44">
        <v>39675.59249869698</v>
      </c>
      <c r="G97" s="44">
        <v>41101.037462317996</v>
      </c>
      <c r="H97" s="44">
        <v>45078.277311000005</v>
      </c>
      <c r="I97" s="44">
        <v>0</v>
      </c>
    </row>
    <row r="98" spans="1:9" ht="15">
      <c r="A98" s="43" t="str">
        <f>HLOOKUP(INDICE!$F$2,Nombres!$C$3:$D$636,62,FALSE)</f>
        <v>Valores representativos de deuda emitidos</v>
      </c>
      <c r="B98" s="44">
        <v>2210.157277646929</v>
      </c>
      <c r="C98" s="44">
        <v>2814.1388761181893</v>
      </c>
      <c r="D98" s="44">
        <v>3261.4750814204426</v>
      </c>
      <c r="E98" s="45">
        <v>6225.597195586332</v>
      </c>
      <c r="F98" s="44">
        <v>4392.911207057361</v>
      </c>
      <c r="G98" s="44">
        <v>5079.771126828664</v>
      </c>
      <c r="H98" s="44">
        <v>5358.37177386</v>
      </c>
      <c r="I98" s="44">
        <v>0</v>
      </c>
    </row>
    <row r="99" spans="1:9" ht="15">
      <c r="A99" s="43" t="str">
        <f>HLOOKUP(INDICE!$F$2,Nombres!$C$3:$D$636,122,FALSE)</f>
        <v>Posiciones inter-áreas pasivo</v>
      </c>
      <c r="B99" s="44">
        <v>32599.17353123106</v>
      </c>
      <c r="C99" s="44">
        <v>33154.99713966991</v>
      </c>
      <c r="D99" s="44">
        <v>35991.46697260254</v>
      </c>
      <c r="E99" s="45">
        <v>44947.435057993716</v>
      </c>
      <c r="F99" s="44">
        <v>46630.71900702021</v>
      </c>
      <c r="G99" s="44">
        <v>35916.344995294385</v>
      </c>
      <c r="H99" s="44">
        <v>31820.953228323197</v>
      </c>
      <c r="I99" s="44">
        <v>0</v>
      </c>
    </row>
    <row r="100" spans="1:9" ht="15">
      <c r="A100" s="43" t="str">
        <f>HLOOKUP(INDICE!$F$2,Nombres!$C$3:$D$636,63,FALSE)</f>
        <v>Otros pasivos</v>
      </c>
      <c r="B100" s="44">
        <f aca="true" t="shared" si="16" ref="B100:I100">+B94-B95-B96-B97-B98-B101-B99</f>
        <v>1903.4741743091909</v>
      </c>
      <c r="C100" s="44">
        <f t="shared" si="16"/>
        <v>3318.734662834846</v>
      </c>
      <c r="D100" s="44">
        <f t="shared" si="16"/>
        <v>2978.917950775758</v>
      </c>
      <c r="E100" s="45">
        <f t="shared" si="16"/>
        <v>2877.1391774379445</v>
      </c>
      <c r="F100" s="44">
        <f t="shared" si="16"/>
        <v>2522.974180548241</v>
      </c>
      <c r="G100" s="44">
        <f t="shared" si="16"/>
        <v>4131.638769563542</v>
      </c>
      <c r="H100" s="44">
        <f t="shared" si="16"/>
        <v>4587.915723348386</v>
      </c>
      <c r="I100" s="44">
        <f t="shared" si="16"/>
        <v>0</v>
      </c>
    </row>
    <row r="101" spans="1:9" ht="15">
      <c r="A101" s="43" t="str">
        <f>HLOOKUP(INDICE!$F$2,Nombres!$C$3:$D$636,282,FALSE)</f>
        <v>Dotación de capital regulatorio</v>
      </c>
      <c r="B101" s="44">
        <v>8701.655650881628</v>
      </c>
      <c r="C101" s="44">
        <v>9973.50192506364</v>
      </c>
      <c r="D101" s="44">
        <v>9957.521764784286</v>
      </c>
      <c r="E101" s="45">
        <v>10444.728251425915</v>
      </c>
      <c r="F101" s="44">
        <v>10622.428317203634</v>
      </c>
      <c r="G101" s="44">
        <v>11459.379699842848</v>
      </c>
      <c r="H101" s="44">
        <v>11682.3734313084</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Préstamos y anticipos a la clientela bruto (*)</v>
      </c>
      <c r="B107" s="44">
        <v>58458.76093641427</v>
      </c>
      <c r="C107" s="44">
        <v>58584.39779555614</v>
      </c>
      <c r="D107" s="44">
        <v>58791.506463283404</v>
      </c>
      <c r="E107" s="45">
        <v>65064.239500686155</v>
      </c>
      <c r="F107" s="44">
        <v>72678.99764518124</v>
      </c>
      <c r="G107" s="44">
        <v>74757.00541857029</v>
      </c>
      <c r="H107" s="44">
        <v>79606.05511175</v>
      </c>
      <c r="I107" s="44">
        <v>0</v>
      </c>
    </row>
    <row r="108" spans="1:9" ht="15">
      <c r="A108" s="43" t="str">
        <f>HLOOKUP(INDICE!$F$2,Nombres!$C$3:$D$636,67,FALSE)</f>
        <v>Depósitos de clientes en gestión (**)</v>
      </c>
      <c r="B108" s="44">
        <v>37139.88373438195</v>
      </c>
      <c r="C108" s="44">
        <v>37783.414932400265</v>
      </c>
      <c r="D108" s="44">
        <v>37676.934892362406</v>
      </c>
      <c r="E108" s="45">
        <v>39331.62276956945</v>
      </c>
      <c r="F108" s="44">
        <v>39116.14919102522</v>
      </c>
      <c r="G108" s="44">
        <v>40532.31548922009</v>
      </c>
      <c r="H108" s="44">
        <v>44417.12598849999</v>
      </c>
      <c r="I108" s="44">
        <v>0</v>
      </c>
    </row>
    <row r="109" spans="1:9" ht="15">
      <c r="A109" s="43" t="str">
        <f>HLOOKUP(INDICE!$F$2,Nombres!$C$3:$D$636,68,FALSE)</f>
        <v>Fondos de inversión y carteras gestionadas</v>
      </c>
      <c r="B109" s="44">
        <v>960.0088006887286</v>
      </c>
      <c r="C109" s="44">
        <v>1000.9248635085269</v>
      </c>
      <c r="D109" s="44">
        <v>1041.2960009288577</v>
      </c>
      <c r="E109" s="45">
        <v>1134.1118645352421</v>
      </c>
      <c r="F109" s="44">
        <v>1261.244598841255</v>
      </c>
      <c r="G109" s="44">
        <v>1213.6016830054339</v>
      </c>
      <c r="H109" s="44">
        <v>1482.83569009</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113.55310419890777</v>
      </c>
      <c r="C111" s="44">
        <v>139.64555719053595</v>
      </c>
      <c r="D111" s="44">
        <v>136.4415457632679</v>
      </c>
      <c r="E111" s="45">
        <v>122.7627776937017</v>
      </c>
      <c r="F111" s="44">
        <v>152.4683107356977</v>
      </c>
      <c r="G111" s="44">
        <v>379.1257034876215</v>
      </c>
      <c r="H111" s="44">
        <v>308.93988207</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9" spans="2:9" ht="15">
      <c r="B119" s="54"/>
      <c r="C119" s="54"/>
      <c r="D119" s="54"/>
      <c r="E119" s="54"/>
      <c r="F119" s="54"/>
      <c r="G119" s="54"/>
      <c r="H119" s="54"/>
      <c r="I119" s="54"/>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1000" ht="15">
      <c r="A1000" s="31" t="s">
        <v>392</v>
      </c>
    </row>
  </sheetData>
  <sheetProtection/>
  <mergeCells count="5">
    <mergeCell ref="B6:E6"/>
    <mergeCell ref="B62:E62"/>
    <mergeCell ref="F6:I6"/>
    <mergeCell ref="F62:I62"/>
    <mergeCell ref="A2:I2"/>
  </mergeCells>
  <conditionalFormatting sqref="C82:I82">
    <cfRule type="cellIs" priority="3" dxfId="131" operator="notBetween">
      <formula>0.5</formula>
      <formula>-0.5</formula>
    </cfRule>
  </conditionalFormatting>
  <conditionalFormatting sqref="B26:I26">
    <cfRule type="cellIs" priority="2" dxfId="131" operator="notBetween">
      <formula>0.5</formula>
      <formula>-0.5</formula>
    </cfRule>
  </conditionalFormatting>
  <conditionalFormatting sqref="B82:I82">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IU998"/>
  <sheetViews>
    <sheetView showGridLines="0" zoomScalePageLayoutView="0" workbookViewId="0" topLeftCell="A1">
      <selection activeCell="A1" sqref="A1"/>
    </sheetView>
  </sheetViews>
  <sheetFormatPr defaultColWidth="12.57421875" defaultRowHeight="15"/>
  <cols>
    <col min="1" max="1" width="40.7109375" style="96" customWidth="1"/>
    <col min="2" max="8" width="10.00390625" style="96" customWidth="1"/>
    <col min="9" max="9" width="10.00390625" style="96" hidden="1" customWidth="1"/>
    <col min="10" max="255" width="12.57421875" style="96" customWidth="1"/>
  </cols>
  <sheetData>
    <row r="1" spans="1:9" ht="18">
      <c r="A1" s="94" t="str">
        <f>HLOOKUP(INDICE!$F$2,Nombres!$C$3:$D$636,82,FALSE)</f>
        <v>Eficiencia (*)</v>
      </c>
      <c r="B1" s="95"/>
      <c r="C1" s="95"/>
      <c r="D1" s="95"/>
      <c r="E1" s="95"/>
      <c r="F1" s="95"/>
      <c r="G1" s="95"/>
      <c r="H1" s="95"/>
      <c r="I1" s="95"/>
    </row>
    <row r="2" spans="1:9" ht="15">
      <c r="A2" s="97" t="str">
        <f>HLOOKUP(INDICE!$F$2,Nombres!$C$3:$D$636,84,FALSE)</f>
        <v>(Porcentaje)</v>
      </c>
      <c r="B2" s="98"/>
      <c r="C2" s="98"/>
      <c r="D2" s="98"/>
      <c r="E2" s="98"/>
      <c r="F2" s="98"/>
      <c r="G2" s="98"/>
      <c r="H2" s="98"/>
      <c r="I2" s="98"/>
    </row>
    <row r="3" spans="1:9" ht="15.75">
      <c r="A3" s="99"/>
      <c r="B3" s="100">
        <f>+España!B32</f>
        <v>44286</v>
      </c>
      <c r="C3" s="100">
        <f>+España!C32</f>
        <v>44377</v>
      </c>
      <c r="D3" s="100">
        <f>+España!D32</f>
        <v>44469</v>
      </c>
      <c r="E3" s="100">
        <f>+España!E32</f>
        <v>44561</v>
      </c>
      <c r="F3" s="100">
        <f>+España!F32</f>
        <v>44651</v>
      </c>
      <c r="G3" s="100">
        <f>+España!G32</f>
        <v>44742</v>
      </c>
      <c r="H3" s="100">
        <f>+España!H32</f>
        <v>44834</v>
      </c>
      <c r="I3" s="100">
        <f>+España!I32</f>
        <v>44926</v>
      </c>
    </row>
    <row r="4" spans="1:9" ht="15">
      <c r="A4" s="98"/>
      <c r="B4" s="101"/>
      <c r="C4" s="101"/>
      <c r="D4" s="101"/>
      <c r="E4" s="102"/>
      <c r="F4" s="101"/>
      <c r="G4" s="101"/>
      <c r="H4" s="98"/>
      <c r="I4" s="98"/>
    </row>
    <row r="5" spans="1:255" ht="15">
      <c r="A5" s="103" t="str">
        <f>HLOOKUP(INDICE!$F$2,Nombres!$C$3:$D$636,276,FALSE)</f>
        <v>Grupo BBVA  (**)</v>
      </c>
      <c r="B5" s="104">
        <v>44.70282177747371</v>
      </c>
      <c r="C5" s="104">
        <v>44.8198340018982</v>
      </c>
      <c r="D5" s="104">
        <v>44.74692214424432</v>
      </c>
      <c r="E5" s="105">
        <v>45.237717626841466</v>
      </c>
      <c r="F5" s="243">
        <v>44.757337003279865</v>
      </c>
      <c r="G5" s="243">
        <v>43.908583948995016</v>
      </c>
      <c r="H5" s="243">
        <v>42.86110126635576</v>
      </c>
      <c r="I5" s="243">
        <v>0</v>
      </c>
      <c r="J5" s="106"/>
      <c r="K5" s="106"/>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2" ht="15">
      <c r="A6" s="98"/>
      <c r="B6" s="107"/>
      <c r="C6" s="107"/>
      <c r="D6" s="107"/>
      <c r="E6" s="108"/>
      <c r="F6" s="107"/>
      <c r="G6" s="107"/>
      <c r="H6" s="107"/>
      <c r="I6" s="107"/>
      <c r="J6" s="109"/>
      <c r="K6" s="109"/>
      <c r="L6" s="109"/>
    </row>
    <row r="7" spans="1:255" ht="15">
      <c r="A7" s="59" t="str">
        <f>HLOOKUP(INDICE!$F$2,Nombres!$C$3:$D$636,7,FALSE)</f>
        <v>España</v>
      </c>
      <c r="B7" s="110">
        <v>46.29686186789716</v>
      </c>
      <c r="C7" s="110">
        <v>49.610545055058516</v>
      </c>
      <c r="D7" s="110">
        <v>49.94602078565011</v>
      </c>
      <c r="E7" s="111">
        <v>51.66024950129674</v>
      </c>
      <c r="F7" s="112">
        <v>42.89619288152256</v>
      </c>
      <c r="G7" s="112">
        <v>46.72999085392387</v>
      </c>
      <c r="H7" s="112">
        <v>46.426160608959385</v>
      </c>
      <c r="I7" s="112">
        <v>0</v>
      </c>
      <c r="J7" s="106"/>
      <c r="K7" s="106"/>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2" ht="15">
      <c r="A8" s="98"/>
      <c r="B8" s="107"/>
      <c r="C8" s="107"/>
      <c r="D8" s="107"/>
      <c r="E8" s="108"/>
      <c r="F8" s="107"/>
      <c r="G8" s="107"/>
      <c r="H8" s="107"/>
      <c r="I8" s="107"/>
      <c r="J8" s="113"/>
      <c r="K8" s="109"/>
      <c r="L8" s="109"/>
    </row>
    <row r="9" spans="1:255" ht="15">
      <c r="A9" s="59" t="str">
        <f>HLOOKUP(INDICE!$F$2,Nombres!$C$3:$D$636,11,FALSE)</f>
        <v>México</v>
      </c>
      <c r="B9" s="110">
        <v>35.67332364307007</v>
      </c>
      <c r="C9" s="110">
        <v>35.48096651152269</v>
      </c>
      <c r="D9" s="110">
        <v>35.37181969176801</v>
      </c>
      <c r="E9" s="111">
        <v>35.27801790638577</v>
      </c>
      <c r="F9" s="112">
        <v>33.69668964793765</v>
      </c>
      <c r="G9" s="112">
        <v>32.15133225298348</v>
      </c>
      <c r="H9" s="112">
        <v>31.85912087481383</v>
      </c>
      <c r="I9" s="112">
        <v>0</v>
      </c>
      <c r="J9" s="113"/>
      <c r="K9" s="109"/>
      <c r="L9" s="10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2" ht="15">
      <c r="A10" s="98"/>
      <c r="B10" s="107"/>
      <c r="C10" s="107"/>
      <c r="D10" s="107"/>
      <c r="E10" s="108"/>
      <c r="F10" s="107"/>
      <c r="G10" s="107"/>
      <c r="H10" s="107"/>
      <c r="I10" s="107"/>
      <c r="J10" s="113"/>
      <c r="K10" s="109"/>
      <c r="L10" s="109"/>
    </row>
    <row r="11" spans="1:13" ht="15">
      <c r="A11" s="59" t="str">
        <f>HLOOKUP(INDICE!$F$2,Nombres!$C$3:$D$636,12,FALSE)</f>
        <v>Turquía </v>
      </c>
      <c r="B11" s="110">
        <v>31.807678874989477</v>
      </c>
      <c r="C11" s="110">
        <v>31.773085069771444</v>
      </c>
      <c r="D11" s="110">
        <v>30.450084486741613</v>
      </c>
      <c r="E11" s="111">
        <v>29.505856929400064</v>
      </c>
      <c r="F11" s="112">
        <v>47.52741799139958</v>
      </c>
      <c r="G11" s="112">
        <v>37.2355437723112</v>
      </c>
      <c r="H11" s="112">
        <v>33.52479508698284</v>
      </c>
      <c r="I11" s="112">
        <v>0</v>
      </c>
      <c r="J11" s="106"/>
      <c r="K11" s="106"/>
      <c r="L11"/>
      <c r="M11"/>
    </row>
    <row r="12" spans="1:12" ht="15">
      <c r="A12" s="98"/>
      <c r="B12" s="107"/>
      <c r="C12" s="107"/>
      <c r="D12" s="107"/>
      <c r="E12" s="108"/>
      <c r="F12" s="107"/>
      <c r="G12" s="107"/>
      <c r="H12" s="107"/>
      <c r="I12" s="107"/>
      <c r="J12" s="109"/>
      <c r="K12" s="109"/>
      <c r="L12" s="109"/>
    </row>
    <row r="13" spans="1:255" ht="15">
      <c r="A13" s="59" t="str">
        <f>HLOOKUP(INDICE!$F$2,Nombres!$C$3:$D$636,13,FALSE)</f>
        <v>América del Sur </v>
      </c>
      <c r="B13" s="110">
        <v>47.95661784450792</v>
      </c>
      <c r="C13" s="110">
        <v>46.854720723353154</v>
      </c>
      <c r="D13" s="110">
        <v>47.50811086435149</v>
      </c>
      <c r="E13" s="111">
        <v>48.15041312496789</v>
      </c>
      <c r="F13" s="112">
        <v>46.82329393789156</v>
      </c>
      <c r="G13" s="112">
        <v>46.74558913883573</v>
      </c>
      <c r="H13" s="112">
        <v>47.151919185338</v>
      </c>
      <c r="I13" s="112">
        <v>0</v>
      </c>
      <c r="J13" s="106"/>
      <c r="K13" s="106"/>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2" ht="15">
      <c r="A14" s="98"/>
      <c r="B14" s="107"/>
      <c r="C14" s="107"/>
      <c r="D14" s="107"/>
      <c r="E14" s="108"/>
      <c r="F14" s="107"/>
      <c r="G14" s="107"/>
      <c r="H14" s="107"/>
      <c r="I14" s="107"/>
      <c r="J14" s="109"/>
      <c r="K14" s="109"/>
      <c r="L14" s="109"/>
    </row>
    <row r="15" spans="1:255" ht="15">
      <c r="A15" s="59" t="str">
        <f>HLOOKUP(INDICE!$F$2,Nombres!$C$3:$D$636,263,FALSE)</f>
        <v>Resto de Negocios</v>
      </c>
      <c r="B15" s="110">
        <v>49.98525104503651</v>
      </c>
      <c r="C15" s="110">
        <v>53.99189323586378</v>
      </c>
      <c r="D15" s="110">
        <v>54.08142278033714</v>
      </c>
      <c r="E15" s="111">
        <v>58.35443415051953</v>
      </c>
      <c r="F15" s="112">
        <v>56.85743879530505</v>
      </c>
      <c r="G15" s="112">
        <v>60.89455491417086</v>
      </c>
      <c r="H15" s="112">
        <v>62.81230598407219</v>
      </c>
      <c r="I15" s="112">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2" ht="15">
      <c r="A16" s="98"/>
      <c r="B16" s="114"/>
      <c r="C16" s="114"/>
      <c r="D16" s="114"/>
      <c r="E16" s="114"/>
      <c r="F16" s="114"/>
      <c r="G16" s="114"/>
      <c r="H16" s="98"/>
      <c r="I16" s="267"/>
      <c r="J16" s="109"/>
      <c r="K16" s="109"/>
      <c r="L16" s="109"/>
    </row>
    <row r="17" spans="1:12" ht="15">
      <c r="A17" s="115" t="str">
        <f>HLOOKUP(INDICE!$F$2,Nombres!$C$3:$D$636,83,FALSE)</f>
        <v>(*) Gastos de explotación / Margen bruto. Incluye amortizaciones</v>
      </c>
      <c r="B17" s="98"/>
      <c r="C17" s="98"/>
      <c r="D17" s="98"/>
      <c r="E17" s="98"/>
      <c r="F17" s="98"/>
      <c r="G17" s="98"/>
      <c r="H17" s="98"/>
      <c r="I17" s="267"/>
      <c r="J17" s="109"/>
      <c r="K17" s="109"/>
      <c r="L17" s="109"/>
    </row>
    <row r="18" spans="1:12" ht="15">
      <c r="A18" s="116"/>
      <c r="B18" s="116"/>
      <c r="C18" s="116"/>
      <c r="D18" s="116"/>
      <c r="E18" s="116"/>
      <c r="F18" s="116"/>
      <c r="G18" s="116"/>
      <c r="H18" s="116"/>
      <c r="I18" s="268"/>
      <c r="J18" s="109"/>
      <c r="K18" s="109"/>
      <c r="L18" s="109"/>
    </row>
    <row r="19" spans="1:9" ht="15">
      <c r="A19" s="115" t="str">
        <f>HLOOKUP(INDICE!$F$2,Nombres!$C$3:$D$636,277,FALSE)</f>
        <v>(**) Grupo BBVA no incluye el negocio vendido de EEUU vendido a PNC.</v>
      </c>
      <c r="B19" s="116"/>
      <c r="C19" s="116"/>
      <c r="D19" s="116"/>
      <c r="E19" s="116"/>
      <c r="F19" s="116"/>
      <c r="G19" s="116"/>
      <c r="H19" s="116"/>
      <c r="I19" s="116"/>
    </row>
    <row r="998" ht="15">
      <c r="A998" s="96" t="s">
        <v>392</v>
      </c>
    </row>
  </sheetData>
  <sheetProtection/>
  <conditionalFormatting sqref="C82:I82">
    <cfRule type="cellIs" priority="3" dxfId="131" operator="notBetween">
      <formula>0.5</formula>
      <formula>-0.5</formula>
    </cfRule>
  </conditionalFormatting>
  <conditionalFormatting sqref="B26:I26">
    <cfRule type="cellIs" priority="2" dxfId="131" operator="notBetween">
      <formula>0.5</formula>
      <formula>-0.5</formula>
    </cfRule>
  </conditionalFormatting>
  <conditionalFormatting sqref="B82:I82">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U994"/>
  <sheetViews>
    <sheetView showGridLines="0" zoomScalePageLayoutView="0" workbookViewId="0" topLeftCell="A1">
      <selection activeCell="A1" sqref="A1"/>
    </sheetView>
  </sheetViews>
  <sheetFormatPr defaultColWidth="12.57421875" defaultRowHeight="15"/>
  <cols>
    <col min="1" max="1" width="45.7109375" style="152" customWidth="1"/>
    <col min="2" max="6" width="10.8515625" style="96" customWidth="1" collapsed="1"/>
    <col min="7" max="7" width="10.8515625" style="96" customWidth="1"/>
    <col min="8" max="8" width="10.8515625" style="118" customWidth="1"/>
    <col min="9" max="9" width="10.8515625" style="118" hidden="1" customWidth="1"/>
    <col min="10" max="11" width="9.57421875" style="118" customWidth="1"/>
    <col min="12" max="255" width="12.57421875" style="118" customWidth="1"/>
  </cols>
  <sheetData>
    <row r="1" spans="1:9" ht="19.5">
      <c r="A1" s="94" t="str">
        <f>HLOOKUP(INDICE!$F$2,Nombres!$C$3:$D$636,85,FALSE)</f>
        <v>Tasa de mora</v>
      </c>
      <c r="B1" s="117"/>
      <c r="C1" s="117"/>
      <c r="D1" s="117"/>
      <c r="E1" s="117"/>
      <c r="F1" s="117"/>
      <c r="G1" s="95"/>
      <c r="H1" s="95"/>
      <c r="I1" s="95"/>
    </row>
    <row r="2" spans="1:9" ht="15">
      <c r="A2" s="97" t="str">
        <f>HLOOKUP(INDICE!$F$2,Nombres!$C$3:$D$636,84,FALSE)</f>
        <v>(Porcentaje)</v>
      </c>
      <c r="B2" s="98"/>
      <c r="C2" s="98"/>
      <c r="D2" s="98"/>
      <c r="E2" s="98"/>
      <c r="F2" s="98"/>
      <c r="G2" s="98"/>
      <c r="H2" s="98"/>
      <c r="I2" s="98"/>
    </row>
    <row r="3" spans="1:9" ht="15.75">
      <c r="A3" s="98"/>
      <c r="B3" s="119">
        <f>+España!B$32</f>
        <v>44286</v>
      </c>
      <c r="C3" s="119">
        <f>+España!C$32</f>
        <v>44377</v>
      </c>
      <c r="D3" s="119">
        <f>+España!D$32</f>
        <v>44469</v>
      </c>
      <c r="E3" s="119">
        <f>+España!E$32</f>
        <v>44561</v>
      </c>
      <c r="F3" s="119">
        <f>+España!F$32</f>
        <v>44651</v>
      </c>
      <c r="G3" s="119">
        <f>+España!G$32</f>
        <v>44742</v>
      </c>
      <c r="H3" s="119">
        <f>+España!H$32</f>
        <v>44834</v>
      </c>
      <c r="I3" s="119">
        <f>+España!I$32</f>
        <v>44926</v>
      </c>
    </row>
    <row r="4" spans="1:9" ht="15">
      <c r="A4" s="98"/>
      <c r="B4" s="101"/>
      <c r="C4" s="101"/>
      <c r="D4" s="98"/>
      <c r="E4" s="120"/>
      <c r="F4" s="101"/>
      <c r="G4" s="101"/>
      <c r="H4" s="98"/>
      <c r="I4" s="98"/>
    </row>
    <row r="5" spans="1:255" ht="15">
      <c r="A5" s="103" t="str">
        <f>HLOOKUP(INDICE!$F$2,Nombres!$C$3:$D$636,275,FALSE)</f>
        <v>Grupo BBVA  (*)</v>
      </c>
      <c r="B5" s="294">
        <v>4.27422612423203</v>
      </c>
      <c r="C5" s="294">
        <v>4.232742966059368</v>
      </c>
      <c r="D5" s="294">
        <v>3.9987137735190568</v>
      </c>
      <c r="E5" s="295">
        <v>4.107089575358145</v>
      </c>
      <c r="F5" s="294">
        <v>3.9492831438618925</v>
      </c>
      <c r="G5" s="296">
        <v>3.743050297461989</v>
      </c>
      <c r="H5" s="297">
        <v>3.537316345545786</v>
      </c>
      <c r="I5" s="296">
        <v>0</v>
      </c>
      <c r="J5" s="121"/>
      <c r="K5" s="122"/>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5">
      <c r="A6" s="98"/>
      <c r="B6" s="298"/>
      <c r="C6" s="298"/>
      <c r="D6" s="298"/>
      <c r="E6" s="299"/>
      <c r="F6" s="298"/>
      <c r="G6" s="298"/>
      <c r="H6" s="300"/>
      <c r="I6" s="298"/>
      <c r="J6" s="121"/>
      <c r="K6" s="122"/>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c r="IH6" s="123"/>
      <c r="II6" s="123"/>
      <c r="IJ6" s="123"/>
      <c r="IK6" s="123"/>
      <c r="IL6" s="123"/>
      <c r="IM6" s="123"/>
      <c r="IN6" s="123"/>
      <c r="IO6" s="123"/>
      <c r="IP6" s="123"/>
      <c r="IQ6" s="123"/>
      <c r="IR6" s="123"/>
      <c r="IS6" s="123"/>
      <c r="IT6" s="123"/>
      <c r="IU6" s="123"/>
    </row>
    <row r="7" spans="1:255" ht="15">
      <c r="A7" s="59" t="str">
        <f>HLOOKUP(INDICE!$F$2,Nombres!$C$3:$D$636,7,FALSE)</f>
        <v>España</v>
      </c>
      <c r="B7" s="301">
        <v>4.380902270503293</v>
      </c>
      <c r="C7" s="301">
        <v>4.16968343597887</v>
      </c>
      <c r="D7" s="301">
        <v>4.088178500614938</v>
      </c>
      <c r="E7" s="302">
        <v>4.220438485317629</v>
      </c>
      <c r="F7" s="301">
        <v>4.176313750938057</v>
      </c>
      <c r="G7" s="303">
        <v>4.036433443599574</v>
      </c>
      <c r="H7" s="304">
        <v>3.9078749431004645</v>
      </c>
      <c r="I7" s="303">
        <v>0</v>
      </c>
      <c r="J7" s="121"/>
      <c r="K7" s="122"/>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1" ht="15">
      <c r="A8" s="98"/>
      <c r="B8" s="298"/>
      <c r="C8" s="298"/>
      <c r="D8" s="298"/>
      <c r="E8" s="299"/>
      <c r="F8" s="298"/>
      <c r="G8" s="298"/>
      <c r="H8" s="300"/>
      <c r="I8" s="298"/>
      <c r="J8" s="121"/>
      <c r="K8" s="124"/>
    </row>
    <row r="9" spans="1:255" ht="15">
      <c r="A9" s="59" t="str">
        <f>HLOOKUP(INDICE!$F$2,Nombres!$C$3:$D$636,11,FALSE)</f>
        <v>México</v>
      </c>
      <c r="B9" s="301">
        <v>2.958559833273872</v>
      </c>
      <c r="C9" s="301">
        <v>3.0526317112659664</v>
      </c>
      <c r="D9" s="301">
        <v>2.544928431659197</v>
      </c>
      <c r="E9" s="302">
        <v>3.1706244467500984</v>
      </c>
      <c r="F9" s="301">
        <v>2.955577253896324</v>
      </c>
      <c r="G9" s="303">
        <v>2.811362322672342</v>
      </c>
      <c r="H9" s="304">
        <v>2.5278173004610136</v>
      </c>
      <c r="I9" s="303">
        <v>0</v>
      </c>
      <c r="J9" s="121"/>
      <c r="K9" s="124"/>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1" ht="15">
      <c r="A10" s="98"/>
      <c r="B10" s="298"/>
      <c r="C10" s="298"/>
      <c r="D10" s="298"/>
      <c r="E10" s="299"/>
      <c r="F10" s="298"/>
      <c r="G10" s="298"/>
      <c r="H10" s="300"/>
      <c r="I10" s="298"/>
      <c r="J10" s="121"/>
      <c r="K10" s="124"/>
    </row>
    <row r="11" spans="1:13" ht="15">
      <c r="A11" s="59" t="str">
        <f>HLOOKUP(INDICE!$F$2,Nombres!$C$3:$D$636,12,FALSE)</f>
        <v>Turquía </v>
      </c>
      <c r="B11" s="301">
        <v>6.8811670507497285</v>
      </c>
      <c r="C11" s="301">
        <v>7.328713512031089</v>
      </c>
      <c r="D11" s="301">
        <v>6.513944904556201</v>
      </c>
      <c r="E11" s="302">
        <v>7.085073670851205</v>
      </c>
      <c r="F11" s="301">
        <v>6.698800791801732</v>
      </c>
      <c r="G11" s="303">
        <v>5.919127384056334</v>
      </c>
      <c r="H11" s="304">
        <v>5.599938647841903</v>
      </c>
      <c r="I11" s="303">
        <v>0</v>
      </c>
      <c r="J11" s="121"/>
      <c r="K11"/>
      <c r="L11"/>
      <c r="M11"/>
    </row>
    <row r="12" spans="1:11" ht="15">
      <c r="A12" s="98"/>
      <c r="B12" s="298"/>
      <c r="C12" s="298"/>
      <c r="D12" s="298"/>
      <c r="E12" s="299"/>
      <c r="F12" s="298"/>
      <c r="G12" s="298"/>
      <c r="H12" s="300"/>
      <c r="I12" s="298"/>
      <c r="J12" s="121"/>
      <c r="K12" s="124"/>
    </row>
    <row r="13" spans="1:255" ht="15">
      <c r="A13" s="59" t="str">
        <f>HLOOKUP(INDICE!$F$2,Nombres!$C$3:$D$636,13,FALSE)</f>
        <v>América del Sur </v>
      </c>
      <c r="B13" s="301">
        <v>4.611002342353146</v>
      </c>
      <c r="C13" s="301">
        <v>4.6586989564769326</v>
      </c>
      <c r="D13" s="301">
        <v>4.528299665215804</v>
      </c>
      <c r="E13" s="302">
        <v>4.466333578410599</v>
      </c>
      <c r="F13" s="301">
        <v>4.287585256763574</v>
      </c>
      <c r="G13" s="303">
        <v>4.161009028783344</v>
      </c>
      <c r="H13" s="304">
        <v>4.118069209537732</v>
      </c>
      <c r="I13" s="303">
        <v>0</v>
      </c>
      <c r="J13" s="121"/>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3" ht="15">
      <c r="A14" s="98"/>
      <c r="B14" s="305"/>
      <c r="C14" s="305"/>
      <c r="D14" s="305"/>
      <c r="E14" s="306"/>
      <c r="F14" s="305"/>
      <c r="G14" s="307"/>
      <c r="H14" s="308"/>
      <c r="I14" s="307"/>
      <c r="J14" s="121"/>
      <c r="K14" s="124"/>
      <c r="L14" s="123"/>
      <c r="M14" s="123"/>
    </row>
    <row r="15" spans="1:255" ht="15">
      <c r="A15" s="59" t="str">
        <f>HLOOKUP(INDICE!$F$2,Nombres!$C$3:$D$636,263,FALSE)</f>
        <v>Resto de Negocios</v>
      </c>
      <c r="B15" s="301">
        <v>0.99138920565066</v>
      </c>
      <c r="C15" s="301">
        <v>0.9901574954356509</v>
      </c>
      <c r="D15" s="301">
        <v>0.9058887137172632</v>
      </c>
      <c r="E15" s="302">
        <v>0.6799395783259952</v>
      </c>
      <c r="F15" s="301">
        <v>0.5653319413051815</v>
      </c>
      <c r="G15" s="303">
        <v>0.548759796545279</v>
      </c>
      <c r="H15" s="304">
        <v>0.38241011703057787</v>
      </c>
      <c r="I15" s="303">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5">
      <c r="A16" s="126"/>
      <c r="B16" s="125"/>
      <c r="C16" s="125"/>
      <c r="D16" s="127"/>
      <c r="E16" s="127"/>
      <c r="F16" s="125"/>
      <c r="G16" s="125"/>
      <c r="H16" s="127"/>
      <c r="I16" s="127"/>
      <c r="J16" s="124"/>
      <c r="K16" s="124"/>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c r="IR16" s="123"/>
      <c r="IS16" s="123"/>
      <c r="IT16" s="123"/>
      <c r="IU16" s="123"/>
    </row>
    <row r="17" spans="1:11" ht="15">
      <c r="A17" s="98"/>
      <c r="B17" s="125"/>
      <c r="C17" s="125"/>
      <c r="D17" s="127"/>
      <c r="E17" s="127"/>
      <c r="F17" s="125"/>
      <c r="G17" s="125"/>
      <c r="H17" s="127"/>
      <c r="I17" s="127"/>
      <c r="J17" s="124"/>
      <c r="K17" s="124"/>
    </row>
    <row r="18" spans="1:255" ht="18">
      <c r="A18" s="94" t="str">
        <f>HLOOKUP(INDICE!$F$2,Nombres!$C$3:$D$636,86,FALSE)</f>
        <v>Tasa de cobertura</v>
      </c>
      <c r="B18" s="128"/>
      <c r="C18" s="128"/>
      <c r="D18" s="129"/>
      <c r="E18" s="129"/>
      <c r="F18" s="128"/>
      <c r="G18" s="128"/>
      <c r="H18" s="129"/>
      <c r="I18" s="129"/>
      <c r="J18" s="124"/>
      <c r="K18" s="124"/>
      <c r="L18" s="130"/>
      <c r="M18" s="130"/>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c r="DR18" s="123"/>
      <c r="DS18" s="123"/>
      <c r="DT18" s="123"/>
      <c r="DU18" s="123"/>
      <c r="DV18" s="123"/>
      <c r="DW18" s="123"/>
      <c r="DX18" s="123"/>
      <c r="DY18" s="123"/>
      <c r="DZ18" s="123"/>
      <c r="EA18" s="123"/>
      <c r="EB18" s="123"/>
      <c r="EC18" s="123"/>
      <c r="ED18" s="123"/>
      <c r="EE18" s="123"/>
      <c r="EF18" s="123"/>
      <c r="EG18" s="123"/>
      <c r="EH18" s="123"/>
      <c r="EI18" s="123"/>
      <c r="EJ18" s="123"/>
      <c r="EK18" s="123"/>
      <c r="EL18" s="123"/>
      <c r="EM18" s="123"/>
      <c r="EN18" s="123"/>
      <c r="EO18" s="123"/>
      <c r="EP18" s="123"/>
      <c r="EQ18" s="123"/>
      <c r="ER18" s="123"/>
      <c r="ES18" s="123"/>
      <c r="ET18" s="123"/>
      <c r="EU18" s="123"/>
      <c r="EV18" s="123"/>
      <c r="EW18" s="123"/>
      <c r="EX18" s="123"/>
      <c r="EY18" s="123"/>
      <c r="EZ18" s="123"/>
      <c r="FA18" s="123"/>
      <c r="FB18" s="123"/>
      <c r="FC18" s="123"/>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c r="IR18" s="123"/>
      <c r="IS18" s="123"/>
      <c r="IT18" s="123"/>
      <c r="IU18" s="123"/>
    </row>
    <row r="19" spans="1:11" ht="15">
      <c r="A19" s="97" t="str">
        <f>HLOOKUP(INDICE!$F$2,Nombres!$C$3:$D$636,84,FALSE)</f>
        <v>(Porcentaje)</v>
      </c>
      <c r="B19" s="114"/>
      <c r="C19" s="114"/>
      <c r="D19" s="127"/>
      <c r="E19" s="127"/>
      <c r="F19" s="114"/>
      <c r="G19" s="114"/>
      <c r="H19" s="127"/>
      <c r="I19" s="127"/>
      <c r="J19" s="124"/>
      <c r="K19" s="124"/>
    </row>
    <row r="20" spans="1:255" ht="15.75">
      <c r="A20" s="98"/>
      <c r="B20" s="119">
        <f>+B$3</f>
        <v>44286</v>
      </c>
      <c r="C20" s="119">
        <f aca="true" t="shared" si="0" ref="C20:I20">+C$3</f>
        <v>44377</v>
      </c>
      <c r="D20" s="119">
        <f t="shared" si="0"/>
        <v>44469</v>
      </c>
      <c r="E20" s="119">
        <f t="shared" si="0"/>
        <v>44561</v>
      </c>
      <c r="F20" s="119">
        <f t="shared" si="0"/>
        <v>44651</v>
      </c>
      <c r="G20" s="119">
        <f t="shared" si="0"/>
        <v>44742</v>
      </c>
      <c r="H20" s="119">
        <f t="shared" si="0"/>
        <v>44834</v>
      </c>
      <c r="I20" s="119">
        <f t="shared" si="0"/>
        <v>44926</v>
      </c>
      <c r="J20" s="124"/>
      <c r="K20" s="124"/>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130"/>
      <c r="DW20" s="130"/>
      <c r="DX20" s="130"/>
      <c r="DY20" s="130"/>
      <c r="DZ20" s="130"/>
      <c r="EA20" s="130"/>
      <c r="EB20" s="130"/>
      <c r="EC20" s="130"/>
      <c r="ED20" s="130"/>
      <c r="EE20" s="130"/>
      <c r="EF20" s="130"/>
      <c r="EG20" s="130"/>
      <c r="EH20" s="130"/>
      <c r="EI20" s="130"/>
      <c r="EJ20" s="130"/>
      <c r="EK20" s="130"/>
      <c r="EL20" s="130"/>
      <c r="EM20" s="130"/>
      <c r="EN20" s="130"/>
      <c r="EO20" s="130"/>
      <c r="EP20" s="130"/>
      <c r="EQ20" s="130"/>
      <c r="ER20" s="130"/>
      <c r="ES20" s="130"/>
      <c r="ET20" s="130"/>
      <c r="EU20" s="130"/>
      <c r="EV20" s="130"/>
      <c r="EW20" s="130"/>
      <c r="EX20" s="130"/>
      <c r="EY20" s="130"/>
      <c r="EZ20" s="130"/>
      <c r="FA20" s="130"/>
      <c r="FB20" s="130"/>
      <c r="FC20" s="130"/>
      <c r="FD20" s="130"/>
      <c r="FE20" s="130"/>
      <c r="FF20" s="130"/>
      <c r="FG20" s="130"/>
      <c r="FH20" s="130"/>
      <c r="FI20" s="130"/>
      <c r="FJ20" s="130"/>
      <c r="FK20" s="130"/>
      <c r="FL20" s="130"/>
      <c r="FM20" s="130"/>
      <c r="FN20" s="130"/>
      <c r="FO20" s="130"/>
      <c r="FP20" s="130"/>
      <c r="FQ20" s="130"/>
      <c r="FR20" s="130"/>
      <c r="FS20" s="130"/>
      <c r="FT20" s="130"/>
      <c r="FU20" s="130"/>
      <c r="FV20" s="130"/>
      <c r="FW20" s="130"/>
      <c r="FX20" s="130"/>
      <c r="FY20" s="130"/>
      <c r="FZ20" s="130"/>
      <c r="GA20" s="130"/>
      <c r="GB20" s="130"/>
      <c r="GC20" s="130"/>
      <c r="GD20" s="130"/>
      <c r="GE20" s="130"/>
      <c r="GF20" s="130"/>
      <c r="GG20" s="130"/>
      <c r="GH20" s="130"/>
      <c r="GI20" s="130"/>
      <c r="GJ20" s="130"/>
      <c r="GK20" s="130"/>
      <c r="GL20" s="130"/>
      <c r="GM20" s="130"/>
      <c r="GN20" s="130"/>
      <c r="GO20" s="130"/>
      <c r="GP20" s="130"/>
      <c r="GQ20" s="130"/>
      <c r="GR20" s="130"/>
      <c r="GS20" s="130"/>
      <c r="GT20" s="130"/>
      <c r="GU20" s="130"/>
      <c r="GV20" s="130"/>
      <c r="GW20" s="130"/>
      <c r="GX20" s="130"/>
      <c r="GY20" s="130"/>
      <c r="GZ20" s="130"/>
      <c r="HA20" s="130"/>
      <c r="HB20" s="130"/>
      <c r="HC20" s="130"/>
      <c r="HD20" s="130"/>
      <c r="HE20" s="130"/>
      <c r="HF20" s="130"/>
      <c r="HG20" s="130"/>
      <c r="HH20" s="130"/>
      <c r="HI20" s="130"/>
      <c r="HJ20" s="130"/>
      <c r="HK20" s="130"/>
      <c r="HL20" s="130"/>
      <c r="HM20" s="130"/>
      <c r="HN20" s="130"/>
      <c r="HO20" s="130"/>
      <c r="HP20" s="130"/>
      <c r="HQ20" s="130"/>
      <c r="HR20" s="130"/>
      <c r="HS20" s="130"/>
      <c r="HT20" s="130"/>
      <c r="HU20" s="130"/>
      <c r="HV20" s="130"/>
      <c r="HW20" s="130"/>
      <c r="HX20" s="130"/>
      <c r="HY20" s="130"/>
      <c r="HZ20" s="130"/>
      <c r="IA20" s="130"/>
      <c r="IB20" s="130"/>
      <c r="IC20" s="130"/>
      <c r="ID20" s="130"/>
      <c r="IE20" s="130"/>
      <c r="IF20" s="130"/>
      <c r="IG20" s="130"/>
      <c r="IH20" s="130"/>
      <c r="II20" s="130"/>
      <c r="IJ20" s="130"/>
      <c r="IK20" s="130"/>
      <c r="IL20" s="130"/>
      <c r="IM20" s="130"/>
      <c r="IN20" s="130"/>
      <c r="IO20" s="130"/>
      <c r="IP20" s="130"/>
      <c r="IQ20" s="130"/>
      <c r="IR20" s="130"/>
      <c r="IS20" s="130"/>
      <c r="IT20" s="130"/>
      <c r="IU20" s="130"/>
    </row>
    <row r="21" spans="1:11" ht="15">
      <c r="A21" s="98"/>
      <c r="B21" s="131"/>
      <c r="C21" s="131"/>
      <c r="D21" s="127"/>
      <c r="E21" s="127"/>
      <c r="F21" s="131"/>
      <c r="G21" s="131"/>
      <c r="H21" s="127"/>
      <c r="I21" s="127"/>
      <c r="J21" s="124"/>
      <c r="K21" s="124"/>
    </row>
    <row r="22" spans="1:13" ht="15">
      <c r="A22" s="103" t="str">
        <f>HLOOKUP(INDICE!$F$2,Nombres!$C$3:$D$636,275,FALSE)</f>
        <v>Grupo BBVA  (*)</v>
      </c>
      <c r="B22" s="132">
        <v>80.77851569113308</v>
      </c>
      <c r="C22" s="132">
        <v>76.75835787445213</v>
      </c>
      <c r="D22" s="132">
        <v>80.02618491458286</v>
      </c>
      <c r="E22" s="133">
        <v>74.6968160531888</v>
      </c>
      <c r="F22" s="132">
        <v>75.90959260574569</v>
      </c>
      <c r="G22" s="240">
        <v>78.44317836158264</v>
      </c>
      <c r="H22" s="240">
        <v>82.9049048348102</v>
      </c>
      <c r="I22" s="240">
        <v>0</v>
      </c>
      <c r="J22" s="134"/>
      <c r="K22"/>
      <c r="L22"/>
      <c r="M22"/>
    </row>
    <row r="23" spans="1:13" ht="15">
      <c r="A23" s="98"/>
      <c r="B23" s="135"/>
      <c r="C23" s="135"/>
      <c r="D23" s="135"/>
      <c r="E23" s="136"/>
      <c r="F23" s="135"/>
      <c r="G23" s="135"/>
      <c r="H23" s="135"/>
      <c r="I23" s="135"/>
      <c r="J23" s="134"/>
      <c r="K23" s="124"/>
      <c r="L23" s="123"/>
      <c r="M23" s="123"/>
    </row>
    <row r="24" spans="1:255" ht="15">
      <c r="A24" s="59" t="str">
        <f>HLOOKUP(INDICE!$F$2,Nombres!$C$3:$D$636,7,FALSE)</f>
        <v>España</v>
      </c>
      <c r="B24" s="137">
        <v>66.3841270862289</v>
      </c>
      <c r="C24" s="137">
        <v>64.34893598275687</v>
      </c>
      <c r="D24" s="137">
        <v>65.47185615916179</v>
      </c>
      <c r="E24" s="138">
        <v>61.68326008630195</v>
      </c>
      <c r="F24" s="137">
        <v>61.43107080176502</v>
      </c>
      <c r="G24" s="241">
        <v>61.47458773765031</v>
      </c>
      <c r="H24" s="241">
        <v>64.02578142791198</v>
      </c>
      <c r="I24" s="241">
        <v>0</v>
      </c>
      <c r="J24" s="134"/>
      <c r="K24" s="139"/>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5">
      <c r="A25" s="98"/>
      <c r="B25" s="135"/>
      <c r="C25" s="135"/>
      <c r="D25" s="135"/>
      <c r="E25" s="136"/>
      <c r="F25" s="135"/>
      <c r="G25" s="135"/>
      <c r="H25" s="135"/>
      <c r="I25" s="135"/>
      <c r="J25" s="134"/>
      <c r="K25" s="124"/>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c r="DI25" s="123"/>
      <c r="DJ25" s="123"/>
      <c r="DK25" s="123"/>
      <c r="DL25" s="123"/>
      <c r="DM25" s="123"/>
      <c r="DN25" s="123"/>
      <c r="DO25" s="123"/>
      <c r="DP25" s="123"/>
      <c r="DQ25" s="123"/>
      <c r="DR25" s="123"/>
      <c r="DS25" s="123"/>
      <c r="DT25" s="123"/>
      <c r="DU25" s="123"/>
      <c r="DV25" s="123"/>
      <c r="DW25" s="123"/>
      <c r="DX25" s="123"/>
      <c r="DY25" s="123"/>
      <c r="DZ25" s="123"/>
      <c r="EA25" s="123"/>
      <c r="EB25" s="123"/>
      <c r="EC25" s="123"/>
      <c r="ED25" s="123"/>
      <c r="EE25" s="123"/>
      <c r="EF25" s="123"/>
      <c r="EG25" s="123"/>
      <c r="EH25" s="123"/>
      <c r="EI25" s="123"/>
      <c r="EJ25" s="123"/>
      <c r="EK25" s="123"/>
      <c r="EL25" s="123"/>
      <c r="EM25" s="123"/>
      <c r="EN25" s="123"/>
      <c r="EO25" s="123"/>
      <c r="EP25" s="123"/>
      <c r="EQ25" s="123"/>
      <c r="ER25" s="123"/>
      <c r="ES25" s="123"/>
      <c r="ET25" s="123"/>
      <c r="EU25" s="123"/>
      <c r="EV25" s="123"/>
      <c r="EW25" s="123"/>
      <c r="EX25" s="123"/>
      <c r="EY25" s="123"/>
      <c r="EZ25" s="123"/>
      <c r="FA25" s="123"/>
      <c r="FB25" s="123"/>
      <c r="FC25" s="123"/>
      <c r="FD25" s="123"/>
      <c r="FE25" s="123"/>
      <c r="FF25" s="123"/>
      <c r="FG25" s="123"/>
      <c r="FH25" s="123"/>
      <c r="FI25" s="123"/>
      <c r="FJ25" s="123"/>
      <c r="FK25" s="123"/>
      <c r="FL25" s="123"/>
      <c r="FM25" s="123"/>
      <c r="FN25" s="123"/>
      <c r="FO25" s="123"/>
      <c r="FP25" s="123"/>
      <c r="FQ25" s="123"/>
      <c r="FR25" s="123"/>
      <c r="FS25" s="123"/>
      <c r="FT25" s="123"/>
      <c r="FU25" s="123"/>
      <c r="FV25" s="123"/>
      <c r="FW25" s="123"/>
      <c r="FX25" s="123"/>
      <c r="FY25" s="123"/>
      <c r="FZ25" s="123"/>
      <c r="GA25" s="123"/>
      <c r="GB25" s="123"/>
      <c r="GC25" s="123"/>
      <c r="GD25" s="123"/>
      <c r="GE25" s="123"/>
      <c r="GF25" s="123"/>
      <c r="GG25" s="123"/>
      <c r="GH25" s="123"/>
      <c r="GI25" s="123"/>
      <c r="GJ25" s="123"/>
      <c r="GK25" s="123"/>
      <c r="GL25" s="123"/>
      <c r="GM25" s="123"/>
      <c r="GN25" s="123"/>
      <c r="GO25" s="123"/>
      <c r="GP25" s="123"/>
      <c r="GQ25" s="123"/>
      <c r="GR25" s="123"/>
      <c r="GS25" s="123"/>
      <c r="GT25" s="123"/>
      <c r="GU25" s="123"/>
      <c r="GV25" s="123"/>
      <c r="GW25" s="123"/>
      <c r="GX25" s="123"/>
      <c r="GY25" s="123"/>
      <c r="GZ25" s="123"/>
      <c r="HA25" s="123"/>
      <c r="HB25" s="123"/>
      <c r="HC25" s="123"/>
      <c r="HD25" s="123"/>
      <c r="HE25" s="123"/>
      <c r="HF25" s="123"/>
      <c r="HG25" s="123"/>
      <c r="HH25" s="123"/>
      <c r="HI25" s="123"/>
      <c r="HJ25" s="123"/>
      <c r="HK25" s="123"/>
      <c r="HL25" s="123"/>
      <c r="HM25" s="123"/>
      <c r="HN25" s="123"/>
      <c r="HO25" s="123"/>
      <c r="HP25" s="123"/>
      <c r="HQ25" s="123"/>
      <c r="HR25" s="123"/>
      <c r="HS25" s="123"/>
      <c r="HT25" s="123"/>
      <c r="HU25" s="123"/>
      <c r="HV25" s="123"/>
      <c r="HW25" s="123"/>
      <c r="HX25" s="123"/>
      <c r="HY25" s="123"/>
      <c r="HZ25" s="123"/>
      <c r="IA25" s="123"/>
      <c r="IB25" s="123"/>
      <c r="IC25" s="123"/>
      <c r="ID25" s="123"/>
      <c r="IE25" s="123"/>
      <c r="IF25" s="123"/>
      <c r="IG25" s="123"/>
      <c r="IH25" s="123"/>
      <c r="II25" s="123"/>
      <c r="IJ25" s="123"/>
      <c r="IK25" s="123"/>
      <c r="IL25" s="123"/>
      <c r="IM25" s="123"/>
      <c r="IN25" s="123"/>
      <c r="IO25" s="123"/>
      <c r="IP25" s="123"/>
      <c r="IQ25" s="123"/>
      <c r="IR25" s="123"/>
      <c r="IS25" s="123"/>
      <c r="IT25" s="123"/>
      <c r="IU25" s="123"/>
    </row>
    <row r="26" spans="1:255" ht="15">
      <c r="A26" s="59" t="str">
        <f>HLOOKUP(INDICE!$F$2,Nombres!$C$3:$D$636,11,FALSE)</f>
        <v>México</v>
      </c>
      <c r="B26" s="137">
        <v>128.89708113150996</v>
      </c>
      <c r="C26" s="137">
        <v>117.77392341256967</v>
      </c>
      <c r="D26" s="137">
        <v>131.01964036253145</v>
      </c>
      <c r="E26" s="138">
        <v>106.1816014558723</v>
      </c>
      <c r="F26" s="137">
        <v>115.32998289409578</v>
      </c>
      <c r="G26" s="241">
        <v>118.86552892861486</v>
      </c>
      <c r="H26" s="241">
        <v>133.31832481136846</v>
      </c>
      <c r="I26" s="241">
        <v>0</v>
      </c>
      <c r="J26" s="134"/>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3" ht="15">
      <c r="A27" s="98"/>
      <c r="B27" s="135"/>
      <c r="C27" s="135"/>
      <c r="D27" s="135"/>
      <c r="E27" s="136"/>
      <c r="F27" s="135"/>
      <c r="G27" s="135"/>
      <c r="H27" s="135"/>
      <c r="I27" s="135"/>
      <c r="J27" s="134"/>
      <c r="K27"/>
      <c r="L27"/>
      <c r="M27"/>
    </row>
    <row r="28" spans="1:255" ht="15">
      <c r="A28" s="59" t="str">
        <f>HLOOKUP(INDICE!$F$2,Nombres!$C$3:$D$636,12,FALSE)</f>
        <v>Turquía </v>
      </c>
      <c r="B28" s="137">
        <v>78.01133138864287</v>
      </c>
      <c r="C28" s="137">
        <v>69.21982164884652</v>
      </c>
      <c r="D28" s="137">
        <v>77.84596768260919</v>
      </c>
      <c r="E28" s="138">
        <v>74.73210430726786</v>
      </c>
      <c r="F28" s="137">
        <v>74.76965437494731</v>
      </c>
      <c r="G28" s="241">
        <v>82.60315255904412</v>
      </c>
      <c r="H28" s="241">
        <v>86.05853473922438</v>
      </c>
      <c r="I28" s="241">
        <v>0</v>
      </c>
      <c r="J28" s="134"/>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11" ht="15">
      <c r="A29" s="98"/>
      <c r="B29" s="135"/>
      <c r="C29" s="135"/>
      <c r="D29" s="135"/>
      <c r="E29" s="136"/>
      <c r="F29" s="135"/>
      <c r="G29" s="135"/>
      <c r="H29" s="135"/>
      <c r="I29" s="135"/>
      <c r="J29" s="134"/>
      <c r="K29" s="124"/>
    </row>
    <row r="30" spans="1:255" ht="15">
      <c r="A30" s="59" t="str">
        <f>HLOOKUP(INDICE!$F$2,Nombres!$C$3:$D$636,13,FALSE)</f>
        <v>América del Sur </v>
      </c>
      <c r="B30" s="137">
        <v>109.14212896783424</v>
      </c>
      <c r="C30" s="137">
        <v>108.25779753594978</v>
      </c>
      <c r="D30" s="137">
        <v>108.29188948692838</v>
      </c>
      <c r="E30" s="138">
        <v>98.86004240086193</v>
      </c>
      <c r="F30" s="137">
        <v>99.13889189453238</v>
      </c>
      <c r="G30" s="241">
        <v>99.95403110476879</v>
      </c>
      <c r="H30" s="241">
        <v>99.68469214441657</v>
      </c>
      <c r="I30" s="241">
        <v>0</v>
      </c>
      <c r="J30" s="134"/>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5">
      <c r="A31" s="98"/>
      <c r="B31" s="140"/>
      <c r="C31" s="140"/>
      <c r="D31" s="140"/>
      <c r="E31" s="141"/>
      <c r="F31" s="140"/>
      <c r="G31" s="242"/>
      <c r="H31" s="242"/>
      <c r="I31" s="242"/>
      <c r="J31" s="134"/>
      <c r="K31" s="124"/>
      <c r="L31" s="123"/>
      <c r="M31" s="123"/>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5">
      <c r="A32" s="59" t="str">
        <f>HLOOKUP(INDICE!$F$2,Nombres!$C$3:$D$636,263,FALSE)</f>
        <v>Resto de Negocios</v>
      </c>
      <c r="B32" s="137">
        <v>100.61760816585308</v>
      </c>
      <c r="C32" s="137">
        <v>95.46031980166646</v>
      </c>
      <c r="D32" s="137">
        <v>97.89675149867956</v>
      </c>
      <c r="E32" s="138">
        <v>115.80473169016041</v>
      </c>
      <c r="F32" s="137">
        <v>116.20250793137077</v>
      </c>
      <c r="G32" s="241">
        <v>120.38337582944483</v>
      </c>
      <c r="H32" s="241">
        <v>158.1811853476769</v>
      </c>
      <c r="I32" s="241">
        <v>0</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3" ht="15">
      <c r="A33" s="126"/>
      <c r="B33" s="142"/>
      <c r="C33" s="142"/>
      <c r="D33" s="127"/>
      <c r="E33" s="127"/>
      <c r="F33" s="142"/>
      <c r="G33" s="142"/>
      <c r="H33" s="127"/>
      <c r="I33" s="127"/>
      <c r="J33" s="124"/>
      <c r="K33" s="124"/>
      <c r="L33" s="123"/>
      <c r="M33" s="123"/>
    </row>
    <row r="34" spans="1:255" ht="15">
      <c r="A34" s="98"/>
      <c r="B34" s="142"/>
      <c r="C34" s="142"/>
      <c r="D34" s="127"/>
      <c r="E34" s="127"/>
      <c r="F34" s="142"/>
      <c r="G34" s="142"/>
      <c r="H34" s="127"/>
      <c r="I34" s="127"/>
      <c r="J34" s="124"/>
      <c r="K34" s="12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8">
      <c r="A35" s="94" t="str">
        <f>HLOOKUP(INDICE!$F$2,Nombres!$C$3:$D$636,87,FALSE)</f>
        <v>Coste del riesgo acumulado</v>
      </c>
      <c r="B35" s="128"/>
      <c r="C35" s="128"/>
      <c r="D35" s="129"/>
      <c r="E35" s="129"/>
      <c r="F35" s="128"/>
      <c r="G35" s="128"/>
      <c r="H35" s="129"/>
      <c r="I35" s="129"/>
      <c r="J35" s="124"/>
      <c r="K35" s="124"/>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123"/>
      <c r="DQ35" s="123"/>
      <c r="DR35" s="123"/>
      <c r="DS35" s="123"/>
      <c r="DT35" s="123"/>
      <c r="DU35" s="123"/>
      <c r="DV35" s="123"/>
      <c r="DW35" s="123"/>
      <c r="DX35" s="123"/>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c r="FG35" s="123"/>
      <c r="FH35" s="123"/>
      <c r="FI35" s="123"/>
      <c r="FJ35" s="123"/>
      <c r="FK35" s="123"/>
      <c r="FL35" s="123"/>
      <c r="FM35" s="123"/>
      <c r="FN35" s="123"/>
      <c r="FO35" s="123"/>
      <c r="FP35" s="123"/>
      <c r="FQ35" s="123"/>
      <c r="FR35" s="123"/>
      <c r="FS35" s="123"/>
      <c r="FT35" s="123"/>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3"/>
      <c r="GQ35" s="123"/>
      <c r="GR35" s="123"/>
      <c r="GS35" s="123"/>
      <c r="GT35" s="123"/>
      <c r="GU35" s="123"/>
      <c r="GV35" s="123"/>
      <c r="GW35" s="123"/>
      <c r="GX35" s="123"/>
      <c r="GY35" s="123"/>
      <c r="GZ35" s="123"/>
      <c r="HA35" s="123"/>
      <c r="HB35" s="123"/>
      <c r="HC35" s="123"/>
      <c r="HD35" s="123"/>
      <c r="HE35" s="123"/>
      <c r="HF35" s="123"/>
      <c r="HG35" s="123"/>
      <c r="HH35" s="123"/>
      <c r="HI35" s="123"/>
      <c r="HJ35" s="123"/>
      <c r="HK35" s="123"/>
      <c r="HL35" s="123"/>
      <c r="HM35" s="123"/>
      <c r="HN35" s="123"/>
      <c r="HO35" s="123"/>
      <c r="HP35" s="123"/>
      <c r="HQ35" s="123"/>
      <c r="HR35" s="123"/>
      <c r="HS35" s="123"/>
      <c r="HT35" s="123"/>
      <c r="HU35" s="123"/>
      <c r="HV35" s="123"/>
      <c r="HW35" s="123"/>
      <c r="HX35" s="123"/>
      <c r="HY35" s="123"/>
      <c r="HZ35" s="123"/>
      <c r="IA35" s="123"/>
      <c r="IB35" s="123"/>
      <c r="IC35" s="123"/>
      <c r="ID35" s="123"/>
      <c r="IE35" s="123"/>
      <c r="IF35" s="123"/>
      <c r="IG35" s="123"/>
      <c r="IH35" s="123"/>
      <c r="II35" s="123"/>
      <c r="IJ35" s="123"/>
      <c r="IK35" s="123"/>
      <c r="IL35" s="123"/>
      <c r="IM35" s="123"/>
      <c r="IN35" s="123"/>
      <c r="IO35" s="123"/>
      <c r="IP35" s="123"/>
      <c r="IQ35" s="123"/>
      <c r="IR35" s="123"/>
      <c r="IS35" s="123"/>
      <c r="IT35" s="123"/>
      <c r="IU35" s="123"/>
    </row>
    <row r="36" spans="1:11" ht="15">
      <c r="A36" s="97" t="str">
        <f>HLOOKUP(INDICE!$F$2,Nombres!$C$3:$D$636,84,FALSE)</f>
        <v>(Porcentaje)</v>
      </c>
      <c r="B36" s="142"/>
      <c r="C36" s="142"/>
      <c r="D36" s="127"/>
      <c r="E36" s="127"/>
      <c r="F36" s="142"/>
      <c r="G36" s="142"/>
      <c r="H36" s="127"/>
      <c r="I36" s="127"/>
      <c r="J36" s="124"/>
      <c r="K36" s="124"/>
    </row>
    <row r="37" spans="1:255" ht="15.75">
      <c r="A37" s="98"/>
      <c r="B37" s="119">
        <f>+B$3</f>
        <v>44286</v>
      </c>
      <c r="C37" s="119">
        <f aca="true" t="shared" si="1" ref="C37:I37">+C$3</f>
        <v>44377</v>
      </c>
      <c r="D37" s="119">
        <f t="shared" si="1"/>
        <v>44469</v>
      </c>
      <c r="E37" s="119">
        <f t="shared" si="1"/>
        <v>44561</v>
      </c>
      <c r="F37" s="119">
        <f t="shared" si="1"/>
        <v>44651</v>
      </c>
      <c r="G37" s="119">
        <f t="shared" si="1"/>
        <v>44742</v>
      </c>
      <c r="H37" s="119">
        <f t="shared" si="1"/>
        <v>44834</v>
      </c>
      <c r="I37" s="119">
        <f t="shared" si="1"/>
        <v>44926</v>
      </c>
      <c r="J37" s="124"/>
      <c r="K37" s="124"/>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c r="DW37" s="123"/>
      <c r="DX37" s="123"/>
      <c r="DY37" s="123"/>
      <c r="DZ37" s="123"/>
      <c r="EA37" s="123"/>
      <c r="EB37" s="123"/>
      <c r="EC37" s="123"/>
      <c r="ED37" s="123"/>
      <c r="EE37" s="123"/>
      <c r="EF37" s="123"/>
      <c r="EG37" s="123"/>
      <c r="EH37" s="123"/>
      <c r="EI37" s="123"/>
      <c r="EJ37" s="123"/>
      <c r="EK37" s="123"/>
      <c r="EL37" s="123"/>
      <c r="EM37" s="123"/>
      <c r="EN37" s="123"/>
      <c r="EO37" s="123"/>
      <c r="EP37" s="123"/>
      <c r="EQ37" s="123"/>
      <c r="ER37" s="123"/>
      <c r="ES37" s="123"/>
      <c r="ET37" s="123"/>
      <c r="EU37" s="123"/>
      <c r="EV37" s="123"/>
      <c r="EW37" s="123"/>
      <c r="EX37" s="123"/>
      <c r="EY37" s="123"/>
      <c r="EZ37" s="123"/>
      <c r="FA37" s="123"/>
      <c r="FB37" s="123"/>
      <c r="FC37" s="123"/>
      <c r="FD37" s="123"/>
      <c r="FE37" s="123"/>
      <c r="FF37" s="123"/>
      <c r="FG37" s="123"/>
      <c r="FH37" s="123"/>
      <c r="FI37" s="123"/>
      <c r="FJ37" s="123"/>
      <c r="FK37" s="123"/>
      <c r="FL37" s="123"/>
      <c r="FM37" s="123"/>
      <c r="FN37" s="123"/>
      <c r="FO37" s="123"/>
      <c r="FP37" s="123"/>
      <c r="FQ37" s="123"/>
      <c r="FR37" s="123"/>
      <c r="FS37" s="123"/>
      <c r="FT37" s="123"/>
      <c r="FU37" s="123"/>
      <c r="FV37" s="123"/>
      <c r="FW37" s="123"/>
      <c r="FX37" s="123"/>
      <c r="FY37" s="123"/>
      <c r="FZ37" s="123"/>
      <c r="GA37" s="123"/>
      <c r="GB37" s="123"/>
      <c r="GC37" s="123"/>
      <c r="GD37" s="123"/>
      <c r="GE37" s="123"/>
      <c r="GF37" s="123"/>
      <c r="GG37" s="123"/>
      <c r="GH37" s="123"/>
      <c r="GI37" s="123"/>
      <c r="GJ37" s="123"/>
      <c r="GK37" s="123"/>
      <c r="GL37" s="123"/>
      <c r="GM37" s="123"/>
      <c r="GN37" s="123"/>
      <c r="GO37" s="123"/>
      <c r="GP37" s="123"/>
      <c r="GQ37" s="123"/>
      <c r="GR37" s="123"/>
      <c r="GS37" s="123"/>
      <c r="GT37" s="123"/>
      <c r="GU37" s="123"/>
      <c r="GV37" s="123"/>
      <c r="GW37" s="123"/>
      <c r="GX37" s="123"/>
      <c r="GY37" s="123"/>
      <c r="GZ37" s="123"/>
      <c r="HA37" s="123"/>
      <c r="HB37" s="123"/>
      <c r="HC37" s="123"/>
      <c r="HD37" s="123"/>
      <c r="HE37" s="123"/>
      <c r="HF37" s="123"/>
      <c r="HG37" s="123"/>
      <c r="HH37" s="123"/>
      <c r="HI37" s="123"/>
      <c r="HJ37" s="123"/>
      <c r="HK37" s="123"/>
      <c r="HL37" s="123"/>
      <c r="HM37" s="123"/>
      <c r="HN37" s="123"/>
      <c r="HO37" s="123"/>
      <c r="HP37" s="123"/>
      <c r="HQ37" s="123"/>
      <c r="HR37" s="123"/>
      <c r="HS37" s="123"/>
      <c r="HT37" s="123"/>
      <c r="HU37" s="123"/>
      <c r="HV37" s="123"/>
      <c r="HW37" s="123"/>
      <c r="HX37" s="123"/>
      <c r="HY37" s="123"/>
      <c r="HZ37" s="123"/>
      <c r="IA37" s="123"/>
      <c r="IB37" s="123"/>
      <c r="IC37" s="123"/>
      <c r="ID37" s="123"/>
      <c r="IE37" s="123"/>
      <c r="IF37" s="123"/>
      <c r="IG37" s="123"/>
      <c r="IH37" s="123"/>
      <c r="II37" s="123"/>
      <c r="IJ37" s="123"/>
      <c r="IK37" s="123"/>
      <c r="IL37" s="123"/>
      <c r="IM37" s="123"/>
      <c r="IN37" s="123"/>
      <c r="IO37" s="123"/>
      <c r="IP37" s="123"/>
      <c r="IQ37" s="123"/>
      <c r="IR37" s="123"/>
      <c r="IS37" s="123"/>
      <c r="IT37" s="123"/>
      <c r="IU37" s="123"/>
    </row>
    <row r="38" spans="1:11" ht="15">
      <c r="A38" s="98"/>
      <c r="B38" s="131"/>
      <c r="C38" s="131"/>
      <c r="D38" s="127"/>
      <c r="E38" s="127"/>
      <c r="F38" s="131"/>
      <c r="G38" s="131"/>
      <c r="H38" s="127"/>
      <c r="I38" s="127"/>
      <c r="J38" s="124"/>
      <c r="K38" s="124"/>
    </row>
    <row r="39" spans="1:13" ht="15">
      <c r="A39" s="103" t="str">
        <f>HLOOKUP(INDICE!$F$2,Nombres!$C$3:$D$636,275,FALSE)</f>
        <v>Grupo BBVA  (*)</v>
      </c>
      <c r="B39" s="143">
        <v>1.173090618069368</v>
      </c>
      <c r="C39" s="143">
        <v>1.0014400841330078</v>
      </c>
      <c r="D39" s="143">
        <v>0.9163961296285004</v>
      </c>
      <c r="E39" s="144">
        <v>0.9310695316393152</v>
      </c>
      <c r="F39" s="143">
        <v>0.8145182342447328</v>
      </c>
      <c r="G39" s="143">
        <v>0.8059654043077781</v>
      </c>
      <c r="H39" s="243">
        <v>0.8626033484746713</v>
      </c>
      <c r="I39" s="243">
        <v>0</v>
      </c>
      <c r="J39" s="106"/>
      <c r="K39"/>
      <c r="L39"/>
      <c r="M39"/>
    </row>
    <row r="40" spans="1:13" ht="15">
      <c r="A40" s="98"/>
      <c r="B40" s="145"/>
      <c r="C40" s="145"/>
      <c r="D40" s="145"/>
      <c r="E40" s="146"/>
      <c r="F40" s="145"/>
      <c r="G40" s="145"/>
      <c r="H40" s="145"/>
      <c r="I40" s="145"/>
      <c r="J40" s="124"/>
      <c r="K40" s="124"/>
      <c r="L40" s="123"/>
      <c r="M40" s="123"/>
    </row>
    <row r="41" spans="1:13" ht="15">
      <c r="A41" s="59" t="str">
        <f>HLOOKUP(INDICE!$F$2,Nombres!$C$3:$D$636,7,FALSE)</f>
        <v>España</v>
      </c>
      <c r="B41" s="147">
        <v>0.44644168473303464</v>
      </c>
      <c r="C41" s="147">
        <v>0.4145101490226199</v>
      </c>
      <c r="D41" s="147">
        <v>0.3233561998948687</v>
      </c>
      <c r="E41" s="148">
        <v>0.29762126920719995</v>
      </c>
      <c r="F41" s="147">
        <v>0.1664413985262337</v>
      </c>
      <c r="G41" s="244">
        <v>0.20056410130935318</v>
      </c>
      <c r="H41" s="244">
        <v>0.23627395498987935</v>
      </c>
      <c r="I41" s="244">
        <v>0</v>
      </c>
      <c r="J41" s="106"/>
      <c r="K41"/>
      <c r="L41"/>
      <c r="M41"/>
    </row>
    <row r="42" spans="1:13" ht="15">
      <c r="A42" s="98"/>
      <c r="B42" s="145"/>
      <c r="C42" s="145"/>
      <c r="D42" s="145"/>
      <c r="E42" s="146"/>
      <c r="F42" s="145"/>
      <c r="G42" s="145"/>
      <c r="H42" s="145"/>
      <c r="I42" s="145"/>
      <c r="J42" s="106"/>
      <c r="K42"/>
      <c r="L42"/>
      <c r="M42"/>
    </row>
    <row r="43" spans="1:255" ht="15">
      <c r="A43" s="59" t="str">
        <f>HLOOKUP(INDICE!$F$2,Nombres!$C$3:$D$636,11,FALSE)</f>
        <v>México</v>
      </c>
      <c r="B43" s="147">
        <v>3.5535721044635267</v>
      </c>
      <c r="C43" s="147">
        <v>2.8335225953658982</v>
      </c>
      <c r="D43" s="147">
        <v>2.6978843393028074</v>
      </c>
      <c r="E43" s="148">
        <v>2.6717550543842155</v>
      </c>
      <c r="F43" s="147">
        <v>2.835222652884783</v>
      </c>
      <c r="G43" s="244">
        <v>2.5700427857299766</v>
      </c>
      <c r="H43" s="244">
        <v>2.5747780686926194</v>
      </c>
      <c r="I43" s="244">
        <v>0</v>
      </c>
      <c r="J43" s="106"/>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5">
      <c r="A44" s="98"/>
      <c r="B44" s="145"/>
      <c r="C44" s="145"/>
      <c r="D44" s="145"/>
      <c r="E44" s="146"/>
      <c r="F44" s="145"/>
      <c r="G44" s="145"/>
      <c r="H44" s="145"/>
      <c r="I44" s="145"/>
      <c r="J44" s="124"/>
      <c r="K44" s="124"/>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3"/>
      <c r="DE44" s="123"/>
      <c r="DF44" s="123"/>
      <c r="DG44" s="123"/>
      <c r="DH44" s="123"/>
      <c r="DI44" s="123"/>
      <c r="DJ44" s="123"/>
      <c r="DK44" s="123"/>
      <c r="DL44" s="123"/>
      <c r="DM44" s="123"/>
      <c r="DN44" s="123"/>
      <c r="DO44" s="123"/>
      <c r="DP44" s="123"/>
      <c r="DQ44" s="123"/>
      <c r="DR44" s="123"/>
      <c r="DS44" s="123"/>
      <c r="DT44" s="123"/>
      <c r="DU44" s="123"/>
      <c r="DV44" s="123"/>
      <c r="DW44" s="123"/>
      <c r="DX44" s="123"/>
      <c r="DY44" s="123"/>
      <c r="DZ44" s="123"/>
      <c r="EA44" s="123"/>
      <c r="EB44" s="123"/>
      <c r="EC44" s="123"/>
      <c r="ED44" s="123"/>
      <c r="EE44" s="123"/>
      <c r="EF44" s="123"/>
      <c r="EG44" s="123"/>
      <c r="EH44" s="123"/>
      <c r="EI44" s="123"/>
      <c r="EJ44" s="123"/>
      <c r="EK44" s="123"/>
      <c r="EL44" s="123"/>
      <c r="EM44" s="123"/>
      <c r="EN44" s="123"/>
      <c r="EO44" s="123"/>
      <c r="EP44" s="123"/>
      <c r="EQ44" s="123"/>
      <c r="ER44" s="123"/>
      <c r="ES44" s="123"/>
      <c r="ET44" s="123"/>
      <c r="EU44" s="123"/>
      <c r="EV44" s="123"/>
      <c r="EW44" s="123"/>
      <c r="EX44" s="123"/>
      <c r="EY44" s="123"/>
      <c r="EZ44" s="123"/>
      <c r="FA44" s="123"/>
      <c r="FB44" s="123"/>
      <c r="FC44" s="123"/>
      <c r="FD44" s="123"/>
      <c r="FE44" s="123"/>
      <c r="FF44" s="123"/>
      <c r="FG44" s="123"/>
      <c r="FH44" s="123"/>
      <c r="FI44" s="123"/>
      <c r="FJ44" s="123"/>
      <c r="FK44" s="123"/>
      <c r="FL44" s="123"/>
      <c r="FM44" s="123"/>
      <c r="FN44" s="123"/>
      <c r="FO44" s="123"/>
      <c r="FP44" s="123"/>
      <c r="FQ44" s="123"/>
      <c r="FR44" s="123"/>
      <c r="FS44" s="123"/>
      <c r="FT44" s="123"/>
      <c r="FU44" s="123"/>
      <c r="FV44" s="123"/>
      <c r="FW44" s="123"/>
      <c r="FX44" s="123"/>
      <c r="FY44" s="123"/>
      <c r="FZ44" s="123"/>
      <c r="GA44" s="123"/>
      <c r="GB44" s="123"/>
      <c r="GC44" s="123"/>
      <c r="GD44" s="123"/>
      <c r="GE44" s="123"/>
      <c r="GF44" s="123"/>
      <c r="GG44" s="123"/>
      <c r="GH44" s="123"/>
      <c r="GI44" s="123"/>
      <c r="GJ44" s="123"/>
      <c r="GK44" s="123"/>
      <c r="GL44" s="123"/>
      <c r="GM44" s="123"/>
      <c r="GN44" s="123"/>
      <c r="GO44" s="123"/>
      <c r="GP44" s="123"/>
      <c r="GQ44" s="123"/>
      <c r="GR44" s="123"/>
      <c r="GS44" s="123"/>
      <c r="GT44" s="123"/>
      <c r="GU44" s="123"/>
      <c r="GV44" s="123"/>
      <c r="GW44" s="123"/>
      <c r="GX44" s="123"/>
      <c r="GY44" s="123"/>
      <c r="GZ44" s="123"/>
      <c r="HA44" s="123"/>
      <c r="HB44" s="123"/>
      <c r="HC44" s="123"/>
      <c r="HD44" s="123"/>
      <c r="HE44" s="123"/>
      <c r="HF44" s="123"/>
      <c r="HG44" s="123"/>
      <c r="HH44" s="123"/>
      <c r="HI44" s="123"/>
      <c r="HJ44" s="123"/>
      <c r="HK44" s="123"/>
      <c r="HL44" s="123"/>
      <c r="HM44" s="123"/>
      <c r="HN44" s="123"/>
      <c r="HO44" s="123"/>
      <c r="HP44" s="123"/>
      <c r="HQ44" s="123"/>
      <c r="HR44" s="123"/>
      <c r="HS44" s="123"/>
      <c r="HT44" s="123"/>
      <c r="HU44" s="123"/>
      <c r="HV44" s="123"/>
      <c r="HW44" s="123"/>
      <c r="HX44" s="123"/>
      <c r="HY44" s="123"/>
      <c r="HZ44" s="123"/>
      <c r="IA44" s="123"/>
      <c r="IB44" s="123"/>
      <c r="IC44" s="123"/>
      <c r="ID44" s="123"/>
      <c r="IE44" s="123"/>
      <c r="IF44" s="123"/>
      <c r="IG44" s="123"/>
      <c r="IH44" s="123"/>
      <c r="II44" s="123"/>
      <c r="IJ44" s="123"/>
      <c r="IK44" s="123"/>
      <c r="IL44" s="123"/>
      <c r="IM44" s="123"/>
      <c r="IN44" s="123"/>
      <c r="IO44" s="123"/>
      <c r="IP44" s="123"/>
      <c r="IQ44" s="123"/>
      <c r="IR44" s="123"/>
      <c r="IS44" s="123"/>
      <c r="IT44" s="123"/>
      <c r="IU44" s="123"/>
    </row>
    <row r="45" spans="1:255" ht="15">
      <c r="A45" s="59" t="str">
        <f>HLOOKUP(INDICE!$F$2,Nombres!$C$3:$D$636,12,FALSE)</f>
        <v>Turquía </v>
      </c>
      <c r="B45" s="147">
        <v>1.3446936546426136</v>
      </c>
      <c r="C45" s="147">
        <v>0.9737620758969258</v>
      </c>
      <c r="D45" s="147">
        <v>0.8755645034712647</v>
      </c>
      <c r="E45" s="148">
        <v>1.3282143658971564</v>
      </c>
      <c r="F45" s="147">
        <v>0.9923298524529925</v>
      </c>
      <c r="G45" s="244">
        <v>0.8826030774853713</v>
      </c>
      <c r="H45" s="244">
        <v>0.8922152967813575</v>
      </c>
      <c r="I45" s="244">
        <v>0</v>
      </c>
      <c r="J45" s="106"/>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1" ht="15">
      <c r="A46" s="98"/>
      <c r="B46" s="145"/>
      <c r="C46" s="145"/>
      <c r="D46" s="145"/>
      <c r="E46" s="146"/>
      <c r="F46" s="145"/>
      <c r="G46" s="145"/>
      <c r="H46" s="145"/>
      <c r="I46" s="145"/>
      <c r="J46" s="124"/>
      <c r="K46" s="124"/>
    </row>
    <row r="47" spans="1:255" ht="15">
      <c r="A47" s="59" t="str">
        <f>HLOOKUP(INDICE!$F$2,Nombres!$C$3:$D$636,13,FALSE)</f>
        <v>América del Sur </v>
      </c>
      <c r="B47" s="147">
        <v>1.8091344969893883</v>
      </c>
      <c r="C47" s="147">
        <v>1.928438254504768</v>
      </c>
      <c r="D47" s="147">
        <v>1.8729891230519553</v>
      </c>
      <c r="E47" s="148">
        <v>1.6530823816118405</v>
      </c>
      <c r="F47" s="147">
        <v>1.1705978901872152</v>
      </c>
      <c r="G47" s="244">
        <v>1.2432029035020893</v>
      </c>
      <c r="H47" s="244">
        <v>1.428787309963226</v>
      </c>
      <c r="I47" s="244">
        <v>0</v>
      </c>
      <c r="J47" s="106"/>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5">
      <c r="A48" s="98"/>
      <c r="B48" s="149"/>
      <c r="C48" s="149"/>
      <c r="D48" s="149"/>
      <c r="E48" s="150"/>
      <c r="F48" s="149"/>
      <c r="G48" s="245"/>
      <c r="H48" s="245"/>
      <c r="I48" s="245"/>
      <c r="J48" s="124"/>
      <c r="K48" s="124"/>
      <c r="L48" s="123"/>
      <c r="M48" s="123"/>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5">
      <c r="A49" s="59" t="str">
        <f>HLOOKUP(INDICE!$F$2,Nombres!$C$3:$D$636,263,FALSE)</f>
        <v>Resto de Negocios</v>
      </c>
      <c r="B49" s="147">
        <v>-0.030020736011597684</v>
      </c>
      <c r="C49" s="147">
        <v>-0.12700043037823272</v>
      </c>
      <c r="D49" s="147">
        <v>-0.10708198820167114</v>
      </c>
      <c r="E49" s="148">
        <v>-0.10779579613874153</v>
      </c>
      <c r="F49" s="147">
        <v>-0.10382136162482422</v>
      </c>
      <c r="G49" s="244">
        <v>0.000887280529842365</v>
      </c>
      <c r="H49" s="244">
        <v>0.016140154405523275</v>
      </c>
      <c r="I49" s="244">
        <v>0</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9" ht="15">
      <c r="A50" s="126"/>
      <c r="B50" s="98"/>
      <c r="C50" s="142"/>
      <c r="D50" s="142"/>
      <c r="E50" s="142"/>
      <c r="F50" s="98"/>
      <c r="G50" s="246"/>
      <c r="H50" s="246"/>
      <c r="I50" s="246"/>
    </row>
    <row r="51" spans="1:255" ht="15">
      <c r="A51" s="115" t="str">
        <f>HLOOKUP(INDICE!$F$2,Nombres!$C$3:$D$636,278,FALSE)</f>
        <v>(*) Grupo BBVA no incluye el negocio vendido de EEUU vendido a PNC.</v>
      </c>
      <c r="B51" s="98"/>
      <c r="C51" s="98"/>
      <c r="D51" s="98"/>
      <c r="E51" s="98"/>
      <c r="F51" s="98"/>
      <c r="G51" s="98"/>
      <c r="H51" s="98"/>
      <c r="I51" s="98"/>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9" ht="15">
      <c r="A52" s="98"/>
      <c r="B52" s="98"/>
      <c r="C52" s="98"/>
      <c r="D52" s="98"/>
      <c r="E52" s="98"/>
      <c r="F52" s="98"/>
      <c r="G52" s="98"/>
      <c r="H52" s="98"/>
      <c r="I52" s="98"/>
    </row>
    <row r="53" spans="1:255" ht="15">
      <c r="A53" s="151"/>
      <c r="B53" s="116"/>
      <c r="C53" s="116"/>
      <c r="D53" s="116"/>
      <c r="E53" s="116"/>
      <c r="F53" s="116"/>
      <c r="G53" s="116"/>
      <c r="H53" s="151"/>
      <c r="I53" s="151"/>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4:255" ht="15">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c r="DR54" s="123"/>
      <c r="DS54" s="123"/>
      <c r="DT54" s="123"/>
      <c r="DU54" s="123"/>
      <c r="DV54" s="123"/>
      <c r="DW54" s="123"/>
      <c r="DX54" s="123"/>
      <c r="DY54" s="123"/>
      <c r="DZ54" s="123"/>
      <c r="EA54" s="123"/>
      <c r="EB54" s="123"/>
      <c r="EC54" s="123"/>
      <c r="ED54" s="123"/>
      <c r="EE54" s="123"/>
      <c r="EF54" s="123"/>
      <c r="EG54" s="123"/>
      <c r="EH54" s="123"/>
      <c r="EI54" s="123"/>
      <c r="EJ54" s="123"/>
      <c r="EK54" s="123"/>
      <c r="EL54" s="123"/>
      <c r="EM54" s="123"/>
      <c r="EN54" s="123"/>
      <c r="EO54" s="123"/>
      <c r="EP54" s="123"/>
      <c r="EQ54" s="123"/>
      <c r="ER54" s="123"/>
      <c r="ES54" s="123"/>
      <c r="ET54" s="123"/>
      <c r="EU54" s="123"/>
      <c r="EV54" s="123"/>
      <c r="EW54" s="123"/>
      <c r="EX54" s="123"/>
      <c r="EY54" s="123"/>
      <c r="EZ54" s="123"/>
      <c r="FA54" s="123"/>
      <c r="FB54" s="123"/>
      <c r="FC54" s="123"/>
      <c r="FD54" s="123"/>
      <c r="FE54" s="123"/>
      <c r="FF54" s="123"/>
      <c r="FG54" s="123"/>
      <c r="FH54" s="123"/>
      <c r="FI54" s="123"/>
      <c r="FJ54" s="123"/>
      <c r="FK54" s="123"/>
      <c r="FL54" s="123"/>
      <c r="FM54" s="123"/>
      <c r="FN54" s="123"/>
      <c r="FO54" s="123"/>
      <c r="FP54" s="123"/>
      <c r="FQ54" s="123"/>
      <c r="FR54" s="123"/>
      <c r="FS54" s="123"/>
      <c r="FT54" s="123"/>
      <c r="FU54" s="123"/>
      <c r="FV54" s="123"/>
      <c r="FW54" s="123"/>
      <c r="FX54" s="123"/>
      <c r="FY54" s="123"/>
      <c r="FZ54" s="123"/>
      <c r="GA54" s="123"/>
      <c r="GB54" s="123"/>
      <c r="GC54" s="123"/>
      <c r="GD54" s="123"/>
      <c r="GE54" s="123"/>
      <c r="GF54" s="123"/>
      <c r="GG54" s="123"/>
      <c r="GH54" s="123"/>
      <c r="GI54" s="123"/>
      <c r="GJ54" s="123"/>
      <c r="GK54" s="123"/>
      <c r="GL54" s="123"/>
      <c r="GM54" s="123"/>
      <c r="GN54" s="123"/>
      <c r="GO54" s="123"/>
      <c r="GP54" s="123"/>
      <c r="GQ54" s="123"/>
      <c r="GR54" s="123"/>
      <c r="GS54" s="123"/>
      <c r="GT54" s="123"/>
      <c r="GU54" s="123"/>
      <c r="GV54" s="123"/>
      <c r="GW54" s="123"/>
      <c r="GX54" s="123"/>
      <c r="GY54" s="123"/>
      <c r="GZ54" s="123"/>
      <c r="HA54" s="123"/>
      <c r="HB54" s="123"/>
      <c r="HC54" s="123"/>
      <c r="HD54" s="123"/>
      <c r="HE54" s="123"/>
      <c r="HF54" s="123"/>
      <c r="HG54" s="123"/>
      <c r="HH54" s="123"/>
      <c r="HI54" s="123"/>
      <c r="HJ54" s="123"/>
      <c r="HK54" s="123"/>
      <c r="HL54" s="123"/>
      <c r="HM54" s="123"/>
      <c r="HN54" s="123"/>
      <c r="HO54" s="123"/>
      <c r="HP54" s="123"/>
      <c r="HQ54" s="123"/>
      <c r="HR54" s="123"/>
      <c r="HS54" s="123"/>
      <c r="HT54" s="123"/>
      <c r="HU54" s="123"/>
      <c r="HV54" s="123"/>
      <c r="HW54" s="123"/>
      <c r="HX54" s="123"/>
      <c r="HY54" s="123"/>
      <c r="HZ54" s="123"/>
      <c r="IA54" s="123"/>
      <c r="IB54" s="123"/>
      <c r="IC54" s="123"/>
      <c r="ID54" s="123"/>
      <c r="IE54" s="123"/>
      <c r="IF54" s="123"/>
      <c r="IG54" s="123"/>
      <c r="IH54" s="123"/>
      <c r="II54" s="123"/>
      <c r="IJ54" s="123"/>
      <c r="IK54" s="123"/>
      <c r="IL54" s="123"/>
      <c r="IM54" s="123"/>
      <c r="IN54" s="123"/>
      <c r="IO54" s="123"/>
      <c r="IP54" s="123"/>
      <c r="IQ54" s="123"/>
      <c r="IR54" s="123"/>
      <c r="IS54" s="123"/>
      <c r="IT54" s="123"/>
      <c r="IU54" s="123"/>
    </row>
    <row r="994" ht="15">
      <c r="A994" s="152" t="s">
        <v>392</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L1005"/>
  <sheetViews>
    <sheetView showGridLines="0" zoomScalePageLayoutView="0" workbookViewId="0" topLeftCell="A1">
      <selection activeCell="A1" sqref="A1"/>
    </sheetView>
  </sheetViews>
  <sheetFormatPr defaultColWidth="11.421875" defaultRowHeight="15"/>
  <cols>
    <col min="1" max="1" width="40.28125" style="0" customWidth="1"/>
    <col min="2" max="2" width="15.8515625" style="0" customWidth="1"/>
    <col min="3" max="3" width="14.140625" style="0" customWidth="1"/>
    <col min="4" max="4" width="14.57421875" style="0" customWidth="1"/>
    <col min="5" max="5" width="13.421875" style="0" customWidth="1"/>
    <col min="6" max="6" width="12.8515625" style="0" customWidth="1"/>
    <col min="7" max="8" width="11.421875" style="0" customWidth="1"/>
    <col min="9" max="9" width="11.421875" style="0" hidden="1" customWidth="1"/>
    <col min="10" max="10" width="11.421875" style="0" customWidth="1"/>
    <col min="11" max="12" width="14.7109375" style="0" bestFit="1" customWidth="1"/>
  </cols>
  <sheetData>
    <row r="1" spans="1:9" ht="18">
      <c r="A1" s="94" t="str">
        <f>HLOOKUP(INDICE!$F$2,Nombres!$C$3:$D$636,88,FALSE)</f>
        <v>Activos ponderados por riesgo. Desglose por áreas de negocio y principales países</v>
      </c>
      <c r="B1" s="153"/>
      <c r="C1" s="153"/>
      <c r="D1" s="154"/>
      <c r="E1" s="154"/>
      <c r="F1" s="154"/>
      <c r="G1" s="154"/>
      <c r="H1" s="154"/>
      <c r="I1" s="154"/>
    </row>
    <row r="2" spans="1:9" ht="15">
      <c r="A2" s="161" t="str">
        <f>HLOOKUP(INDICE!$F$2,Nombres!$C$3:$D$636,32,FALSE)</f>
        <v>(Millones de euros)</v>
      </c>
      <c r="B2" s="58"/>
      <c r="C2" s="58"/>
      <c r="D2" s="193"/>
      <c r="E2" s="193"/>
      <c r="F2" s="193"/>
      <c r="G2" s="193"/>
      <c r="H2" s="193"/>
      <c r="I2" s="193"/>
    </row>
    <row r="3" spans="1:9" ht="15">
      <c r="A3" s="194"/>
      <c r="B3" s="58"/>
      <c r="C3" s="58"/>
      <c r="D3" s="157"/>
      <c r="E3" s="157"/>
      <c r="F3" s="157"/>
      <c r="G3" s="157"/>
      <c r="H3" s="157"/>
      <c r="I3" s="157"/>
    </row>
    <row r="4" spans="1:9" ht="15.75" customHeight="1">
      <c r="A4" s="195"/>
      <c r="B4" s="316" t="str">
        <f>HLOOKUP(INDICE!$F$2,Nombres!$C$3:$D$636,222,FALSE)</f>
        <v>CRD IV fully loaded</v>
      </c>
      <c r="C4" s="316"/>
      <c r="D4" s="316"/>
      <c r="E4" s="316"/>
      <c r="F4" s="316"/>
      <c r="G4" s="316"/>
      <c r="H4" s="316"/>
      <c r="I4" s="316"/>
    </row>
    <row r="5" spans="1:11" ht="15.75">
      <c r="A5" s="195"/>
      <c r="B5" s="196">
        <f>+España!B32</f>
        <v>44286</v>
      </c>
      <c r="C5" s="196">
        <f>+España!C32</f>
        <v>44377</v>
      </c>
      <c r="D5" s="196">
        <f>+España!D32</f>
        <v>44469</v>
      </c>
      <c r="E5" s="196">
        <f>+España!E32</f>
        <v>44561</v>
      </c>
      <c r="F5" s="196">
        <f>+España!F32</f>
        <v>44651</v>
      </c>
      <c r="G5" s="196">
        <f>+España!G32</f>
        <v>44742</v>
      </c>
      <c r="H5" s="196">
        <f>+España!H32</f>
        <v>44834</v>
      </c>
      <c r="I5" s="196">
        <f>+España!I32</f>
        <v>44926</v>
      </c>
      <c r="K5" s="197"/>
    </row>
    <row r="6" spans="1:12" ht="15">
      <c r="A6" s="103" t="str">
        <f>HLOOKUP(INDICE!$F$2,Nombres!$C$3:$D$636,3,FALSE)</f>
        <v>Grupo BBVA</v>
      </c>
      <c r="B6" s="198">
        <v>354433.37399999006</v>
      </c>
      <c r="C6" s="198">
        <v>305543.34494778</v>
      </c>
      <c r="D6" s="198">
        <v>302541.67015776486</v>
      </c>
      <c r="E6" s="198">
        <v>307335.2409978001</v>
      </c>
      <c r="F6" s="198">
        <v>316131.47295895</v>
      </c>
      <c r="G6" s="198">
        <v>330641.8210000001</v>
      </c>
      <c r="H6" s="198">
        <v>341455.01499999</v>
      </c>
      <c r="I6" s="198">
        <v>0</v>
      </c>
      <c r="K6" s="199"/>
      <c r="L6" s="200"/>
    </row>
    <row r="7" spans="1:12" ht="15">
      <c r="A7" s="59" t="str">
        <f>HLOOKUP(INDICE!$F$2,Nombres!$C$3:$D$636,7,FALSE)</f>
        <v>España</v>
      </c>
      <c r="B7" s="44">
        <v>107872.02321967999</v>
      </c>
      <c r="C7" s="44">
        <v>111975.13196427</v>
      </c>
      <c r="D7" s="44">
        <v>108749.97331843001</v>
      </c>
      <c r="E7" s="44">
        <v>113797.44527904</v>
      </c>
      <c r="F7" s="44">
        <v>109623.29636667999</v>
      </c>
      <c r="G7" s="44">
        <v>108912.58709538999</v>
      </c>
      <c r="H7" s="44">
        <v>108732.79225467</v>
      </c>
      <c r="I7" s="44">
        <v>0</v>
      </c>
      <c r="K7" s="199"/>
      <c r="L7" s="200"/>
    </row>
    <row r="8" spans="1:12" ht="15">
      <c r="A8" s="59" t="str">
        <f>HLOOKUP(INDICE!$F$2,Nombres!$C$3:$D$636,11,FALSE)</f>
        <v>México</v>
      </c>
      <c r="B8" s="44">
        <v>61980.77996205</v>
      </c>
      <c r="C8" s="44">
        <v>62395.633376269994</v>
      </c>
      <c r="D8" s="44">
        <v>61240.10900000001</v>
      </c>
      <c r="E8" s="44">
        <v>64572.994997839996</v>
      </c>
      <c r="F8" s="44">
        <v>67626.26018723001</v>
      </c>
      <c r="G8" s="44">
        <v>73868.81118761</v>
      </c>
      <c r="H8" s="44">
        <v>80491.30159789001</v>
      </c>
      <c r="I8" s="44">
        <v>0</v>
      </c>
      <c r="K8" s="199"/>
      <c r="L8" s="200"/>
    </row>
    <row r="9" spans="1:12" ht="15">
      <c r="A9" s="59" t="str">
        <f>HLOOKUP(INDICE!$F$2,Nombres!$C$3:$D$636,12,FALSE)</f>
        <v>Turquía </v>
      </c>
      <c r="B9" s="44">
        <v>53251.74</v>
      </c>
      <c r="C9" s="44">
        <v>53554.30000000001</v>
      </c>
      <c r="D9" s="44">
        <v>55233.178</v>
      </c>
      <c r="E9" s="44">
        <v>49718.483983800004</v>
      </c>
      <c r="F9" s="44">
        <v>49589.47993845</v>
      </c>
      <c r="G9" s="44">
        <v>51055.00159606</v>
      </c>
      <c r="H9" s="44">
        <v>53434.99958917</v>
      </c>
      <c r="I9" s="44">
        <v>0</v>
      </c>
      <c r="K9" s="199"/>
      <c r="L9" s="200"/>
    </row>
    <row r="10" spans="1:12" ht="15">
      <c r="A10" s="59" t="str">
        <f>HLOOKUP(INDICE!$F$2,Nombres!$C$3:$D$636,13,FALSE)</f>
        <v>América del Sur </v>
      </c>
      <c r="B10" s="44">
        <f aca="true" t="shared" si="0" ref="B10:I10">+B11+B12+B13+B14+B15</f>
        <v>38947.77803282</v>
      </c>
      <c r="C10" s="44">
        <f t="shared" si="0"/>
        <v>39113.19486358</v>
      </c>
      <c r="D10" s="44">
        <f t="shared" si="0"/>
        <v>40870.448252999995</v>
      </c>
      <c r="E10" s="44">
        <f t="shared" si="0"/>
        <v>43334.14399471</v>
      </c>
      <c r="F10" s="44">
        <f t="shared" si="0"/>
        <v>46330.37929296999</v>
      </c>
      <c r="G10" s="44">
        <f t="shared" si="0"/>
        <v>49641.27427763</v>
      </c>
      <c r="H10" s="44">
        <f t="shared" si="0"/>
        <v>51484.10021608</v>
      </c>
      <c r="I10" s="44">
        <f t="shared" si="0"/>
        <v>0</v>
      </c>
      <c r="K10" s="199"/>
      <c r="L10" s="200"/>
    </row>
    <row r="11" spans="1:12" ht="15">
      <c r="A11" s="201" t="str">
        <f>HLOOKUP(INDICE!$F$2,Nombres!$C$3:$D$636,14,FALSE)</f>
        <v>Argentina</v>
      </c>
      <c r="B11" s="44">
        <v>5727.42467177</v>
      </c>
      <c r="C11" s="44">
        <v>5548.0146043</v>
      </c>
      <c r="D11" s="44">
        <v>6180.594252999999</v>
      </c>
      <c r="E11" s="44">
        <v>6775.30599561</v>
      </c>
      <c r="F11" s="44">
        <v>6766.69729061</v>
      </c>
      <c r="G11" s="44">
        <v>7343.945000000001</v>
      </c>
      <c r="H11" s="44">
        <v>7574.14834403</v>
      </c>
      <c r="I11" s="44">
        <v>0</v>
      </c>
      <c r="K11" s="199"/>
      <c r="L11" s="200"/>
    </row>
    <row r="12" spans="1:12" ht="15">
      <c r="A12" s="201" t="str">
        <f>HLOOKUP(INDICE!$F$2,Nombres!$C$3:$D$636,15,FALSE)</f>
        <v>Chile</v>
      </c>
      <c r="B12" s="44">
        <v>1577.494</v>
      </c>
      <c r="C12" s="44">
        <v>1700.4819999999995</v>
      </c>
      <c r="D12" s="44">
        <v>1602.6979999999999</v>
      </c>
      <c r="E12" s="44">
        <v>1635.52199571</v>
      </c>
      <c r="F12" s="44">
        <v>1888.1159999999998</v>
      </c>
      <c r="G12" s="44">
        <v>1939.034</v>
      </c>
      <c r="H12" s="44">
        <v>2163.8099999999995</v>
      </c>
      <c r="I12" s="44">
        <v>0</v>
      </c>
      <c r="K12" s="199"/>
      <c r="L12" s="200"/>
    </row>
    <row r="13" spans="1:12" ht="15">
      <c r="A13" s="201" t="str">
        <f>HLOOKUP(INDICE!$F$2,Nombres!$C$3:$D$636,16,FALSE)</f>
        <v>Colombia</v>
      </c>
      <c r="B13" s="44">
        <v>12609.25952864</v>
      </c>
      <c r="C13" s="44">
        <v>12951.161905739998</v>
      </c>
      <c r="D13" s="44">
        <v>13376.350999999999</v>
      </c>
      <c r="E13" s="44">
        <v>14262.200003910002</v>
      </c>
      <c r="F13" s="44">
        <v>15853.155228539998</v>
      </c>
      <c r="G13" s="44">
        <v>16834.32</v>
      </c>
      <c r="H13" s="44">
        <v>17133.731127479998</v>
      </c>
      <c r="I13" s="44">
        <v>0</v>
      </c>
      <c r="K13" s="199"/>
      <c r="L13" s="200"/>
    </row>
    <row r="14" spans="1:12" ht="15">
      <c r="A14" s="201" t="str">
        <f>HLOOKUP(INDICE!$F$2,Nombres!$C$3:$D$636,17,FALSE)</f>
        <v>Perú</v>
      </c>
      <c r="B14" s="44">
        <v>16675.773832410003</v>
      </c>
      <c r="C14" s="44">
        <v>16469.43935354</v>
      </c>
      <c r="D14" s="44">
        <v>17336.05</v>
      </c>
      <c r="E14" s="44">
        <v>18016.47699951</v>
      </c>
      <c r="F14" s="44">
        <v>19003.581019359997</v>
      </c>
      <c r="G14" s="44">
        <v>20344.217531450002</v>
      </c>
      <c r="H14" s="44">
        <v>21316.35688652</v>
      </c>
      <c r="I14" s="44">
        <v>0</v>
      </c>
      <c r="K14" s="199"/>
      <c r="L14" s="200"/>
    </row>
    <row r="15" spans="1:12" ht="15">
      <c r="A15" s="201" t="str">
        <f>HLOOKUP(INDICE!$F$2,Nombres!$C$3:$D$636,89,FALSE)</f>
        <v>Resto de América del Sur</v>
      </c>
      <c r="B15" s="44">
        <v>2357.826</v>
      </c>
      <c r="C15" s="44">
        <v>2444.0969999999998</v>
      </c>
      <c r="D15" s="44">
        <v>2374.755</v>
      </c>
      <c r="E15" s="44">
        <v>2644.63899997</v>
      </c>
      <c r="F15" s="44">
        <v>2818.82975446</v>
      </c>
      <c r="G15" s="44">
        <v>3179.7577461799992</v>
      </c>
      <c r="H15" s="44">
        <v>3296.0538580499992</v>
      </c>
      <c r="I15" s="44">
        <v>0</v>
      </c>
      <c r="K15" s="199"/>
      <c r="L15" s="200"/>
    </row>
    <row r="16" spans="1:12" ht="15">
      <c r="A16" s="286" t="str">
        <f>HLOOKUP(INDICE!$F$2,Nombres!$C$3:$D$636,263,FALSE)</f>
        <v>Resto de Negocios</v>
      </c>
      <c r="B16" s="44">
        <v>28436.27412497</v>
      </c>
      <c r="C16" s="44">
        <v>28369.32461407</v>
      </c>
      <c r="D16" s="44">
        <v>27041.584696980004</v>
      </c>
      <c r="E16" s="44">
        <v>29280.11150947</v>
      </c>
      <c r="F16" s="44">
        <v>31607.217831029997</v>
      </c>
      <c r="G16" s="44">
        <v>34389.19677855</v>
      </c>
      <c r="H16" s="44">
        <v>35558.64294882999</v>
      </c>
      <c r="I16" s="44">
        <v>0</v>
      </c>
      <c r="K16" s="199"/>
      <c r="L16" s="200"/>
    </row>
    <row r="17" spans="1:12" ht="15">
      <c r="A17" s="59" t="str">
        <f>HLOOKUP(INDICE!$F$2,Nombres!$C$3:$D$636,272,FALSE)</f>
        <v>Centro Corporativo (1)</v>
      </c>
      <c r="B17" s="44">
        <f>+B6-B7-B8-B9-B11-B12-B13-B14-B15-B16</f>
        <v>63944.77866047004</v>
      </c>
      <c r="C17" s="44">
        <f>+C6-C7-C8-C9-C11-C12-C13-C14-C15-C16</f>
        <v>10135.760129590024</v>
      </c>
      <c r="D17" s="44">
        <f aca="true" t="shared" si="1" ref="D17:I17">+D6-D7-D8-D9-D11-D12-D13-D14-D15-D16</f>
        <v>9406.376889354848</v>
      </c>
      <c r="E17" s="44">
        <f>+E6-E7-E8-E9-E11-E12-E13-E14-E15-E16</f>
        <v>6632.061232940076</v>
      </c>
      <c r="F17" s="44">
        <f t="shared" si="1"/>
        <v>11354.839342589967</v>
      </c>
      <c r="G17" s="44">
        <f t="shared" si="1"/>
        <v>12774.950064760123</v>
      </c>
      <c r="H17" s="44">
        <f t="shared" si="1"/>
        <v>11753.178393350005</v>
      </c>
      <c r="I17" s="44">
        <f t="shared" si="1"/>
        <v>0</v>
      </c>
      <c r="K17" s="199"/>
      <c r="L17" s="200"/>
    </row>
    <row r="18" spans="1:12" ht="15">
      <c r="A18" s="59"/>
      <c r="B18" s="44"/>
      <c r="C18" s="44"/>
      <c r="D18" s="44"/>
      <c r="E18" s="44"/>
      <c r="F18" s="44"/>
      <c r="G18" s="44"/>
      <c r="H18" s="44"/>
      <c r="I18" s="44"/>
      <c r="K18" s="199"/>
      <c r="L18" s="200"/>
    </row>
    <row r="19" spans="1:12" ht="15">
      <c r="A19" s="59"/>
      <c r="B19" s="44"/>
      <c r="C19" s="44"/>
      <c r="D19" s="44"/>
      <c r="E19" s="44"/>
      <c r="F19" s="44"/>
      <c r="G19" s="44"/>
      <c r="H19" s="44"/>
      <c r="I19" s="44"/>
      <c r="K19" s="199"/>
      <c r="L19" s="200"/>
    </row>
    <row r="20" spans="1:12" ht="15">
      <c r="A20" s="59" t="str">
        <f>HLOOKUP(INDICE!$F$2,Nombres!$C$3:$D$636,273,FALSE)</f>
        <v>(1) Incluye los APRs del negocio de EEUU vendido</v>
      </c>
      <c r="C20" s="44"/>
      <c r="D20" s="44"/>
      <c r="E20" s="44"/>
      <c r="F20" s="44"/>
      <c r="G20" s="44"/>
      <c r="H20" s="44"/>
      <c r="I20" s="44"/>
      <c r="K20" s="199"/>
      <c r="L20" s="200"/>
    </row>
    <row r="21" spans="1:12" ht="15">
      <c r="A21" s="59" t="str">
        <f>HLOOKUP(INDICE!$F$2,Nombres!$C$3:$D$636,320,FALSE)</f>
        <v>(*)El dato del trimestre en curso es provisional</v>
      </c>
      <c r="K21" s="199"/>
      <c r="L21" s="200"/>
    </row>
    <row r="22" spans="1:12" ht="15">
      <c r="A22" s="309"/>
      <c r="C22" s="44"/>
      <c r="D22" s="44"/>
      <c r="E22" s="44"/>
      <c r="F22" s="44"/>
      <c r="G22" s="44"/>
      <c r="H22" s="44"/>
      <c r="I22" s="56"/>
      <c r="K22" s="199"/>
      <c r="L22" s="200"/>
    </row>
    <row r="23" spans="1:12" ht="15">
      <c r="A23" s="281"/>
      <c r="B23" s="287">
        <v>0</v>
      </c>
      <c r="C23" s="287">
        <v>0</v>
      </c>
      <c r="D23" s="287">
        <v>0</v>
      </c>
      <c r="E23" s="287">
        <v>0</v>
      </c>
      <c r="F23" s="287">
        <v>0</v>
      </c>
      <c r="G23" s="287">
        <v>0</v>
      </c>
      <c r="H23" s="287">
        <v>0</v>
      </c>
      <c r="I23" s="287">
        <v>0</v>
      </c>
      <c r="K23" s="199"/>
      <c r="L23" s="200"/>
    </row>
    <row r="24" spans="1:12" ht="15">
      <c r="A24" s="59"/>
      <c r="B24" s="44"/>
      <c r="C24" s="44"/>
      <c r="D24" s="44"/>
      <c r="E24" s="44"/>
      <c r="F24" s="44"/>
      <c r="G24" s="44"/>
      <c r="H24" s="44"/>
      <c r="I24" s="44"/>
      <c r="K24" s="199"/>
      <c r="L24" s="200"/>
    </row>
    <row r="25" spans="1:6" ht="15">
      <c r="A25" s="157"/>
      <c r="B25" s="157"/>
      <c r="C25" s="157"/>
      <c r="D25" s="157"/>
      <c r="E25" s="157"/>
      <c r="F25" s="157"/>
    </row>
    <row r="26" spans="1:6" ht="15">
      <c r="A26" s="253"/>
      <c r="B26" s="202"/>
      <c r="C26" s="202"/>
      <c r="D26" s="202"/>
      <c r="E26" s="202"/>
      <c r="F26" s="202"/>
    </row>
    <row r="27" spans="2:6" ht="15">
      <c r="B27" s="106"/>
      <c r="F27" s="31"/>
    </row>
    <row r="1005" ht="15">
      <c r="A1005" t="s">
        <v>392</v>
      </c>
    </row>
  </sheetData>
  <sheetProtection/>
  <mergeCells count="1">
    <mergeCell ref="B4:I4"/>
  </mergeCells>
  <conditionalFormatting sqref="B23:I23">
    <cfRule type="cellIs" priority="1" dxfId="131" operator="notEqual">
      <formula>0</formula>
    </cfRule>
  </conditionalFormatting>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O1000"/>
  <sheetViews>
    <sheetView showGridLines="0" zoomScalePageLayoutView="0" workbookViewId="0" topLeftCell="A1">
      <selection activeCell="A1" sqref="A1"/>
    </sheetView>
  </sheetViews>
  <sheetFormatPr defaultColWidth="11.421875" defaultRowHeight="15"/>
  <cols>
    <col min="1" max="1" width="23.8515625" style="0" customWidth="1"/>
    <col min="9" max="9" width="0" style="0" hidden="1" customWidth="1"/>
  </cols>
  <sheetData>
    <row r="1" spans="1:41" ht="18">
      <c r="A1" s="247" t="str">
        <f>HLOOKUP(INDICE!$F$2,Nombres!$C$3:$D$636,123,FALSE)</f>
        <v>Oficinas</v>
      </c>
      <c r="B1" s="153"/>
      <c r="C1" s="153"/>
      <c r="D1" s="154"/>
      <c r="E1" s="154"/>
      <c r="F1" s="154"/>
      <c r="G1" s="154"/>
      <c r="H1" s="154"/>
      <c r="I1" s="154"/>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1:41" ht="33.75" customHeight="1">
      <c r="A2" s="155"/>
      <c r="B2" s="100">
        <f>+España!B32</f>
        <v>44286</v>
      </c>
      <c r="C2" s="100">
        <f>+España!C32</f>
        <v>44377</v>
      </c>
      <c r="D2" s="100">
        <f>+España!D32</f>
        <v>44469</v>
      </c>
      <c r="E2" s="100">
        <f>+España!E32</f>
        <v>44561</v>
      </c>
      <c r="F2" s="100">
        <f>+España!F32</f>
        <v>44651</v>
      </c>
      <c r="G2" s="100">
        <f>+España!G32</f>
        <v>44742</v>
      </c>
      <c r="H2" s="100">
        <f>+España!H32</f>
        <v>44834</v>
      </c>
      <c r="I2" s="100">
        <f>+España!I32</f>
        <v>44926</v>
      </c>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ht="15">
      <c r="A3" s="248" t="str">
        <f>HLOOKUP(INDICE!$F$2,Nombres!$C$3:$D$636,7,FALSE)</f>
        <v>España</v>
      </c>
      <c r="B3" s="41">
        <v>2366</v>
      </c>
      <c r="C3" s="41">
        <v>2366</v>
      </c>
      <c r="D3" s="41">
        <v>2106</v>
      </c>
      <c r="E3" s="41">
        <v>1895</v>
      </c>
      <c r="F3" s="41">
        <v>1886</v>
      </c>
      <c r="G3" s="41">
        <v>1886</v>
      </c>
      <c r="H3" s="41">
        <v>1886</v>
      </c>
      <c r="I3" s="41">
        <v>0</v>
      </c>
      <c r="J3" s="54"/>
      <c r="K3" s="31"/>
      <c r="L3" s="116"/>
      <c r="M3" s="116"/>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1" ht="15">
      <c r="A4" s="248" t="str">
        <f>HLOOKUP(INDICE!$F$2,Nombres!$C$3:$D$636,10,FALSE)</f>
        <v>EEUU</v>
      </c>
      <c r="B4" s="41">
        <v>639</v>
      </c>
      <c r="C4" s="41">
        <v>0</v>
      </c>
      <c r="D4" s="41">
        <v>0</v>
      </c>
      <c r="E4" s="41">
        <v>0</v>
      </c>
      <c r="F4" s="41">
        <v>0</v>
      </c>
      <c r="G4" s="41">
        <v>0</v>
      </c>
      <c r="H4" s="41">
        <v>0</v>
      </c>
      <c r="I4" s="41">
        <v>0</v>
      </c>
      <c r="J4" s="54"/>
      <c r="K4" s="31"/>
      <c r="L4" s="116"/>
      <c r="M4" s="116"/>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5">
      <c r="A5" s="248" t="str">
        <f>HLOOKUP(INDICE!$F$2,Nombres!$C$3:$D$636,11,FALSE)</f>
        <v>México</v>
      </c>
      <c r="B5" s="41">
        <v>1728</v>
      </c>
      <c r="C5" s="41">
        <v>1746</v>
      </c>
      <c r="D5" s="41">
        <v>1746</v>
      </c>
      <c r="E5" s="41">
        <v>1716</v>
      </c>
      <c r="F5" s="41">
        <v>1722</v>
      </c>
      <c r="G5" s="41">
        <v>1726</v>
      </c>
      <c r="H5" s="41">
        <v>1727</v>
      </c>
      <c r="I5" s="41">
        <v>0</v>
      </c>
      <c r="J5" s="54"/>
      <c r="K5" s="31"/>
      <c r="L5" s="116"/>
      <c r="M5" s="116"/>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ht="15">
      <c r="A6" s="248" t="str">
        <f>HLOOKUP(INDICE!$F$2,Nombres!$C$3:$D$636,12,FALSE)</f>
        <v>Turquía </v>
      </c>
      <c r="B6" s="41">
        <v>1021</v>
      </c>
      <c r="C6" s="41">
        <v>1009</v>
      </c>
      <c r="D6" s="41">
        <v>1007</v>
      </c>
      <c r="E6" s="41">
        <v>1006</v>
      </c>
      <c r="F6" s="41">
        <v>1003</v>
      </c>
      <c r="G6" s="41">
        <v>992</v>
      </c>
      <c r="H6" s="41">
        <v>984</v>
      </c>
      <c r="I6" s="41">
        <v>0</v>
      </c>
      <c r="J6" s="54"/>
      <c r="K6" s="31"/>
      <c r="L6" s="116"/>
      <c r="M6" s="116"/>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5">
      <c r="A7" s="248" t="str">
        <f>HLOOKUP(INDICE!$F$2,Nombres!$C$3:$D$636,13,FALSE)</f>
        <v>América del Sur </v>
      </c>
      <c r="B7" s="41">
        <v>1470</v>
      </c>
      <c r="C7" s="41">
        <v>1464</v>
      </c>
      <c r="D7" s="41">
        <v>1453</v>
      </c>
      <c r="E7" s="41">
        <v>1434</v>
      </c>
      <c r="F7" s="41">
        <v>1428</v>
      </c>
      <c r="G7" s="41">
        <v>1427</v>
      </c>
      <c r="H7" s="41">
        <v>1422</v>
      </c>
      <c r="I7" s="41">
        <v>0</v>
      </c>
      <c r="J7" s="54"/>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ht="15">
      <c r="A8" s="156" t="str">
        <f>HLOOKUP(INDICE!$F$2,Nombres!$C$3:$D$636,14,FALSE)</f>
        <v>Argentina</v>
      </c>
      <c r="B8" s="249">
        <v>248</v>
      </c>
      <c r="C8" s="249">
        <v>244</v>
      </c>
      <c r="D8" s="249">
        <v>244</v>
      </c>
      <c r="E8" s="249">
        <v>244</v>
      </c>
      <c r="F8" s="249">
        <v>243</v>
      </c>
      <c r="G8" s="249">
        <v>243</v>
      </c>
      <c r="H8" s="249">
        <v>243</v>
      </c>
      <c r="I8" s="249">
        <v>0</v>
      </c>
      <c r="J8" s="54"/>
      <c r="K8" s="31"/>
      <c r="L8" s="116"/>
      <c r="M8" s="116"/>
      <c r="N8" s="262"/>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ht="15">
      <c r="A9" s="156" t="str">
        <f>HLOOKUP(INDICE!$F$2,Nombres!$C$3:$D$636,15,FALSE)</f>
        <v>Chile</v>
      </c>
      <c r="B9" s="44">
        <v>17</v>
      </c>
      <c r="C9" s="44">
        <v>17</v>
      </c>
      <c r="D9" s="44">
        <v>17</v>
      </c>
      <c r="E9" s="44">
        <v>11</v>
      </c>
      <c r="F9" s="44">
        <v>10</v>
      </c>
      <c r="G9" s="44">
        <v>11</v>
      </c>
      <c r="H9" s="44">
        <v>11</v>
      </c>
      <c r="I9" s="44">
        <v>0</v>
      </c>
      <c r="J9" s="54"/>
      <c r="K9" s="31"/>
      <c r="L9" s="116"/>
      <c r="M9" s="116"/>
      <c r="N9" s="262"/>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15">
      <c r="A10" s="250" t="str">
        <f>HLOOKUP(INDICE!$F$2,Nombres!$C$3:$D$636,16,FALSE)</f>
        <v>Colombia</v>
      </c>
      <c r="B10" s="44">
        <v>522</v>
      </c>
      <c r="C10" s="44">
        <v>520</v>
      </c>
      <c r="D10" s="44">
        <v>518</v>
      </c>
      <c r="E10" s="44">
        <v>517</v>
      </c>
      <c r="F10" s="44">
        <v>517</v>
      </c>
      <c r="G10" s="44">
        <v>517</v>
      </c>
      <c r="H10" s="44">
        <v>512</v>
      </c>
      <c r="I10" s="44">
        <v>0</v>
      </c>
      <c r="J10" s="54"/>
      <c r="K10" s="116"/>
      <c r="L10" s="116"/>
      <c r="M10" s="116"/>
      <c r="N10" s="262"/>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5">
      <c r="A11" s="250" t="str">
        <f>HLOOKUP(INDICE!$F$2,Nombres!$C$3:$D$636,17,FALSE)</f>
        <v>Perú</v>
      </c>
      <c r="B11" s="44">
        <v>325</v>
      </c>
      <c r="C11" s="44">
        <v>325</v>
      </c>
      <c r="D11" s="44">
        <v>316</v>
      </c>
      <c r="E11" s="44">
        <v>317</v>
      </c>
      <c r="F11" s="44">
        <v>315</v>
      </c>
      <c r="G11" s="44">
        <v>314</v>
      </c>
      <c r="H11" s="44">
        <v>314</v>
      </c>
      <c r="I11" s="44">
        <v>0</v>
      </c>
      <c r="J11" s="54"/>
      <c r="K11" s="116"/>
      <c r="L11" s="116"/>
      <c r="M11" s="116"/>
      <c r="N11" s="262"/>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5">
      <c r="A12" s="250" t="str">
        <f>HLOOKUP(INDICE!$F$2,Nombres!$C$3:$D$636,89,FALSE)</f>
        <v>Resto de América del Sur</v>
      </c>
      <c r="B12" s="44">
        <v>358</v>
      </c>
      <c r="C12" s="44">
        <v>358</v>
      </c>
      <c r="D12" s="44">
        <v>358</v>
      </c>
      <c r="E12" s="44">
        <v>345</v>
      </c>
      <c r="F12" s="44">
        <v>343</v>
      </c>
      <c r="G12" s="44">
        <v>342</v>
      </c>
      <c r="H12" s="44">
        <v>342</v>
      </c>
      <c r="I12" s="44">
        <v>0</v>
      </c>
      <c r="J12" s="54"/>
      <c r="K12" s="116"/>
      <c r="L12" s="116"/>
      <c r="M12" s="116"/>
      <c r="N12" s="262"/>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15">
      <c r="A13" s="248" t="str">
        <f>HLOOKUP(INDICE!$F$2,Nombres!$C$3:$D$636,279,FALSE)</f>
        <v>Resto de geografías</v>
      </c>
      <c r="B13" s="41">
        <v>30</v>
      </c>
      <c r="C13" s="41">
        <v>32</v>
      </c>
      <c r="D13" s="41">
        <v>32</v>
      </c>
      <c r="E13" s="41">
        <v>32</v>
      </c>
      <c r="F13" s="41">
        <v>32</v>
      </c>
      <c r="G13" s="41">
        <v>31</v>
      </c>
      <c r="H13" s="41">
        <v>31</v>
      </c>
      <c r="I13" s="41">
        <v>0</v>
      </c>
      <c r="J13" s="54"/>
      <c r="K13" s="116"/>
      <c r="L13" s="116"/>
      <c r="M13" s="116"/>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ht="15">
      <c r="A14" s="248" t="s">
        <v>6</v>
      </c>
      <c r="B14" s="41">
        <f aca="true" t="shared" si="0" ref="B14:I14">+SUM(B3:B6,B8:B13)</f>
        <v>7254</v>
      </c>
      <c r="C14" s="41">
        <f t="shared" si="0"/>
        <v>6617</v>
      </c>
      <c r="D14" s="41">
        <f t="shared" si="0"/>
        <v>6344</v>
      </c>
      <c r="E14" s="41">
        <f t="shared" si="0"/>
        <v>6083</v>
      </c>
      <c r="F14" s="41">
        <f t="shared" si="0"/>
        <v>6071</v>
      </c>
      <c r="G14" s="41">
        <f t="shared" si="0"/>
        <v>6062</v>
      </c>
      <c r="H14" s="41">
        <f t="shared" si="0"/>
        <v>6050</v>
      </c>
      <c r="I14" s="41">
        <f t="shared" si="0"/>
        <v>0</v>
      </c>
      <c r="J14" s="54"/>
      <c r="K14" s="116"/>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ht="15">
      <c r="A15" s="157"/>
      <c r="B15" s="158">
        <v>0</v>
      </c>
      <c r="C15" s="158">
        <v>0</v>
      </c>
      <c r="D15" s="158">
        <v>0</v>
      </c>
      <c r="E15" s="158">
        <v>0</v>
      </c>
      <c r="F15" s="158">
        <v>0</v>
      </c>
      <c r="G15" s="158">
        <v>0</v>
      </c>
      <c r="H15" s="158">
        <v>0</v>
      </c>
      <c r="I15" s="158">
        <v>0</v>
      </c>
      <c r="J15" s="31"/>
      <c r="K15" s="116"/>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ht="15">
      <c r="A16" s="157"/>
      <c r="B16" s="158"/>
      <c r="C16" s="158"/>
      <c r="D16" s="158"/>
      <c r="E16" s="158"/>
      <c r="F16" s="158"/>
      <c r="G16" s="158"/>
      <c r="H16" s="158"/>
      <c r="I16" s="158"/>
      <c r="J16" s="31"/>
      <c r="K16" s="116"/>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ht="18">
      <c r="A17" s="247" t="str">
        <f>HLOOKUP(INDICE!$F$2,Nombres!$C$3:$D$636,124,FALSE)</f>
        <v>Empleados</v>
      </c>
      <c r="B17" s="153"/>
      <c r="C17" s="153"/>
      <c r="D17" s="154"/>
      <c r="E17" s="154"/>
      <c r="F17" s="154"/>
      <c r="G17" s="154"/>
      <c r="H17" s="154"/>
      <c r="I17" s="154"/>
      <c r="J17" s="159"/>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33.75" customHeight="1">
      <c r="A18" s="155"/>
      <c r="B18" s="100">
        <f aca="true" t="shared" si="1" ref="B18:I18">+B$2</f>
        <v>44286</v>
      </c>
      <c r="C18" s="100">
        <f t="shared" si="1"/>
        <v>44377</v>
      </c>
      <c r="D18" s="100">
        <f t="shared" si="1"/>
        <v>44469</v>
      </c>
      <c r="E18" s="100">
        <f t="shared" si="1"/>
        <v>44561</v>
      </c>
      <c r="F18" s="100">
        <f t="shared" si="1"/>
        <v>44651</v>
      </c>
      <c r="G18" s="100">
        <f t="shared" si="1"/>
        <v>44742</v>
      </c>
      <c r="H18" s="100">
        <f t="shared" si="1"/>
        <v>44834</v>
      </c>
      <c r="I18" s="100">
        <f t="shared" si="1"/>
        <v>44926</v>
      </c>
      <c r="J18" s="159"/>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15">
      <c r="A19" s="248" t="str">
        <f>HLOOKUP(INDICE!$F$2,Nombres!$C$3:$D$636,7,FALSE)</f>
        <v>España</v>
      </c>
      <c r="B19" s="41">
        <v>28777</v>
      </c>
      <c r="C19" s="41">
        <v>28673</v>
      </c>
      <c r="D19" s="41">
        <v>27387</v>
      </c>
      <c r="E19" s="41">
        <v>24843</v>
      </c>
      <c r="F19" s="41">
        <v>24797</v>
      </c>
      <c r="G19" s="41">
        <v>24995</v>
      </c>
      <c r="H19" s="41">
        <v>25676</v>
      </c>
      <c r="I19" s="41">
        <v>0</v>
      </c>
      <c r="J19" s="116"/>
      <c r="K19" s="41"/>
      <c r="L19" s="31"/>
      <c r="M19" s="54"/>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5">
      <c r="A20" s="248" t="str">
        <f>HLOOKUP(INDICE!$F$2,Nombres!$C$3:$D$636,10,FALSE)</f>
        <v>EEUU</v>
      </c>
      <c r="B20" s="41">
        <v>10532</v>
      </c>
      <c r="C20" s="41">
        <v>0</v>
      </c>
      <c r="D20" s="41">
        <v>0</v>
      </c>
      <c r="E20" s="41">
        <v>0</v>
      </c>
      <c r="F20" s="41">
        <v>0</v>
      </c>
      <c r="G20" s="41">
        <v>0</v>
      </c>
      <c r="H20" s="41">
        <v>0</v>
      </c>
      <c r="I20" s="41">
        <v>0</v>
      </c>
      <c r="J20" s="116"/>
      <c r="K20" s="41"/>
      <c r="L20" s="31"/>
      <c r="M20" s="54"/>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5">
      <c r="A21" s="248" t="str">
        <f>HLOOKUP(INDICE!$F$2,Nombres!$C$3:$D$636,11,FALSE)</f>
        <v>México</v>
      </c>
      <c r="B21" s="41">
        <v>37444</v>
      </c>
      <c r="C21" s="41">
        <v>37127</v>
      </c>
      <c r="D21" s="41">
        <v>40183</v>
      </c>
      <c r="E21" s="41">
        <v>40243</v>
      </c>
      <c r="F21" s="41">
        <v>41139</v>
      </c>
      <c r="G21" s="41">
        <v>41477</v>
      </c>
      <c r="H21" s="41">
        <v>42362</v>
      </c>
      <c r="I21" s="41">
        <v>0</v>
      </c>
      <c r="J21" s="116"/>
      <c r="K21" s="41"/>
      <c r="L21" s="31"/>
      <c r="M21" s="54"/>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15">
      <c r="A22" s="248" t="str">
        <f>HLOOKUP(INDICE!$F$2,Nombres!$C$3:$D$636,12,FALSE)</f>
        <v>Turquía </v>
      </c>
      <c r="B22" s="41">
        <v>21838</v>
      </c>
      <c r="C22" s="41">
        <v>21834</v>
      </c>
      <c r="D22" s="41">
        <v>21651</v>
      </c>
      <c r="E22" s="41">
        <v>21522</v>
      </c>
      <c r="F22" s="41">
        <v>21680</v>
      </c>
      <c r="G22" s="41">
        <v>21917</v>
      </c>
      <c r="H22" s="41">
        <v>21916</v>
      </c>
      <c r="I22" s="41">
        <v>0</v>
      </c>
      <c r="J22" s="116"/>
      <c r="K22" s="41"/>
      <c r="L22" s="31"/>
      <c r="M22" s="54"/>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15">
      <c r="A23" s="248" t="str">
        <f>HLOOKUP(INDICE!$F$2,Nombres!$C$3:$D$636,13,FALSE)</f>
        <v>América del Sur </v>
      </c>
      <c r="B23" s="41">
        <v>22432</v>
      </c>
      <c r="C23" s="41">
        <v>22418</v>
      </c>
      <c r="D23" s="41">
        <v>22607</v>
      </c>
      <c r="E23" s="41">
        <v>22519</v>
      </c>
      <c r="F23" s="41">
        <v>22472</v>
      </c>
      <c r="G23" s="41">
        <v>22771</v>
      </c>
      <c r="H23" s="41">
        <v>22994</v>
      </c>
      <c r="I23" s="41">
        <v>0</v>
      </c>
      <c r="J23" s="54"/>
      <c r="K23" s="44"/>
      <c r="L23" s="31"/>
      <c r="M23" s="54"/>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15">
      <c r="A24" s="156" t="str">
        <f>HLOOKUP(INDICE!$F$2,Nombres!$C$3:$D$636,14,FALSE)</f>
        <v>Argentina</v>
      </c>
      <c r="B24" s="44">
        <v>6017</v>
      </c>
      <c r="C24" s="44">
        <v>5937</v>
      </c>
      <c r="D24" s="44">
        <v>5887</v>
      </c>
      <c r="E24" s="44">
        <v>5852</v>
      </c>
      <c r="F24" s="44">
        <v>5847</v>
      </c>
      <c r="G24" s="44">
        <v>5815</v>
      </c>
      <c r="H24" s="44">
        <v>5849</v>
      </c>
      <c r="I24" s="44">
        <v>0</v>
      </c>
      <c r="J24" s="54"/>
      <c r="K24" s="44"/>
      <c r="L24" s="116"/>
      <c r="M24" s="54"/>
      <c r="N24" s="263"/>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5">
      <c r="A25" s="156" t="str">
        <f>HLOOKUP(INDICE!$F$2,Nombres!$C$3:$D$636,15,FALSE)</f>
        <v>Chile</v>
      </c>
      <c r="B25" s="44">
        <v>685</v>
      </c>
      <c r="C25" s="44">
        <v>694</v>
      </c>
      <c r="D25" s="44">
        <v>704</v>
      </c>
      <c r="E25" s="44">
        <v>714</v>
      </c>
      <c r="F25" s="44">
        <v>722</v>
      </c>
      <c r="G25" s="44">
        <v>747</v>
      </c>
      <c r="H25" s="44">
        <v>779</v>
      </c>
      <c r="I25" s="44">
        <v>0</v>
      </c>
      <c r="J25" s="54"/>
      <c r="K25" s="44"/>
      <c r="L25" s="116"/>
      <c r="M25" s="54"/>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5">
      <c r="A26" s="250" t="str">
        <f>HLOOKUP(INDICE!$F$2,Nombres!$C$3:$D$636,16,FALSE)</f>
        <v>Colombia</v>
      </c>
      <c r="B26" s="44">
        <v>6482</v>
      </c>
      <c r="C26" s="44">
        <v>6564</v>
      </c>
      <c r="D26" s="44">
        <v>6671</v>
      </c>
      <c r="E26" s="44">
        <v>6741</v>
      </c>
      <c r="F26" s="44">
        <v>6826</v>
      </c>
      <c r="G26" s="44">
        <v>6950</v>
      </c>
      <c r="H26" s="44">
        <v>6871</v>
      </c>
      <c r="I26" s="44">
        <v>0</v>
      </c>
      <c r="J26" s="54"/>
      <c r="K26" s="44"/>
      <c r="L26" s="116"/>
      <c r="M26" s="54"/>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15">
      <c r="A27" s="250" t="str">
        <f>HLOOKUP(INDICE!$F$2,Nombres!$C$3:$D$636,17,FALSE)</f>
        <v>Perú</v>
      </c>
      <c r="B27" s="44">
        <v>6217</v>
      </c>
      <c r="C27" s="44">
        <v>6266</v>
      </c>
      <c r="D27" s="44">
        <v>6433</v>
      </c>
      <c r="E27" s="44">
        <v>6394</v>
      </c>
      <c r="F27" s="44">
        <v>6290</v>
      </c>
      <c r="G27" s="44">
        <v>6514</v>
      </c>
      <c r="H27" s="44">
        <v>6696</v>
      </c>
      <c r="I27" s="44">
        <v>0</v>
      </c>
      <c r="J27" s="54"/>
      <c r="K27" s="44"/>
      <c r="L27" s="116"/>
      <c r="M27" s="54"/>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15">
      <c r="A28" s="250" t="str">
        <f>HLOOKUP(INDICE!$F$2,Nombres!$C$3:$D$636,89,FALSE)</f>
        <v>Resto de América del Sur</v>
      </c>
      <c r="B28" s="44">
        <v>3031</v>
      </c>
      <c r="C28" s="44">
        <v>2957</v>
      </c>
      <c r="D28" s="44">
        <v>2912</v>
      </c>
      <c r="E28" s="44">
        <v>2818</v>
      </c>
      <c r="F28" s="44">
        <v>2787</v>
      </c>
      <c r="G28" s="44">
        <v>2745</v>
      </c>
      <c r="H28" s="44">
        <v>2799</v>
      </c>
      <c r="I28" s="44">
        <v>0</v>
      </c>
      <c r="J28" s="54"/>
      <c r="K28" s="44"/>
      <c r="L28" s="116"/>
      <c r="M28" s="54"/>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15">
      <c r="A29" s="248" t="str">
        <f>HLOOKUP(INDICE!$F$2,Nombres!$C$3:$D$636,279,FALSE)</f>
        <v>Resto de geografías</v>
      </c>
      <c r="B29" s="41">
        <v>998</v>
      </c>
      <c r="C29" s="41">
        <v>1270</v>
      </c>
      <c r="D29" s="41">
        <v>1289</v>
      </c>
      <c r="E29" s="41">
        <v>1305</v>
      </c>
      <c r="F29" s="41">
        <v>1314</v>
      </c>
      <c r="G29" s="41">
        <v>1305</v>
      </c>
      <c r="H29" s="41">
        <v>1363</v>
      </c>
      <c r="I29" s="41">
        <v>0</v>
      </c>
      <c r="J29" s="116"/>
      <c r="K29" s="44"/>
      <c r="L29" s="31"/>
      <c r="M29" s="54"/>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15">
      <c r="A30" s="248" t="s">
        <v>6</v>
      </c>
      <c r="B30" s="41">
        <f aca="true" t="shared" si="2" ref="B30:I30">+SUM(B19:B22,B24:B29)</f>
        <v>122021</v>
      </c>
      <c r="C30" s="41">
        <f t="shared" si="2"/>
        <v>111322</v>
      </c>
      <c r="D30" s="41">
        <f t="shared" si="2"/>
        <v>113117</v>
      </c>
      <c r="E30" s="41">
        <f t="shared" si="2"/>
        <v>110432</v>
      </c>
      <c r="F30" s="41">
        <f t="shared" si="2"/>
        <v>111402</v>
      </c>
      <c r="G30" s="41">
        <f t="shared" si="2"/>
        <v>112465</v>
      </c>
      <c r="H30" s="41">
        <f t="shared" si="2"/>
        <v>114311</v>
      </c>
      <c r="I30" s="41">
        <f t="shared" si="2"/>
        <v>0</v>
      </c>
      <c r="J30" s="54"/>
      <c r="K30" s="31"/>
      <c r="L30" s="31"/>
      <c r="M30" s="54"/>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15">
      <c r="A31" s="157"/>
      <c r="B31" s="158">
        <v>0</v>
      </c>
      <c r="C31" s="158">
        <v>0</v>
      </c>
      <c r="D31" s="158">
        <v>0</v>
      </c>
      <c r="E31" s="158">
        <v>0</v>
      </c>
      <c r="F31" s="158">
        <v>0</v>
      </c>
      <c r="G31" s="158">
        <v>0</v>
      </c>
      <c r="H31" s="158">
        <v>0</v>
      </c>
      <c r="I31" s="158">
        <v>0</v>
      </c>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15">
      <c r="A32" s="157"/>
      <c r="B32" s="158"/>
      <c r="C32" s="158"/>
      <c r="D32" s="158"/>
      <c r="E32" s="158"/>
      <c r="F32" s="158"/>
      <c r="G32" s="158"/>
      <c r="H32" s="158"/>
      <c r="I32" s="158"/>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18">
      <c r="A33" s="247" t="str">
        <f>HLOOKUP(INDICE!$F$2,Nombres!$C$3:$D$636,125,FALSE)</f>
        <v>Cajeros automáticos</v>
      </c>
      <c r="B33" s="153"/>
      <c r="C33" s="153"/>
      <c r="D33" s="154"/>
      <c r="E33" s="154"/>
      <c r="F33" s="154"/>
      <c r="G33" s="154"/>
      <c r="H33" s="154"/>
      <c r="I33" s="154"/>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30" customHeight="1">
      <c r="A34" s="142"/>
      <c r="B34" s="100">
        <f aca="true" t="shared" si="3" ref="B34:I34">+B$2</f>
        <v>44286</v>
      </c>
      <c r="C34" s="100">
        <f t="shared" si="3"/>
        <v>44377</v>
      </c>
      <c r="D34" s="100">
        <f t="shared" si="3"/>
        <v>44469</v>
      </c>
      <c r="E34" s="100">
        <f t="shared" si="3"/>
        <v>44561</v>
      </c>
      <c r="F34" s="100">
        <f t="shared" si="3"/>
        <v>44651</v>
      </c>
      <c r="G34" s="100">
        <f t="shared" si="3"/>
        <v>44742</v>
      </c>
      <c r="H34" s="100">
        <f t="shared" si="3"/>
        <v>44834</v>
      </c>
      <c r="I34" s="100">
        <f t="shared" si="3"/>
        <v>44926</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15">
      <c r="A35" s="248" t="str">
        <f>HLOOKUP(INDICE!$F$2,Nombres!$C$3:$D$636,7,FALSE)</f>
        <v>España</v>
      </c>
      <c r="B35" s="41">
        <v>5557</v>
      </c>
      <c r="C35" s="41">
        <v>5562</v>
      </c>
      <c r="D35" s="41">
        <v>5044</v>
      </c>
      <c r="E35" s="41">
        <v>4871</v>
      </c>
      <c r="F35" s="41">
        <v>4890</v>
      </c>
      <c r="G35" s="41">
        <v>4870</v>
      </c>
      <c r="H35" s="41">
        <v>4851</v>
      </c>
      <c r="I35" s="41">
        <v>0</v>
      </c>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5">
      <c r="A36" s="248" t="str">
        <f>HLOOKUP(INDICE!$F$2,Nombres!$C$3:$D$636,10,FALSE)</f>
        <v>EEUU</v>
      </c>
      <c r="B36" s="41">
        <v>1371</v>
      </c>
      <c r="C36" s="41">
        <v>0</v>
      </c>
      <c r="D36" s="41">
        <v>0</v>
      </c>
      <c r="E36" s="41">
        <v>0</v>
      </c>
      <c r="F36" s="41">
        <v>0</v>
      </c>
      <c r="G36" s="41">
        <v>0</v>
      </c>
      <c r="H36" s="41">
        <v>0</v>
      </c>
      <c r="I36" s="41">
        <v>0</v>
      </c>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15">
      <c r="A37" s="248" t="str">
        <f>HLOOKUP(INDICE!$F$2,Nombres!$C$3:$D$636,11,FALSE)</f>
        <v>México</v>
      </c>
      <c r="B37" s="41">
        <v>12957</v>
      </c>
      <c r="C37" s="41">
        <v>13014</v>
      </c>
      <c r="D37" s="41">
        <v>13139</v>
      </c>
      <c r="E37" s="41">
        <v>13400</v>
      </c>
      <c r="F37" s="41">
        <v>13558</v>
      </c>
      <c r="G37" s="41">
        <v>13672</v>
      </c>
      <c r="H37" s="41">
        <v>13783</v>
      </c>
      <c r="I37" s="41">
        <v>0</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15">
      <c r="A38" s="248" t="str">
        <f>HLOOKUP(INDICE!$F$2,Nombres!$C$3:$D$636,12,FALSE)</f>
        <v>Turquía </v>
      </c>
      <c r="B38" s="41">
        <v>5532</v>
      </c>
      <c r="C38" s="41">
        <v>5505</v>
      </c>
      <c r="D38" s="41">
        <v>5535</v>
      </c>
      <c r="E38" s="41">
        <v>5611</v>
      </c>
      <c r="F38" s="41">
        <v>5606</v>
      </c>
      <c r="G38" s="41">
        <v>5632</v>
      </c>
      <c r="H38" s="41">
        <v>5651</v>
      </c>
      <c r="I38" s="41">
        <v>0</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15">
      <c r="A39" s="248" t="str">
        <f>HLOOKUP(INDICE!$F$2,Nombres!$C$3:$D$636,13,FALSE)</f>
        <v>América del Sur </v>
      </c>
      <c r="B39" s="41">
        <v>5307</v>
      </c>
      <c r="C39" s="41">
        <v>5144</v>
      </c>
      <c r="D39" s="41">
        <v>5179</v>
      </c>
      <c r="E39" s="41">
        <v>5243</v>
      </c>
      <c r="F39" s="41">
        <v>5302</v>
      </c>
      <c r="G39" s="41">
        <v>5307</v>
      </c>
      <c r="H39" s="41">
        <v>5314</v>
      </c>
      <c r="I39" s="41">
        <v>0</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15">
      <c r="A40" s="156" t="str">
        <f>HLOOKUP(INDICE!$F$2,Nombres!$C$3:$D$636,14,FALSE)</f>
        <v>Argentina</v>
      </c>
      <c r="B40" s="44">
        <v>1714</v>
      </c>
      <c r="C40" s="44">
        <v>1703</v>
      </c>
      <c r="D40" s="44">
        <v>1704</v>
      </c>
      <c r="E40" s="44">
        <v>1707</v>
      </c>
      <c r="F40" s="44">
        <v>1708</v>
      </c>
      <c r="G40" s="44">
        <v>1707</v>
      </c>
      <c r="H40" s="44">
        <v>1704</v>
      </c>
      <c r="I40" s="44">
        <v>0</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15">
      <c r="A41" s="156" t="str">
        <f>HLOOKUP(INDICE!$F$2,Nombres!$C$3:$D$636,15,FALSE)</f>
        <v>Chile</v>
      </c>
      <c r="B41" s="44">
        <v>0</v>
      </c>
      <c r="C41" s="44">
        <v>0</v>
      </c>
      <c r="D41" s="44">
        <v>0</v>
      </c>
      <c r="E41" s="44" t="s">
        <v>521</v>
      </c>
      <c r="F41" s="44">
        <v>0</v>
      </c>
      <c r="G41" s="44">
        <v>0</v>
      </c>
      <c r="H41" s="44">
        <v>0</v>
      </c>
      <c r="I41" s="44">
        <v>0</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15">
      <c r="A42" s="250" t="str">
        <f>HLOOKUP(INDICE!$F$2,Nombres!$C$3:$D$636,16,FALSE)</f>
        <v>Colombia</v>
      </c>
      <c r="B42" s="44">
        <v>1326</v>
      </c>
      <c r="C42" s="44">
        <v>1329</v>
      </c>
      <c r="D42" s="44">
        <v>1368</v>
      </c>
      <c r="E42" s="44">
        <v>1415</v>
      </c>
      <c r="F42" s="44">
        <v>1451</v>
      </c>
      <c r="G42" s="44">
        <v>1457</v>
      </c>
      <c r="H42" s="44">
        <v>1485</v>
      </c>
      <c r="I42" s="44">
        <v>0</v>
      </c>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5">
      <c r="A43" s="250" t="str">
        <f>HLOOKUP(INDICE!$F$2,Nombres!$C$3:$D$636,17,FALSE)</f>
        <v>Perú</v>
      </c>
      <c r="B43" s="44">
        <v>1927</v>
      </c>
      <c r="C43" s="44">
        <v>1893</v>
      </c>
      <c r="D43" s="44">
        <v>1889</v>
      </c>
      <c r="E43" s="44">
        <v>1903</v>
      </c>
      <c r="F43" s="44">
        <v>1916</v>
      </c>
      <c r="G43" s="44">
        <v>1916</v>
      </c>
      <c r="H43" s="44">
        <v>1898</v>
      </c>
      <c r="I43" s="44">
        <v>0</v>
      </c>
      <c r="J43" s="31"/>
      <c r="K43" s="31"/>
      <c r="L43" s="159"/>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15">
      <c r="A44" s="250" t="str">
        <f>HLOOKUP(INDICE!$F$2,Nombres!$C$3:$D$636,89,FALSE)</f>
        <v>Resto de América del Sur</v>
      </c>
      <c r="B44" s="44">
        <v>340</v>
      </c>
      <c r="C44" s="44">
        <v>219</v>
      </c>
      <c r="D44" s="44">
        <v>218</v>
      </c>
      <c r="E44" s="44">
        <v>218</v>
      </c>
      <c r="F44" s="44">
        <v>227</v>
      </c>
      <c r="G44" s="44">
        <v>227</v>
      </c>
      <c r="H44" s="44">
        <v>227</v>
      </c>
      <c r="I44" s="44">
        <v>0</v>
      </c>
      <c r="J44" s="31"/>
      <c r="K44" s="31"/>
      <c r="L44" s="159"/>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15">
      <c r="A45" s="248" t="str">
        <f>HLOOKUP(INDICE!$F$2,Nombres!$C$3:$D$636,279,FALSE)</f>
        <v>Resto de geografías</v>
      </c>
      <c r="B45" s="41">
        <v>23</v>
      </c>
      <c r="C45" s="41">
        <v>23</v>
      </c>
      <c r="D45" s="41">
        <v>23</v>
      </c>
      <c r="E45" s="41">
        <v>23</v>
      </c>
      <c r="F45" s="41">
        <v>23</v>
      </c>
      <c r="G45" s="41">
        <v>23</v>
      </c>
      <c r="H45" s="41">
        <v>22</v>
      </c>
      <c r="I45" s="41">
        <v>0</v>
      </c>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5">
      <c r="A46" s="248" t="s">
        <v>6</v>
      </c>
      <c r="B46" s="41">
        <f aca="true" t="shared" si="4" ref="B46:I46">+SUM(B35:B38,B40:B45)</f>
        <v>30747</v>
      </c>
      <c r="C46" s="41">
        <f t="shared" si="4"/>
        <v>29248</v>
      </c>
      <c r="D46" s="41">
        <f t="shared" si="4"/>
        <v>28920</v>
      </c>
      <c r="E46" s="41">
        <f t="shared" si="4"/>
        <v>29148</v>
      </c>
      <c r="F46" s="41">
        <f t="shared" si="4"/>
        <v>29379</v>
      </c>
      <c r="G46" s="41">
        <f t="shared" si="4"/>
        <v>29504</v>
      </c>
      <c r="H46" s="41">
        <f t="shared" si="4"/>
        <v>29621</v>
      </c>
      <c r="I46" s="41">
        <f t="shared" si="4"/>
        <v>0</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15">
      <c r="A47" s="98"/>
      <c r="B47" s="158">
        <v>0</v>
      </c>
      <c r="C47" s="158">
        <v>0</v>
      </c>
      <c r="D47" s="158">
        <v>0</v>
      </c>
      <c r="E47" s="158">
        <v>0</v>
      </c>
      <c r="F47" s="158">
        <v>0</v>
      </c>
      <c r="G47" s="158">
        <v>0</v>
      </c>
      <c r="H47" s="158">
        <v>0</v>
      </c>
      <c r="I47" s="158">
        <v>0</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5">
      <c r="A48" s="251"/>
      <c r="B48" s="98"/>
      <c r="C48" s="98"/>
      <c r="D48" s="98"/>
      <c r="E48" s="98"/>
      <c r="F48" s="98"/>
      <c r="G48" s="98"/>
      <c r="H48" s="98"/>
      <c r="I48" s="98"/>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15">
      <c r="A49" s="251"/>
      <c r="B49" s="98"/>
      <c r="C49" s="98"/>
      <c r="D49" s="98"/>
      <c r="E49" s="98"/>
      <c r="F49" s="98"/>
      <c r="G49" s="98"/>
      <c r="H49" s="98"/>
      <c r="I49" s="98"/>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15">
      <c r="A50" s="98"/>
      <c r="B50" s="98"/>
      <c r="C50" s="98"/>
      <c r="D50" s="98"/>
      <c r="E50" s="98"/>
      <c r="F50" s="98"/>
      <c r="G50" s="98"/>
      <c r="H50" s="98"/>
      <c r="I50" s="98"/>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15">
      <c r="A51" s="98"/>
      <c r="B51" s="98"/>
      <c r="C51" s="98"/>
      <c r="D51" s="98"/>
      <c r="E51" s="98"/>
      <c r="F51" s="98"/>
      <c r="G51" s="98"/>
      <c r="H51" s="98"/>
      <c r="I51" s="98"/>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15">
      <c r="A52" s="98"/>
      <c r="B52" s="98"/>
      <c r="C52" s="98"/>
      <c r="D52" s="98"/>
      <c r="E52" s="98"/>
      <c r="F52" s="98"/>
      <c r="G52" s="98"/>
      <c r="H52" s="98"/>
      <c r="I52" s="98"/>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15">
      <c r="A53" s="98"/>
      <c r="B53" s="98"/>
      <c r="C53" s="98"/>
      <c r="D53" s="98"/>
      <c r="E53" s="98"/>
      <c r="F53" s="98"/>
      <c r="G53" s="98"/>
      <c r="H53" s="98"/>
      <c r="I53" s="98"/>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5">
      <c r="A54" s="98"/>
      <c r="B54" s="98"/>
      <c r="C54" s="98"/>
      <c r="D54" s="98"/>
      <c r="E54" s="98"/>
      <c r="F54" s="98"/>
      <c r="G54" s="98"/>
      <c r="H54" s="98"/>
      <c r="I54" s="98"/>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15">
      <c r="A55" s="98"/>
      <c r="B55" s="98"/>
      <c r="C55" s="98"/>
      <c r="D55" s="98"/>
      <c r="E55" s="98"/>
      <c r="F55" s="98"/>
      <c r="G55" s="98"/>
      <c r="H55" s="98"/>
      <c r="I55" s="98"/>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15">
      <c r="A56" s="98"/>
      <c r="B56" s="98"/>
      <c r="C56" s="98"/>
      <c r="D56" s="98"/>
      <c r="E56" s="98"/>
      <c r="F56" s="98"/>
      <c r="G56" s="98"/>
      <c r="H56" s="98"/>
      <c r="I56" s="98"/>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15">
      <c r="A57" s="98"/>
      <c r="B57" s="98"/>
      <c r="C57" s="98"/>
      <c r="D57" s="98"/>
      <c r="E57" s="98"/>
      <c r="F57" s="98"/>
      <c r="G57" s="98"/>
      <c r="H57" s="98"/>
      <c r="I57" s="98"/>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15">
      <c r="A58" s="98"/>
      <c r="B58" s="98"/>
      <c r="C58" s="98"/>
      <c r="D58" s="98"/>
      <c r="E58" s="98"/>
      <c r="F58" s="98"/>
      <c r="G58" s="98"/>
      <c r="H58" s="98"/>
      <c r="I58" s="98"/>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15">
      <c r="A59" s="98"/>
      <c r="B59" s="98"/>
      <c r="C59" s="98"/>
      <c r="D59" s="98"/>
      <c r="E59" s="98"/>
      <c r="F59" s="98"/>
      <c r="G59" s="98"/>
      <c r="H59" s="98"/>
      <c r="I59" s="98"/>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15">
      <c r="A60" s="98"/>
      <c r="B60" s="98"/>
      <c r="C60" s="98"/>
      <c r="D60" s="98"/>
      <c r="E60" s="98"/>
      <c r="F60" s="98"/>
      <c r="G60" s="98"/>
      <c r="H60" s="98"/>
      <c r="I60" s="98"/>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1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1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1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1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1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1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1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1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1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31" customFormat="1" ht="15"/>
    <row r="71" s="31" customFormat="1" ht="15"/>
    <row r="72" s="31" customFormat="1" ht="15"/>
    <row r="73" s="31" customFormat="1" ht="15"/>
    <row r="74" s="31" customFormat="1" ht="15"/>
    <row r="75" s="31" customFormat="1" ht="15"/>
    <row r="76" s="31" customFormat="1" ht="15"/>
    <row r="77" s="31" customFormat="1" ht="15"/>
    <row r="78" s="31" customFormat="1" ht="15"/>
    <row r="79" s="31" customFormat="1" ht="15"/>
    <row r="80" s="31" customFormat="1" ht="15"/>
    <row r="81" s="31" customFormat="1" ht="15"/>
    <row r="82" s="31" customFormat="1" ht="15"/>
    <row r="83" s="31" customFormat="1" ht="15"/>
    <row r="84" s="31" customFormat="1" ht="15"/>
    <row r="85" s="31" customFormat="1" ht="15"/>
    <row r="86" s="31" customFormat="1" ht="15"/>
    <row r="87" s="31" customFormat="1" ht="15"/>
    <row r="88" s="31" customFormat="1" ht="15"/>
    <row r="89" s="31" customFormat="1" ht="15"/>
    <row r="90" s="31" customFormat="1" ht="15"/>
    <row r="91" s="31" customFormat="1" ht="15"/>
    <row r="92" s="31" customFormat="1" ht="15"/>
    <row r="93" s="31" customFormat="1" ht="15"/>
    <row r="94" s="31" customFormat="1" ht="15"/>
    <row r="95" s="31" customFormat="1" ht="15"/>
    <row r="96" s="31" customFormat="1" ht="15"/>
    <row r="97" s="31" customFormat="1" ht="15"/>
    <row r="98" s="31" customFormat="1" ht="15"/>
    <row r="99" s="31" customFormat="1" ht="15"/>
    <row r="100" s="31" customFormat="1" ht="15"/>
    <row r="101" s="31" customFormat="1" ht="15"/>
    <row r="102" s="31" customFormat="1" ht="15"/>
    <row r="103" s="31" customFormat="1" ht="15"/>
    <row r="104" s="31" customFormat="1" ht="15"/>
    <row r="105" s="31" customFormat="1" ht="15"/>
    <row r="106" s="31" customFormat="1" ht="15"/>
    <row r="107" s="31" customFormat="1" ht="15"/>
    <row r="108" s="31" customFormat="1" ht="15"/>
    <row r="109" s="31" customFormat="1" ht="15"/>
    <row r="110" s="31" customFormat="1" ht="15"/>
    <row r="111" s="31" customFormat="1" ht="15"/>
    <row r="112" s="31" customFormat="1" ht="15"/>
    <row r="113" s="31" customFormat="1" ht="15"/>
    <row r="114" s="31" customFormat="1" ht="15"/>
    <row r="115" s="31" customFormat="1" ht="15"/>
    <row r="116" s="31" customFormat="1" ht="15"/>
    <row r="117" s="31" customFormat="1" ht="15"/>
    <row r="118" s="31" customFormat="1" ht="15"/>
    <row r="119" s="31" customFormat="1" ht="15"/>
    <row r="120" s="31" customFormat="1" ht="15"/>
    <row r="121" s="31" customFormat="1" ht="15"/>
    <row r="122" s="31" customFormat="1" ht="15"/>
    <row r="123" s="31" customFormat="1" ht="15"/>
    <row r="124" s="31" customFormat="1" ht="15"/>
    <row r="125" s="31" customFormat="1" ht="15"/>
    <row r="126" s="31" customFormat="1" ht="15"/>
    <row r="127" s="31" customFormat="1" ht="15"/>
    <row r="128" s="31" customFormat="1" ht="15"/>
    <row r="129" s="31" customFormat="1" ht="15"/>
    <row r="130" s="31" customFormat="1" ht="15"/>
    <row r="131" s="31" customFormat="1" ht="15"/>
    <row r="132" s="31" customFormat="1" ht="15"/>
    <row r="133" s="31" customFormat="1" ht="15"/>
    <row r="134" s="31" customFormat="1" ht="15"/>
    <row r="135" s="31" customFormat="1" ht="15"/>
    <row r="136" s="31" customFormat="1" ht="15"/>
    <row r="137" s="31" customFormat="1" ht="15"/>
    <row r="138" s="31" customFormat="1" ht="15"/>
    <row r="139" s="31" customFormat="1" ht="15"/>
    <row r="140" s="31" customFormat="1" ht="15"/>
    <row r="141" s="31" customFormat="1" ht="15"/>
    <row r="142" s="31" customFormat="1" ht="15"/>
    <row r="143" s="31" customFormat="1" ht="15"/>
    <row r="144" s="31" customFormat="1" ht="15"/>
    <row r="145" s="31" customFormat="1" ht="15"/>
    <row r="146" s="31" customFormat="1" ht="15"/>
    <row r="147" s="31" customFormat="1" ht="15"/>
    <row r="148" s="31" customFormat="1" ht="15"/>
    <row r="149" s="31" customFormat="1" ht="15"/>
    <row r="150" s="31" customFormat="1" ht="15"/>
    <row r="151" s="31" customFormat="1" ht="15"/>
    <row r="152" s="31" customFormat="1" ht="15"/>
    <row r="153" s="31" customFormat="1" ht="15"/>
    <row r="154" s="31" customFormat="1" ht="15"/>
    <row r="155" s="31" customFormat="1" ht="15"/>
    <row r="156" s="31" customFormat="1" ht="15"/>
    <row r="157" s="31" customFormat="1" ht="15"/>
    <row r="158" s="31" customFormat="1" ht="15"/>
    <row r="159" s="31" customFormat="1" ht="15"/>
    <row r="160" s="31" customFormat="1" ht="15"/>
    <row r="161" s="31" customFormat="1" ht="15"/>
    <row r="162" s="31" customFormat="1" ht="15"/>
    <row r="163" s="31" customFormat="1" ht="15"/>
    <row r="164" s="31" customFormat="1" ht="15"/>
    <row r="165" s="31" customFormat="1" ht="15"/>
    <row r="166" s="31" customFormat="1" ht="15"/>
    <row r="167" s="31" customFormat="1" ht="15"/>
    <row r="168" s="31" customFormat="1" ht="15"/>
    <row r="169" s="31" customFormat="1" ht="15"/>
    <row r="170" s="31" customFormat="1" ht="15"/>
    <row r="171" s="31" customFormat="1" ht="15"/>
    <row r="172" s="31" customFormat="1" ht="15"/>
    <row r="173" s="31" customFormat="1" ht="15"/>
    <row r="174" s="31" customFormat="1" ht="15"/>
    <row r="175" s="31" customFormat="1" ht="15"/>
    <row r="176" s="31" customFormat="1" ht="15"/>
    <row r="177" s="31" customFormat="1" ht="15"/>
    <row r="178" s="31" customFormat="1" ht="15"/>
    <row r="179" s="31" customFormat="1" ht="15"/>
    <row r="180" s="31" customFormat="1" ht="15"/>
    <row r="181" s="31" customFormat="1" ht="15"/>
    <row r="182" s="31" customFormat="1" ht="15"/>
    <row r="183" s="31" customFormat="1" ht="15"/>
    <row r="184" s="31" customFormat="1" ht="15"/>
    <row r="185" s="31" customFormat="1" ht="15"/>
    <row r="186" s="31" customFormat="1" ht="15"/>
    <row r="187" s="31" customFormat="1" ht="15"/>
    <row r="188" s="31" customFormat="1" ht="15"/>
    <row r="189" s="31" customFormat="1" ht="15"/>
    <row r="190" s="31" customFormat="1" ht="15"/>
    <row r="191" s="31" customFormat="1" ht="15"/>
    <row r="192" s="31" customFormat="1" ht="15"/>
    <row r="193" s="31" customFormat="1" ht="15"/>
    <row r="194" s="31" customFormat="1" ht="15"/>
    <row r="195" s="31" customFormat="1" ht="15"/>
    <row r="196" s="31" customFormat="1" ht="15"/>
    <row r="197" s="31" customFormat="1" ht="15"/>
    <row r="198" s="31" customFormat="1" ht="15"/>
    <row r="199" s="31" customFormat="1" ht="15"/>
    <row r="200" s="31" customFormat="1" ht="15"/>
    <row r="201" s="31" customFormat="1" ht="15"/>
    <row r="202" s="31" customFormat="1" ht="15"/>
    <row r="203" s="31" customFormat="1" ht="15"/>
    <row r="204" s="31" customFormat="1" ht="15"/>
    <row r="205" s="31" customFormat="1" ht="15"/>
    <row r="206" s="31" customFormat="1" ht="15"/>
    <row r="207" s="31" customFormat="1" ht="15"/>
    <row r="208" s="31" customFormat="1" ht="15"/>
    <row r="209" s="31" customFormat="1" ht="15"/>
    <row r="210" s="31" customFormat="1" ht="15"/>
    <row r="211" s="31" customFormat="1" ht="15"/>
    <row r="212" s="31" customFormat="1" ht="15"/>
    <row r="213" s="31" customFormat="1" ht="15"/>
    <row r="214" s="31" customFormat="1" ht="15"/>
    <row r="215" s="31" customFormat="1" ht="15"/>
    <row r="216" s="31" customFormat="1" ht="15"/>
    <row r="217" s="31" customFormat="1" ht="15"/>
    <row r="218" s="31" customFormat="1" ht="15"/>
    <row r="219" s="31" customFormat="1" ht="15"/>
    <row r="220" s="31" customFormat="1" ht="15"/>
    <row r="221" s="31" customFormat="1" ht="15"/>
    <row r="222" s="31" customFormat="1" ht="15"/>
    <row r="223" s="31" customFormat="1" ht="15"/>
    <row r="224" s="31" customFormat="1" ht="15"/>
    <row r="225" s="31" customFormat="1" ht="15"/>
    <row r="226" s="31" customFormat="1" ht="15"/>
    <row r="227" s="31" customFormat="1" ht="15"/>
    <row r="228" s="31" customFormat="1" ht="15"/>
    <row r="229" s="31" customFormat="1" ht="15"/>
    <row r="230" s="31" customFormat="1" ht="15"/>
    <row r="231" s="31" customFormat="1" ht="15"/>
    <row r="232" s="31" customFormat="1" ht="15"/>
    <row r="233" s="31" customFormat="1" ht="15"/>
    <row r="234" s="31" customFormat="1" ht="15"/>
    <row r="235" s="31" customFormat="1" ht="15"/>
    <row r="236" s="31" customFormat="1" ht="15"/>
    <row r="237" s="31" customFormat="1" ht="15"/>
    <row r="238" s="31" customFormat="1" ht="15"/>
    <row r="239" s="31" customFormat="1" ht="15"/>
    <row r="240" s="31" customFormat="1" ht="15"/>
    <row r="241" s="31" customFormat="1" ht="15"/>
    <row r="242" s="31" customFormat="1" ht="15"/>
    <row r="243" s="31" customFormat="1" ht="15"/>
    <row r="244" s="31" customFormat="1" ht="15"/>
    <row r="245" s="31" customFormat="1" ht="15"/>
    <row r="246" s="31" customFormat="1" ht="15"/>
    <row r="247" s="31" customFormat="1" ht="15"/>
    <row r="248" s="31" customFormat="1" ht="15"/>
    <row r="249" s="31" customFormat="1" ht="15"/>
    <row r="250" s="31" customFormat="1" ht="15"/>
    <row r="251" s="31" customFormat="1" ht="15"/>
    <row r="252" s="31" customFormat="1" ht="15"/>
    <row r="253" s="31" customFormat="1" ht="15"/>
    <row r="254" s="31" customFormat="1" ht="15"/>
    <row r="255" s="31" customFormat="1" ht="15"/>
    <row r="256" s="31" customFormat="1" ht="15"/>
    <row r="257" s="31" customFormat="1" ht="15"/>
    <row r="258" s="31" customFormat="1" ht="15"/>
    <row r="259" s="31" customFormat="1" ht="15"/>
    <row r="260" s="31" customFormat="1" ht="15"/>
    <row r="261" s="31" customFormat="1" ht="15"/>
    <row r="262" s="31" customFormat="1" ht="15"/>
    <row r="263" s="31" customFormat="1" ht="15"/>
    <row r="264" s="31" customFormat="1" ht="15"/>
    <row r="265" s="31" customFormat="1" ht="15"/>
    <row r="266" s="31" customFormat="1" ht="15"/>
    <row r="267" s="31" customFormat="1" ht="15"/>
    <row r="268" s="31" customFormat="1" ht="15"/>
    <row r="269" s="31" customFormat="1" ht="15"/>
    <row r="270" s="31" customFormat="1" ht="15"/>
    <row r="271" s="31" customFormat="1" ht="15"/>
    <row r="272" s="31" customFormat="1" ht="15"/>
    <row r="273" s="31" customFormat="1" ht="15"/>
    <row r="274" s="31" customFormat="1" ht="15"/>
    <row r="275" s="31" customFormat="1" ht="15"/>
    <row r="276" s="31" customFormat="1" ht="15"/>
    <row r="277" s="31" customFormat="1" ht="15"/>
    <row r="278" s="31" customFormat="1" ht="15"/>
    <row r="279" s="31" customFormat="1" ht="15"/>
    <row r="280" s="31" customFormat="1" ht="15"/>
    <row r="281" s="31" customFormat="1" ht="15"/>
    <row r="282" s="31" customFormat="1" ht="15"/>
    <row r="283" s="31" customFormat="1" ht="15"/>
    <row r="284" s="31" customFormat="1" ht="15"/>
    <row r="285" s="31" customFormat="1" ht="15"/>
    <row r="286" s="31" customFormat="1" ht="15"/>
    <row r="287" s="31" customFormat="1" ht="15"/>
    <row r="288" s="31" customFormat="1" ht="15"/>
    <row r="289" s="31" customFormat="1" ht="15"/>
    <row r="290" s="31" customFormat="1" ht="15"/>
    <row r="291" s="31" customFormat="1" ht="15"/>
    <row r="292" s="31" customFormat="1" ht="15"/>
    <row r="293" s="31" customFormat="1" ht="15"/>
    <row r="294" s="31" customFormat="1" ht="15"/>
    <row r="295" s="31" customFormat="1" ht="15"/>
    <row r="296" s="31" customFormat="1" ht="15"/>
    <row r="297" s="31" customFormat="1" ht="15"/>
    <row r="298" s="31" customFormat="1" ht="15"/>
    <row r="299" s="31" customFormat="1" ht="15"/>
    <row r="300" s="31" customFormat="1" ht="15"/>
    <row r="301" s="31" customFormat="1" ht="15"/>
    <row r="302" s="31" customFormat="1" ht="15"/>
    <row r="303" s="31" customFormat="1" ht="15"/>
    <row r="304" s="31" customFormat="1" ht="15"/>
    <row r="305" s="31" customFormat="1" ht="15"/>
    <row r="306" s="31" customFormat="1" ht="15"/>
    <row r="307" s="31" customFormat="1" ht="15"/>
    <row r="308" s="31" customFormat="1" ht="15"/>
    <row r="309" s="31" customFormat="1" ht="15"/>
    <row r="310" s="31" customFormat="1" ht="15"/>
    <row r="311" s="31" customFormat="1" ht="15"/>
    <row r="312" s="31" customFormat="1" ht="15"/>
    <row r="313" s="31" customFormat="1" ht="15"/>
    <row r="314" s="31" customFormat="1" ht="15"/>
    <row r="315" s="31" customFormat="1" ht="15"/>
    <row r="316" s="31" customFormat="1" ht="15"/>
    <row r="317" s="31" customFormat="1" ht="15"/>
    <row r="318" s="31" customFormat="1" ht="15"/>
    <row r="319" s="31" customFormat="1" ht="15"/>
    <row r="320" s="31" customFormat="1" ht="15"/>
    <row r="321" s="31" customFormat="1" ht="15"/>
    <row r="322" s="31" customFormat="1" ht="15"/>
    <row r="323" s="31" customFormat="1" ht="15"/>
    <row r="324" s="31" customFormat="1" ht="15"/>
    <row r="325" s="31" customFormat="1" ht="15"/>
    <row r="326" s="31" customFormat="1" ht="15"/>
    <row r="327" s="31" customFormat="1" ht="15"/>
    <row r="328" s="31" customFormat="1" ht="15"/>
    <row r="329" s="31" customFormat="1" ht="15"/>
    <row r="330" s="31" customFormat="1" ht="15"/>
    <row r="331" s="31" customFormat="1" ht="15"/>
    <row r="332" s="31" customFormat="1" ht="15"/>
    <row r="333" s="31" customFormat="1" ht="15"/>
    <row r="334" s="31" customFormat="1" ht="15"/>
    <row r="335" s="31" customFormat="1" ht="15"/>
    <row r="336" s="31" customFormat="1" ht="15"/>
    <row r="337" s="31" customFormat="1" ht="15"/>
    <row r="338" s="31" customFormat="1" ht="15"/>
    <row r="339" s="31" customFormat="1" ht="15"/>
    <row r="340" s="31" customFormat="1" ht="15"/>
    <row r="341" s="31" customFormat="1" ht="15"/>
    <row r="342" s="31" customFormat="1" ht="15"/>
    <row r="343" s="31" customFormat="1" ht="15"/>
    <row r="344" s="31" customFormat="1" ht="15"/>
    <row r="345" s="31" customFormat="1" ht="15"/>
    <row r="346" s="31" customFormat="1" ht="15"/>
    <row r="347" s="31" customFormat="1" ht="15"/>
    <row r="348" s="31" customFormat="1" ht="15"/>
    <row r="349" s="31" customFormat="1" ht="15"/>
    <row r="350" s="31" customFormat="1" ht="15"/>
    <row r="351" s="31" customFormat="1" ht="15"/>
    <row r="352" s="31" customFormat="1" ht="15"/>
    <row r="353" s="31" customFormat="1" ht="15"/>
    <row r="354" s="31" customFormat="1" ht="15"/>
    <row r="355" s="31" customFormat="1" ht="15"/>
    <row r="356" s="31" customFormat="1" ht="15"/>
    <row r="357" s="31" customFormat="1" ht="15"/>
    <row r="358" s="31" customFormat="1" ht="15"/>
    <row r="359" s="31" customFormat="1" ht="15"/>
    <row r="360" s="31" customFormat="1" ht="15"/>
    <row r="361" s="31" customFormat="1" ht="15"/>
    <row r="362" s="31" customFormat="1" ht="15"/>
    <row r="363" s="31" customFormat="1" ht="15"/>
    <row r="364" s="31" customFormat="1" ht="15"/>
    <row r="365" s="31" customFormat="1" ht="15"/>
    <row r="366" s="31" customFormat="1" ht="15"/>
    <row r="367" s="31" customFormat="1" ht="15"/>
    <row r="368" s="31" customFormat="1" ht="15"/>
    <row r="369" s="31" customFormat="1" ht="15"/>
    <row r="370" s="31" customFormat="1" ht="15"/>
    <row r="371" s="31" customFormat="1" ht="15"/>
    <row r="372" s="31" customFormat="1" ht="15"/>
    <row r="373" s="31" customFormat="1" ht="15"/>
    <row r="374" s="31" customFormat="1" ht="15"/>
    <row r="375" s="31" customFormat="1" ht="15"/>
    <row r="376" s="31" customFormat="1" ht="15"/>
    <row r="377" s="31" customFormat="1" ht="15"/>
    <row r="378" s="31" customFormat="1" ht="15"/>
    <row r="379" s="31" customFormat="1" ht="15"/>
    <row r="380" s="31" customFormat="1" ht="15"/>
    <row r="381" s="31" customFormat="1" ht="15"/>
    <row r="382" s="31" customFormat="1" ht="15"/>
    <row r="383" s="31" customFormat="1" ht="15"/>
    <row r="384" s="31" customFormat="1" ht="15"/>
    <row r="385" s="31" customFormat="1" ht="15"/>
    <row r="386" s="31" customFormat="1" ht="15"/>
    <row r="387" s="31" customFormat="1" ht="15"/>
    <row r="388" s="31" customFormat="1" ht="15"/>
    <row r="389" s="31" customFormat="1" ht="15"/>
    <row r="390" s="31" customFormat="1" ht="15"/>
    <row r="391" s="31" customFormat="1" ht="15"/>
    <row r="392" s="31" customFormat="1" ht="15"/>
    <row r="393" s="31" customFormat="1" ht="15"/>
    <row r="394" s="31" customFormat="1" ht="15"/>
    <row r="395" s="31" customFormat="1" ht="15"/>
    <row r="396" s="31" customFormat="1" ht="15"/>
    <row r="397" s="31" customFormat="1" ht="15"/>
    <row r="398" s="31" customFormat="1" ht="15"/>
    <row r="399" s="31" customFormat="1" ht="15"/>
    <row r="400" s="31" customFormat="1" ht="15"/>
    <row r="401" s="31" customFormat="1" ht="15"/>
    <row r="402" s="31" customFormat="1" ht="15"/>
    <row r="403" s="31" customFormat="1" ht="15"/>
    <row r="404" s="31" customFormat="1" ht="15"/>
    <row r="405" s="31" customFormat="1" ht="15"/>
    <row r="406" s="31" customFormat="1" ht="15"/>
    <row r="407" s="31" customFormat="1" ht="15"/>
    <row r="408" s="31" customFormat="1" ht="15"/>
    <row r="1000" ht="15">
      <c r="A1000" t="s">
        <v>392</v>
      </c>
    </row>
  </sheetData>
  <sheetProtection/>
  <conditionalFormatting sqref="B15:B16">
    <cfRule type="cellIs" priority="6" dxfId="13" operator="notEqual">
      <formula>0</formula>
    </cfRule>
  </conditionalFormatting>
  <conditionalFormatting sqref="C15:C16">
    <cfRule type="cellIs" priority="5" dxfId="13" operator="notEqual">
      <formula>0</formula>
    </cfRule>
  </conditionalFormatting>
  <conditionalFormatting sqref="D15:D16">
    <cfRule type="cellIs" priority="4" dxfId="13" operator="notEqual">
      <formula>0</formula>
    </cfRule>
  </conditionalFormatting>
  <conditionalFormatting sqref="E15:I16">
    <cfRule type="cellIs" priority="3" dxfId="13" operator="notEqual">
      <formula>0</formula>
    </cfRule>
  </conditionalFormatting>
  <conditionalFormatting sqref="B31:I32">
    <cfRule type="cellIs" priority="2" dxfId="13" operator="notEqual">
      <formula>0</formula>
    </cfRule>
  </conditionalFormatting>
  <conditionalFormatting sqref="B47:I47">
    <cfRule type="cellIs" priority="1" dxfId="13" operator="notEqual">
      <formula>0</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1003"/>
  <sheetViews>
    <sheetView showGridLines="0" tabSelected="1" zoomScale="80" zoomScaleNormal="80" zoomScalePageLayoutView="0" workbookViewId="0" topLeftCell="A1">
      <selection activeCell="H24" sqref="H24"/>
    </sheetView>
  </sheetViews>
  <sheetFormatPr defaultColWidth="12.57421875" defaultRowHeight="23.25" customHeight="1"/>
  <cols>
    <col min="1" max="1" width="40.421875" style="1" customWidth="1"/>
    <col min="2" max="2" width="21.8515625" style="1" customWidth="1"/>
    <col min="3" max="3" width="115.7109375" style="28" customWidth="1"/>
    <col min="4" max="4" width="13.28125" style="1" customWidth="1"/>
    <col min="5" max="5" width="18.140625" style="1" hidden="1" customWidth="1"/>
    <col min="6" max="6" width="12.57421875" style="1" hidden="1" customWidth="1"/>
    <col min="7" max="16384" width="12.57421875" style="1" customWidth="1"/>
  </cols>
  <sheetData>
    <row r="1" spans="2:5" ht="23.25" customHeight="1">
      <c r="B1" s="2"/>
      <c r="C1" s="3"/>
      <c r="D1" s="2"/>
      <c r="E1" s="2"/>
    </row>
    <row r="2" spans="2:6" ht="23.25" customHeight="1">
      <c r="B2" s="2"/>
      <c r="C2" s="4" t="str">
        <f>HLOOKUP($F$2,Nombres!$C$3:$D$636,2,FALSE)</f>
        <v>Series trimestrales 2021-2022</v>
      </c>
      <c r="D2" s="2"/>
      <c r="E2" s="2"/>
      <c r="F2" s="5">
        <v>7</v>
      </c>
    </row>
    <row r="3" spans="2:5" ht="23.25" customHeight="1">
      <c r="B3" s="2"/>
      <c r="C3" s="3"/>
      <c r="D3" s="2"/>
      <c r="E3" s="2"/>
    </row>
    <row r="4" spans="1:7" ht="23.25" customHeight="1">
      <c r="A4" s="6"/>
      <c r="B4" s="2"/>
      <c r="C4" s="7" t="str">
        <f>HLOOKUP($F$2,Nombres!$C$3:$D$636,3,FALSE)</f>
        <v>Grupo BBVA</v>
      </c>
      <c r="D4" s="8"/>
      <c r="E4" s="2" t="b">
        <v>0</v>
      </c>
      <c r="G4" s="9"/>
    </row>
    <row r="5" spans="2:7" ht="23.25" customHeight="1">
      <c r="B5" s="2"/>
      <c r="C5" s="10" t="str">
        <f>HLOOKUP($F$2,Nombres!$C$3:$D$636,4,FALSE)</f>
        <v>Cuentas de resultados consolidadas</v>
      </c>
      <c r="D5" s="2"/>
      <c r="E5" s="2" t="b">
        <v>0</v>
      </c>
      <c r="F5" s="1" t="b">
        <f>OR($E$4,E5)</f>
        <v>0</v>
      </c>
      <c r="G5" s="9"/>
    </row>
    <row r="6" spans="2:7" ht="23.25" customHeight="1" hidden="1">
      <c r="B6" s="2"/>
      <c r="C6" s="10"/>
      <c r="D6" s="2"/>
      <c r="E6" s="2" t="b">
        <v>0</v>
      </c>
      <c r="F6" s="1" t="b">
        <f>OR($E$4,E6)</f>
        <v>0</v>
      </c>
      <c r="G6" s="9"/>
    </row>
    <row r="7" spans="2:7" ht="23.25" customHeight="1">
      <c r="B7" s="2"/>
      <c r="C7" s="10" t="str">
        <f>HLOOKUP($F$2,Nombres!$C$3:$D$636,5,FALSE)</f>
        <v>Balances de situación consolidados</v>
      </c>
      <c r="D7" s="2"/>
      <c r="E7" s="2"/>
      <c r="G7" s="9"/>
    </row>
    <row r="8" spans="2:7" ht="23.25" customHeight="1">
      <c r="B8" s="11"/>
      <c r="C8" s="7" t="str">
        <f>HLOOKUP($F$2,Nombres!$C$3:$D$636,6,FALSE)</f>
        <v>Áreas de negocio</v>
      </c>
      <c r="D8" s="11"/>
      <c r="E8" s="11" t="b">
        <v>0</v>
      </c>
      <c r="F8" s="12"/>
      <c r="G8" s="13"/>
    </row>
    <row r="9" spans="1:7" s="16" customFormat="1" ht="23.25" customHeight="1">
      <c r="A9" s="1"/>
      <c r="B9" s="14"/>
      <c r="C9" s="238" t="str">
        <f>HLOOKUP($F$2,Nombres!$C$3:$D$636,7,FALSE)</f>
        <v>España</v>
      </c>
      <c r="D9" s="14"/>
      <c r="E9" s="14" t="b">
        <v>1</v>
      </c>
      <c r="F9" s="1" t="b">
        <f aca="true" t="shared" si="0" ref="F9:F19">OR($E$8,E9)</f>
        <v>1</v>
      </c>
      <c r="G9" s="15"/>
    </row>
    <row r="10" spans="1:7" ht="23.25" customHeight="1">
      <c r="A10" s="17"/>
      <c r="B10" s="2"/>
      <c r="C10" s="10" t="str">
        <f>HLOOKUP($F$2,Nombres!$C$3:$D$636,11,FALSE)</f>
        <v>México</v>
      </c>
      <c r="D10" s="2"/>
      <c r="E10" s="2" t="b">
        <v>1</v>
      </c>
      <c r="F10" s="1" t="b">
        <f t="shared" si="0"/>
        <v>1</v>
      </c>
      <c r="G10" s="9"/>
    </row>
    <row r="11" spans="2:7" ht="23.25" customHeight="1">
      <c r="B11" s="2"/>
      <c r="C11" s="10" t="str">
        <f>HLOOKUP($F$2,Nombres!$C$3:$D$636,12,FALSE)</f>
        <v>Turquía </v>
      </c>
      <c r="D11" s="2"/>
      <c r="E11" s="2" t="b">
        <v>1</v>
      </c>
      <c r="F11" s="1" t="b">
        <f t="shared" si="0"/>
        <v>1</v>
      </c>
      <c r="G11" s="9"/>
    </row>
    <row r="12" spans="1:7" ht="23.25" customHeight="1">
      <c r="A12" s="18"/>
      <c r="B12" s="2"/>
      <c r="C12" s="10" t="str">
        <f>HLOOKUP($F$2,Nombres!$C$3:$D$636,13,FALSE)</f>
        <v>América del Sur </v>
      </c>
      <c r="D12" s="2"/>
      <c r="E12" s="2" t="b">
        <v>1</v>
      </c>
      <c r="F12" s="1" t="b">
        <f t="shared" si="0"/>
        <v>1</v>
      </c>
      <c r="G12" s="9"/>
    </row>
    <row r="13" spans="1:7" s="17" customFormat="1" ht="23.25" customHeight="1">
      <c r="A13" s="18"/>
      <c r="B13" s="19"/>
      <c r="C13" s="10" t="str">
        <f>HLOOKUP($F$2,Nombres!$C$3:$D$636,14,FALSE)</f>
        <v>Argentina</v>
      </c>
      <c r="D13" s="2"/>
      <c r="E13" s="2" t="b">
        <v>1</v>
      </c>
      <c r="F13" s="20" t="b">
        <f>OR($E$8,E13)</f>
        <v>1</v>
      </c>
      <c r="G13" s="21"/>
    </row>
    <row r="14" spans="2:7" ht="23.25" customHeight="1">
      <c r="B14" s="2"/>
      <c r="C14" s="10" t="str">
        <f>HLOOKUP($F$2,Nombres!$C$3:$D$636,15,FALSE)</f>
        <v>Chile</v>
      </c>
      <c r="D14" s="2"/>
      <c r="E14" s="2" t="b">
        <v>0</v>
      </c>
      <c r="F14" s="1" t="b">
        <f t="shared" si="0"/>
        <v>0</v>
      </c>
      <c r="G14" s="9"/>
    </row>
    <row r="15" spans="1:7" s="17" customFormat="1" ht="23.25" customHeight="1">
      <c r="A15" s="1"/>
      <c r="B15" s="19"/>
      <c r="C15" s="10" t="str">
        <f>HLOOKUP($F$2,Nombres!$C$3:$D$636,16,FALSE)</f>
        <v>Colombia</v>
      </c>
      <c r="D15" s="22"/>
      <c r="E15" s="2" t="b">
        <v>0</v>
      </c>
      <c r="F15" s="20" t="b">
        <f t="shared" si="0"/>
        <v>0</v>
      </c>
      <c r="G15" s="21"/>
    </row>
    <row r="16" spans="1:7" s="17" customFormat="1" ht="23.25" customHeight="1">
      <c r="A16" s="6"/>
      <c r="B16" s="19"/>
      <c r="C16" s="10" t="str">
        <f>HLOOKUP($F$2,Nombres!$C$3:$D$636,17,FALSE)</f>
        <v>Perú</v>
      </c>
      <c r="D16" s="22"/>
      <c r="E16" s="2" t="b">
        <v>1</v>
      </c>
      <c r="F16" s="20" t="b">
        <f t="shared" si="0"/>
        <v>1</v>
      </c>
      <c r="G16" s="21"/>
    </row>
    <row r="17" spans="2:7" ht="23.25" customHeight="1">
      <c r="B17" s="2"/>
      <c r="C17" s="10" t="str">
        <f>HLOOKUP($F$2,Nombres!$C$3:$D$636,263,FALSE)</f>
        <v>Resto de Negocios</v>
      </c>
      <c r="D17" s="22"/>
      <c r="E17" s="2" t="b">
        <v>0</v>
      </c>
      <c r="F17" s="1" t="b">
        <f t="shared" si="0"/>
        <v>0</v>
      </c>
      <c r="G17" s="9"/>
    </row>
    <row r="18" spans="2:7" ht="21.75" customHeight="1">
      <c r="B18" s="2"/>
      <c r="C18" s="10" t="str">
        <f>HLOOKUP($F$2,Nombres!$C$3:$D$636,19,FALSE)</f>
        <v>Centro Corporativo</v>
      </c>
      <c r="D18" s="22"/>
      <c r="E18" s="2" t="b">
        <v>0</v>
      </c>
      <c r="F18" s="1" t="b">
        <f t="shared" si="0"/>
        <v>0</v>
      </c>
      <c r="G18" s="9"/>
    </row>
    <row r="19" spans="2:7" ht="23.25" customHeight="1">
      <c r="B19" s="2"/>
      <c r="C19" s="23"/>
      <c r="D19" s="22"/>
      <c r="E19" s="2" t="b">
        <v>0</v>
      </c>
      <c r="F19" s="1" t="b">
        <f t="shared" si="0"/>
        <v>0</v>
      </c>
      <c r="G19" s="9"/>
    </row>
    <row r="20" spans="2:7" ht="24.75" customHeight="1">
      <c r="B20" s="2"/>
      <c r="C20" s="7" t="str">
        <f>HLOOKUP($F$2,Nombres!$C$3:$D$636,20,FALSE)</f>
        <v>Información adicional:</v>
      </c>
      <c r="D20" s="2"/>
      <c r="E20" s="2"/>
      <c r="G20" s="9"/>
    </row>
    <row r="21" spans="2:11" s="16" customFormat="1" ht="23.25" customHeight="1">
      <c r="B21" s="2"/>
      <c r="C21" s="10" t="str">
        <f>HLOOKUP($F$2,Nombres!$C$3:$D$636,21,FALSE)</f>
        <v>Corporate &amp; Investment Banking</v>
      </c>
      <c r="D21" s="2"/>
      <c r="E21" s="2"/>
      <c r="F21" s="1"/>
      <c r="G21" s="9"/>
      <c r="H21" s="1"/>
      <c r="I21" s="1"/>
      <c r="J21" s="1"/>
      <c r="K21" s="1"/>
    </row>
    <row r="22" spans="2:11" s="24" customFormat="1" ht="23.25" customHeight="1">
      <c r="B22" s="2"/>
      <c r="C22" s="7" t="str">
        <f>HLOOKUP($F$2,Nombres!$C$3:$D$636,22,FALSE)</f>
        <v>Anexo:</v>
      </c>
      <c r="D22" s="2"/>
      <c r="E22" s="2" t="b">
        <v>0</v>
      </c>
      <c r="F22" s="1" t="b">
        <f>OR($E$8,E22)</f>
        <v>0</v>
      </c>
      <c r="G22" s="9"/>
      <c r="H22" s="1"/>
      <c r="I22" s="1"/>
      <c r="J22" s="1"/>
      <c r="K22" s="1"/>
    </row>
    <row r="23" spans="2:7" ht="23.25" customHeight="1">
      <c r="B23" s="2"/>
      <c r="C23" s="25" t="str">
        <f>HLOOKUP($F$2,Nombres!$C$3:$D$636,23,FALSE)</f>
        <v>Eficiencia</v>
      </c>
      <c r="D23" s="22"/>
      <c r="E23" s="2"/>
      <c r="G23" s="9"/>
    </row>
    <row r="24" spans="2:7" ht="23.25" customHeight="1">
      <c r="B24" s="2"/>
      <c r="C24" s="25" t="str">
        <f>HLOOKUP($F$2,Nombres!$C$3:$D$636,24,FALSE)</f>
        <v>Tasas de mora, cobertura y coste de riesgo</v>
      </c>
      <c r="D24" s="22"/>
      <c r="E24" s="2"/>
      <c r="G24" s="9"/>
    </row>
    <row r="25" spans="2:7" ht="23.25" customHeight="1">
      <c r="B25" s="2"/>
      <c r="C25" s="25" t="str">
        <f>HLOOKUP($F$2,Nombres!$C$3:$D$636,25,FALSE)</f>
        <v>Empleados, oficinas y cajeros automáticos</v>
      </c>
      <c r="D25" s="22"/>
      <c r="E25" s="2"/>
      <c r="G25" s="9"/>
    </row>
    <row r="26" spans="2:7" ht="23.25" customHeight="1">
      <c r="B26" s="2"/>
      <c r="C26" s="25" t="str">
        <f>HLOOKUP($F$2,Nombres!$C$3:$D$636,26,FALSE)</f>
        <v>Tipos de cambio</v>
      </c>
      <c r="D26" s="14"/>
      <c r="E26" s="2"/>
      <c r="G26" s="9"/>
    </row>
    <row r="27" spans="2:11" ht="22.5" customHeight="1">
      <c r="B27" s="14"/>
      <c r="C27" s="25" t="str">
        <f>HLOOKUP($F$2,Nombres!$C$3:$D$636,27,FALSE)</f>
        <v>Diferenciales de la clientela</v>
      </c>
      <c r="D27" s="2"/>
      <c r="E27" s="14" t="b">
        <v>0</v>
      </c>
      <c r="F27" s="1" t="b">
        <f aca="true" t="shared" si="1" ref="F27:F34">OR($E$26,E27)</f>
        <v>0</v>
      </c>
      <c r="G27" s="15"/>
      <c r="H27" s="16"/>
      <c r="I27" s="16"/>
      <c r="J27" s="16"/>
      <c r="K27" s="16"/>
    </row>
    <row r="28" spans="2:11" ht="22.5" customHeight="1">
      <c r="B28" s="26"/>
      <c r="C28" s="25" t="str">
        <f>HLOOKUP($F$2,Nombres!$C$3:$D$636,28,FALSE)</f>
        <v>Activos ponderados por riesgo. Desglose por áreas de negocio y principales países</v>
      </c>
      <c r="D28" s="2"/>
      <c r="E28" s="26" t="b">
        <v>0</v>
      </c>
      <c r="F28" s="24" t="b">
        <f t="shared" si="1"/>
        <v>0</v>
      </c>
      <c r="G28" s="27"/>
      <c r="H28" s="24"/>
      <c r="I28" s="24"/>
      <c r="J28" s="24"/>
      <c r="K28" s="24"/>
    </row>
    <row r="29" spans="2:7" ht="23.25" customHeight="1">
      <c r="B29" s="2"/>
      <c r="C29" s="25" t="str">
        <f>HLOOKUP($F$2,Nombres!$C$3:$D$636,29,FALSE)</f>
        <v>Desglose del crédito no dudoso en gestión</v>
      </c>
      <c r="D29" s="2"/>
      <c r="E29" s="2" t="b">
        <v>0</v>
      </c>
      <c r="F29" s="1" t="b">
        <f t="shared" si="1"/>
        <v>0</v>
      </c>
      <c r="G29" s="9"/>
    </row>
    <row r="30" spans="2:7" ht="23.25" customHeight="1">
      <c r="B30" s="2"/>
      <c r="C30" s="25" t="str">
        <f>HLOOKUP($F$2,Nombres!$C$3:$D$636,120,FALSE)</f>
        <v>Desglose de los recursos de clientes en gestión</v>
      </c>
      <c r="D30" s="2"/>
      <c r="E30" s="2" t="b">
        <v>0</v>
      </c>
      <c r="F30" s="1" t="b">
        <f t="shared" si="1"/>
        <v>0</v>
      </c>
      <c r="G30" s="9"/>
    </row>
    <row r="31" spans="2:6" ht="23.25" customHeight="1">
      <c r="B31" s="2"/>
      <c r="C31" s="25" t="str">
        <f>HLOOKUP($F$2,Nombres!$C$3:$D$636,242,FALSE)</f>
        <v>Carteras Coap</v>
      </c>
      <c r="D31" s="14"/>
      <c r="E31" s="2" t="b">
        <v>1</v>
      </c>
      <c r="F31" s="1" t="b">
        <f t="shared" si="1"/>
        <v>1</v>
      </c>
    </row>
    <row r="32" spans="2:6" ht="23.25" customHeight="1">
      <c r="B32" s="2"/>
      <c r="C32" s="3"/>
      <c r="D32" s="26"/>
      <c r="E32" s="2" t="b">
        <v>0</v>
      </c>
      <c r="F32" s="1" t="b">
        <f t="shared" si="1"/>
        <v>0</v>
      </c>
    </row>
    <row r="33" spans="2:6" ht="23.25" customHeight="1">
      <c r="B33" s="2"/>
      <c r="C33" s="265"/>
      <c r="D33" s="2"/>
      <c r="E33" s="2" t="b">
        <v>0</v>
      </c>
      <c r="F33" s="1" t="b">
        <f t="shared" si="1"/>
        <v>0</v>
      </c>
    </row>
    <row r="34" spans="2:6" ht="23.25" customHeight="1">
      <c r="B34" s="2"/>
      <c r="C34" s="3"/>
      <c r="D34" s="2"/>
      <c r="E34" s="2" t="b">
        <v>0</v>
      </c>
      <c r="F34" s="1" t="b">
        <f t="shared" si="1"/>
        <v>0</v>
      </c>
    </row>
    <row r="35" spans="2:5" ht="23.25" customHeight="1">
      <c r="B35" s="2"/>
      <c r="C35" s="3"/>
      <c r="D35" s="2"/>
      <c r="E35" s="2"/>
    </row>
    <row r="36" spans="2:5" ht="23.25" customHeight="1">
      <c r="B36" s="2"/>
      <c r="C36" s="3"/>
      <c r="D36" s="2"/>
      <c r="E36" s="2"/>
    </row>
    <row r="37" spans="2:8" ht="23.25" customHeight="1">
      <c r="B37" s="2"/>
      <c r="C37" s="312"/>
      <c r="D37" s="312"/>
      <c r="E37" s="312"/>
      <c r="F37" s="312"/>
      <c r="G37" s="312"/>
      <c r="H37" s="312"/>
    </row>
    <row r="38" spans="2:5" ht="23.25" customHeight="1">
      <c r="B38" s="2"/>
      <c r="D38" s="2"/>
      <c r="E38" s="2"/>
    </row>
    <row r="39" spans="2:5" ht="23.25" customHeight="1">
      <c r="B39" s="2"/>
      <c r="D39" s="2"/>
      <c r="E39" s="2"/>
    </row>
    <row r="40" spans="2:5" ht="23.25" customHeight="1">
      <c r="B40" s="2"/>
      <c r="D40" s="2"/>
      <c r="E40" s="2"/>
    </row>
    <row r="41" spans="2:5" ht="23.25" customHeight="1">
      <c r="B41" s="2"/>
      <c r="D41" s="2"/>
      <c r="E41" s="2"/>
    </row>
    <row r="46" ht="23.25" customHeight="1">
      <c r="G46" s="278"/>
    </row>
    <row r="1003" ht="23.25" customHeight="1">
      <c r="A1003" s="1" t="s">
        <v>392</v>
      </c>
    </row>
  </sheetData>
  <sheetProtection/>
  <mergeCells count="1">
    <mergeCell ref="C37:H37"/>
  </mergeCells>
  <hyperlinks>
    <hyperlink ref="C5" location="'Cuenta de Resultados'!A1" display="'Cuenta de Resultados'!A1"/>
    <hyperlink ref="C9" location="España!A1" display="España!A1"/>
    <hyperlink ref="C10" location="Mexico!A1" display="Mexico!A1"/>
    <hyperlink ref="C11" location="Turquia!A1" display="Turquia!A1"/>
    <hyperlink ref="C12" location="AdS!A1" display="AdS!A1"/>
    <hyperlink ref="C13" location="Argentina!A1" display="Argentina!A1"/>
    <hyperlink ref="C14" location="Chile!A1" display="Chile!A1"/>
    <hyperlink ref="C15" location="Colombia!A1" display="Colombia!A1"/>
    <hyperlink ref="C16" location="Peru!A1" display="Peru!A1"/>
    <hyperlink ref="C17" location="'Resto de Negocios'!A1" display="'Resto de Negocios'!A1"/>
    <hyperlink ref="C18" location="'Centro Corporativo'!A1" display="'Centro Corporativo'!A1"/>
    <hyperlink ref="C21" location="'Corporate &amp; Investment Banking'!A1" display="'Corporate &amp; Investment Banking'!A1"/>
    <hyperlink ref="C23" location="Eficiencia!A1" display="Eficiencia!A1"/>
    <hyperlink ref="C24" location="'Mora,cobertura,coste de riesgo'!A1" display="'Mora,cobertura,coste de riesgo'!A1"/>
    <hyperlink ref="C25" location="'Empleados, oficinas y cajeros'!A1" display="'Empleados, oficinas y cajeros'!A1"/>
    <hyperlink ref="C26" location="'Tipos de Cambio'!A1" display="'Tipos de Cambio'!A1"/>
    <hyperlink ref="C28" location="APRs!A1" display="APRs!A1"/>
    <hyperlink ref="C29" location="Inversion!A1" display="Inversion!A1"/>
    <hyperlink ref="C27" location="Diferenciales!A1" display="Diferenciales!A1"/>
    <hyperlink ref="C30" location="Recursos!A1" display="Recursos!A1"/>
    <hyperlink ref="C7" location="Balance!A1" display="Balance!A1"/>
    <hyperlink ref="C31" location="ALCO!A1" display="ALCO!A1"/>
  </hyperlinks>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AD996"/>
  <sheetViews>
    <sheetView showGridLines="0" zoomScalePageLayoutView="0" workbookViewId="0" topLeftCell="A1">
      <selection activeCell="A1" sqref="A1"/>
    </sheetView>
  </sheetViews>
  <sheetFormatPr defaultColWidth="11.421875" defaultRowHeight="15"/>
  <cols>
    <col min="1" max="1" width="30.7109375" style="178" customWidth="1"/>
    <col min="2" max="8" width="10.7109375" style="178" customWidth="1"/>
    <col min="9" max="9" width="10.7109375" style="178" hidden="1" customWidth="1"/>
    <col min="10" max="13" width="11.57421875" style="178" customWidth="1"/>
    <col min="14" max="255" width="11.421875" style="178" customWidth="1"/>
  </cols>
  <sheetData>
    <row r="1" spans="1:9" ht="19.5">
      <c r="A1" s="94" t="str">
        <f>HLOOKUP(INDICE!$F$2,Nombres!$C$3:$D$636,171,FALSE)</f>
        <v>Diferenciales de la clientela (*)</v>
      </c>
      <c r="B1" s="177"/>
      <c r="C1" s="177"/>
      <c r="D1" s="177"/>
      <c r="E1" s="177"/>
      <c r="F1" s="177"/>
      <c r="G1" s="252"/>
      <c r="H1" s="252"/>
      <c r="I1" s="252"/>
    </row>
    <row r="2" spans="1:9" ht="19.5">
      <c r="A2" s="179" t="str">
        <f>HLOOKUP(INDICE!$F$2,Nombres!$C$3:$D$636,172,FALSE)</f>
        <v>(Porcentaje)</v>
      </c>
      <c r="B2" s="180"/>
      <c r="C2" s="180"/>
      <c r="D2" s="180"/>
      <c r="E2" s="180"/>
      <c r="F2" s="180"/>
      <c r="G2" s="181"/>
      <c r="H2" s="181"/>
      <c r="I2" s="181"/>
    </row>
    <row r="3" spans="1:9" ht="15.75">
      <c r="A3" s="181"/>
      <c r="B3" s="317">
        <f>+España!B6</f>
        <v>2021</v>
      </c>
      <c r="C3" s="317"/>
      <c r="D3" s="317"/>
      <c r="E3" s="317"/>
      <c r="F3" s="317">
        <f>+España!F6</f>
        <v>2022</v>
      </c>
      <c r="G3" s="317"/>
      <c r="H3" s="317"/>
      <c r="I3" s="317"/>
    </row>
    <row r="4" spans="1:9" ht="15.75">
      <c r="A4" s="142"/>
      <c r="B4" s="182" t="str">
        <f>HLOOKUP(INDICE!$F$2,Nombres!$C$3:$D$636,167,FALSE)</f>
        <v>1er Trim.</v>
      </c>
      <c r="C4" s="182" t="str">
        <f>HLOOKUP(INDICE!$F$2,Nombres!$C$3:$D$636,168,FALSE)</f>
        <v>2º Trim.</v>
      </c>
      <c r="D4" s="182" t="str">
        <f>HLOOKUP(INDICE!$F$2,Nombres!$C$3:$D$636,169,FALSE)</f>
        <v>3er Trim.</v>
      </c>
      <c r="E4" s="182" t="str">
        <f>HLOOKUP(INDICE!$F$2,Nombres!$C$3:$D$636,170,FALSE)</f>
        <v>4º Trim.</v>
      </c>
      <c r="F4" s="182" t="str">
        <f>HLOOKUP(INDICE!$F$2,Nombres!$C$3:$D$636,167,FALSE)</f>
        <v>1er Trim.</v>
      </c>
      <c r="G4" s="182" t="str">
        <f>HLOOKUP(INDICE!$F$2,Nombres!$C$3:$D$636,168,FALSE)</f>
        <v>2º Trim.</v>
      </c>
      <c r="H4" s="182" t="str">
        <f>HLOOKUP(INDICE!$F$2,Nombres!$C$3:$D$636,169,FALSE)</f>
        <v>3er Trim.</v>
      </c>
      <c r="I4" s="182" t="str">
        <f>HLOOKUP(INDICE!$F$2,Nombres!$C$3:$D$636,170,FALSE)</f>
        <v>4º Trim.</v>
      </c>
    </row>
    <row r="5" spans="1:9" ht="15">
      <c r="A5" s="142"/>
      <c r="B5" s="101"/>
      <c r="C5" s="101"/>
      <c r="D5" s="101"/>
      <c r="E5" s="101"/>
      <c r="F5" s="101"/>
      <c r="G5" s="181"/>
      <c r="H5" s="181"/>
      <c r="I5" s="181"/>
    </row>
    <row r="6" spans="1:30" ht="15">
      <c r="A6" s="183" t="str">
        <f>HLOOKUP(INDICE!$F$2,Nombres!$C$3:$D$636,173,FALSE)</f>
        <v>Rentabilidad de los prestamos</v>
      </c>
      <c r="B6" s="184">
        <v>0.017671795676112517</v>
      </c>
      <c r="C6" s="184">
        <v>0.017491607684414313</v>
      </c>
      <c r="D6" s="184">
        <v>0.017416715373765327</v>
      </c>
      <c r="E6" s="184">
        <v>0.017264739259598025</v>
      </c>
      <c r="F6" s="184">
        <v>0.017100471610330813</v>
      </c>
      <c r="G6" s="184">
        <v>0.0174293725158536</v>
      </c>
      <c r="H6" s="184">
        <v>0.01930581484305085</v>
      </c>
      <c r="I6" s="184">
        <v>0</v>
      </c>
      <c r="J6" s="292"/>
      <c r="K6" s="289"/>
      <c r="L6" s="289"/>
      <c r="M6" s="289"/>
      <c r="O6" s="185"/>
      <c r="P6" s="185"/>
      <c r="Q6" s="185"/>
      <c r="R6" s="185"/>
      <c r="W6" s="185"/>
      <c r="X6" s="185"/>
      <c r="Y6" s="185"/>
      <c r="Z6" s="185"/>
      <c r="AA6" s="185"/>
      <c r="AB6" s="185"/>
      <c r="AC6" s="185"/>
      <c r="AD6" s="185"/>
    </row>
    <row r="7" spans="1:30" ht="15">
      <c r="A7" s="183" t="str">
        <f>HLOOKUP(INDICE!$F$2,Nombres!$C$3:$D$636,174,FALSE)</f>
        <v>Coste de los depositos</v>
      </c>
      <c r="B7" s="184">
        <v>-2.8855582289337086E-06</v>
      </c>
      <c r="C7" s="184">
        <v>6.313180380963709E-05</v>
      </c>
      <c r="D7" s="184">
        <v>5.955099791106753E-05</v>
      </c>
      <c r="E7" s="184">
        <v>4.1103154803061946E-05</v>
      </c>
      <c r="F7" s="184">
        <v>-4.121262380617316E-05</v>
      </c>
      <c r="G7" s="184">
        <v>-0.000272600466156169</v>
      </c>
      <c r="H7" s="184">
        <v>-0.0007976495198733596</v>
      </c>
      <c r="I7" s="184">
        <v>0</v>
      </c>
      <c r="J7" s="292"/>
      <c r="K7" s="289"/>
      <c r="L7" s="289"/>
      <c r="M7" s="289"/>
      <c r="O7" s="185"/>
      <c r="P7" s="185"/>
      <c r="Q7" s="185"/>
      <c r="R7" s="185"/>
      <c r="W7" s="185"/>
      <c r="X7" s="185"/>
      <c r="Y7" s="185"/>
      <c r="Z7" s="185"/>
      <c r="AA7" s="185"/>
      <c r="AB7" s="185"/>
      <c r="AC7" s="185"/>
      <c r="AD7" s="185"/>
    </row>
    <row r="8" spans="1:30" ht="15">
      <c r="A8" s="186" t="str">
        <f>HLOOKUP(INDICE!$F$2,Nombres!$C$3:$D$636,175,FALSE)</f>
        <v>Actividad bancaria en España</v>
      </c>
      <c r="B8" s="187">
        <v>0.017668910117883584</v>
      </c>
      <c r="C8" s="187">
        <v>0.01755473948822395</v>
      </c>
      <c r="D8" s="187">
        <v>0.017476266371676395</v>
      </c>
      <c r="E8" s="187">
        <v>0.017305842414401088</v>
      </c>
      <c r="F8" s="187">
        <v>0.01705925898652464</v>
      </c>
      <c r="G8" s="187">
        <v>0.01715677204969743</v>
      </c>
      <c r="H8" s="187">
        <v>0.01850816532317749</v>
      </c>
      <c r="I8" s="187">
        <v>0</v>
      </c>
      <c r="J8" s="292"/>
      <c r="K8" s="289"/>
      <c r="L8" s="289"/>
      <c r="M8" s="289"/>
      <c r="O8" s="185"/>
      <c r="P8" s="185"/>
      <c r="Q8" s="185"/>
      <c r="R8" s="185"/>
      <c r="W8" s="185"/>
      <c r="X8" s="185"/>
      <c r="Y8" s="185"/>
      <c r="Z8" s="185"/>
      <c r="AA8" s="185"/>
      <c r="AB8" s="185"/>
      <c r="AC8" s="185"/>
      <c r="AD8" s="185"/>
    </row>
    <row r="9" spans="1:30" ht="15">
      <c r="A9" s="142"/>
      <c r="B9" s="188"/>
      <c r="C9" s="188"/>
      <c r="D9" s="188"/>
      <c r="E9" s="188"/>
      <c r="F9" s="188"/>
      <c r="G9" s="188"/>
      <c r="H9" s="188"/>
      <c r="I9" s="188"/>
      <c r="O9" s="185"/>
      <c r="P9" s="185"/>
      <c r="Q9" s="185"/>
      <c r="R9" s="185"/>
      <c r="W9" s="185"/>
      <c r="X9" s="185"/>
      <c r="Y9" s="185"/>
      <c r="Z9" s="185"/>
      <c r="AA9" s="185"/>
      <c r="AB9" s="185"/>
      <c r="AC9" s="185"/>
      <c r="AD9" s="185"/>
    </row>
    <row r="10" spans="1:30" ht="15">
      <c r="A10" s="183" t="str">
        <f>HLOOKUP(INDICE!$F$2,Nombres!$C$3:$D$636,173,FALSE)</f>
        <v>Rentabilidad de los prestamos</v>
      </c>
      <c r="B10" s="184">
        <v>0.12202723800358595</v>
      </c>
      <c r="C10" s="184">
        <v>0.12105006870837849</v>
      </c>
      <c r="D10" s="184">
        <v>0.12313056053581566</v>
      </c>
      <c r="E10" s="184">
        <v>0.12486746569572679</v>
      </c>
      <c r="F10" s="184">
        <v>0.12791434793621811</v>
      </c>
      <c r="G10" s="184">
        <v>0.1330929827154512</v>
      </c>
      <c r="H10" s="184">
        <v>0.13943192250933265</v>
      </c>
      <c r="I10" s="184">
        <v>0</v>
      </c>
      <c r="J10" s="292"/>
      <c r="K10" s="289"/>
      <c r="L10" s="289"/>
      <c r="M10" s="289"/>
      <c r="O10" s="185"/>
      <c r="P10" s="185"/>
      <c r="Q10" s="185"/>
      <c r="R10" s="185"/>
      <c r="W10" s="185"/>
      <c r="X10" s="185"/>
      <c r="Y10" s="185"/>
      <c r="Z10" s="185"/>
      <c r="AA10" s="185"/>
      <c r="AB10" s="185"/>
      <c r="AC10" s="185"/>
      <c r="AD10" s="185"/>
    </row>
    <row r="11" spans="1:30" ht="15">
      <c r="A11" s="183" t="str">
        <f>HLOOKUP(INDICE!$F$2,Nombres!$C$3:$D$636,174,FALSE)</f>
        <v>Coste de los depositos</v>
      </c>
      <c r="B11" s="184">
        <v>-0.01206963717892306</v>
      </c>
      <c r="C11" s="184">
        <v>-0.011008080465674414</v>
      </c>
      <c r="D11" s="184">
        <v>-0.011480515447492708</v>
      </c>
      <c r="E11" s="184">
        <v>-0.0125804918305472</v>
      </c>
      <c r="F11" s="184">
        <v>-0.01424762298179531</v>
      </c>
      <c r="G11" s="184">
        <v>-0.016749668729310278</v>
      </c>
      <c r="H11" s="184">
        <v>-0.020255336759463217</v>
      </c>
      <c r="I11" s="184">
        <v>0</v>
      </c>
      <c r="J11" s="292"/>
      <c r="K11" s="289"/>
      <c r="L11" s="289"/>
      <c r="M11" s="289"/>
      <c r="O11" s="185"/>
      <c r="P11" s="185"/>
      <c r="Q11" s="185"/>
      <c r="R11" s="185"/>
      <c r="W11" s="185"/>
      <c r="X11" s="185"/>
      <c r="Y11" s="185"/>
      <c r="Z11" s="185"/>
      <c r="AA11" s="185"/>
      <c r="AB11" s="185"/>
      <c r="AC11" s="185"/>
      <c r="AD11" s="185"/>
    </row>
    <row r="12" spans="1:30" ht="15">
      <c r="A12" s="186" t="str">
        <f>HLOOKUP(INDICE!$F$2,Nombres!$C$3:$D$636,177,FALSE)</f>
        <v>México pesos mexicanos</v>
      </c>
      <c r="B12" s="187">
        <v>0.10995760082466288</v>
      </c>
      <c r="C12" s="187">
        <v>0.11004198824270407</v>
      </c>
      <c r="D12" s="187">
        <v>0.11165004508832295</v>
      </c>
      <c r="E12" s="187">
        <v>0.11228697386517959</v>
      </c>
      <c r="F12" s="187">
        <v>0.1136667249544228</v>
      </c>
      <c r="G12" s="187">
        <v>0.11634331398614092</v>
      </c>
      <c r="H12" s="187">
        <v>0.11917658574986943</v>
      </c>
      <c r="I12" s="187">
        <v>0</v>
      </c>
      <c r="J12" s="292"/>
      <c r="K12" s="289"/>
      <c r="L12" s="289"/>
      <c r="M12" s="289"/>
      <c r="O12" s="185"/>
      <c r="P12" s="185"/>
      <c r="Q12" s="185"/>
      <c r="R12" s="185"/>
      <c r="W12" s="185"/>
      <c r="X12" s="185"/>
      <c r="Y12" s="185"/>
      <c r="Z12" s="185"/>
      <c r="AA12" s="185"/>
      <c r="AB12" s="185"/>
      <c r="AC12" s="185"/>
      <c r="AD12" s="185"/>
    </row>
    <row r="13" spans="1:30" ht="15">
      <c r="A13" s="142"/>
      <c r="B13" s="188"/>
      <c r="C13" s="188"/>
      <c r="D13" s="188"/>
      <c r="E13" s="188"/>
      <c r="F13" s="188"/>
      <c r="G13" s="188"/>
      <c r="H13" s="188"/>
      <c r="I13" s="188"/>
      <c r="O13" s="185"/>
      <c r="P13" s="185"/>
      <c r="Q13" s="185"/>
      <c r="R13" s="185"/>
      <c r="W13" s="185"/>
      <c r="X13" s="185"/>
      <c r="Y13" s="185"/>
      <c r="Z13" s="185"/>
      <c r="AA13" s="185"/>
      <c r="AB13" s="185"/>
      <c r="AC13" s="185"/>
      <c r="AD13" s="185"/>
    </row>
    <row r="14" spans="1:30" ht="15">
      <c r="A14" s="183" t="str">
        <f>HLOOKUP(INDICE!$F$2,Nombres!$C$3:$D$636,173,FALSE)</f>
        <v>Rentabilidad de los prestamos</v>
      </c>
      <c r="B14" s="188">
        <v>0.030174382296457917</v>
      </c>
      <c r="C14" s="188">
        <v>0.029770912407578586</v>
      </c>
      <c r="D14" s="188">
        <v>0.02950139897040329</v>
      </c>
      <c r="E14" s="188">
        <v>0.02897582242199459</v>
      </c>
      <c r="F14" s="188">
        <v>0.02964671805327852</v>
      </c>
      <c r="G14" s="188">
        <v>0.033828643923429984</v>
      </c>
      <c r="H14" s="188">
        <v>0.043159377584270804</v>
      </c>
      <c r="I14" s="188">
        <v>0</v>
      </c>
      <c r="O14" s="185"/>
      <c r="P14" s="185"/>
      <c r="Q14" s="185"/>
      <c r="R14" s="185"/>
      <c r="W14" s="185"/>
      <c r="X14" s="185"/>
      <c r="Y14" s="185"/>
      <c r="Z14" s="185"/>
      <c r="AA14" s="185"/>
      <c r="AB14" s="185"/>
      <c r="AC14" s="185"/>
      <c r="AD14" s="185"/>
    </row>
    <row r="15" spans="1:30" ht="15">
      <c r="A15" s="183" t="str">
        <f>HLOOKUP(INDICE!$F$2,Nombres!$C$3:$D$636,174,FALSE)</f>
        <v>Coste de los depositos</v>
      </c>
      <c r="B15" s="188">
        <v>-0.0002822828636173589</v>
      </c>
      <c r="C15" s="188">
        <v>-0.000212496075746828</v>
      </c>
      <c r="D15" s="188">
        <v>-0.00018936801327365524</v>
      </c>
      <c r="E15" s="188">
        <v>-0.0001902538254438967</v>
      </c>
      <c r="F15" s="188">
        <v>-0.0002230968022216293</v>
      </c>
      <c r="G15" s="188">
        <v>-0.00045790858676113456</v>
      </c>
      <c r="H15" s="188">
        <v>-0.0011847510341060005</v>
      </c>
      <c r="I15" s="188">
        <v>0</v>
      </c>
      <c r="O15" s="185"/>
      <c r="P15" s="185"/>
      <c r="Q15" s="185"/>
      <c r="R15" s="185"/>
      <c r="W15" s="185"/>
      <c r="X15" s="185"/>
      <c r="Y15" s="185"/>
      <c r="Z15" s="185"/>
      <c r="AA15" s="185"/>
      <c r="AB15" s="185"/>
      <c r="AC15" s="185"/>
      <c r="AD15" s="185"/>
    </row>
    <row r="16" spans="1:30" ht="15">
      <c r="A16" s="186" t="str">
        <f>HLOOKUP(INDICE!$F$2,Nombres!$C$3:$D$636,178,FALSE)</f>
        <v>México moneda extranjera</v>
      </c>
      <c r="B16" s="189">
        <v>0.029892099432840557</v>
      </c>
      <c r="C16" s="189">
        <v>0.029558416331831757</v>
      </c>
      <c r="D16" s="189">
        <v>0.029312030957129635</v>
      </c>
      <c r="E16" s="189">
        <v>0.028785568596550695</v>
      </c>
      <c r="F16" s="189">
        <v>0.02942362125105689</v>
      </c>
      <c r="G16" s="189">
        <v>0.03337073533666885</v>
      </c>
      <c r="H16" s="189">
        <v>0.041974626550164804</v>
      </c>
      <c r="I16" s="189">
        <v>0</v>
      </c>
      <c r="O16" s="185"/>
      <c r="P16" s="185"/>
      <c r="Q16" s="185"/>
      <c r="R16" s="185"/>
      <c r="W16" s="185"/>
      <c r="X16" s="185"/>
      <c r="Y16" s="185"/>
      <c r="Z16" s="185"/>
      <c r="AA16" s="185"/>
      <c r="AB16" s="185"/>
      <c r="AC16" s="185"/>
      <c r="AD16" s="185"/>
    </row>
    <row r="17" spans="1:30" ht="15">
      <c r="A17" s="142"/>
      <c r="B17" s="188"/>
      <c r="C17" s="188"/>
      <c r="D17" s="188"/>
      <c r="E17" s="188"/>
      <c r="F17" s="188"/>
      <c r="G17" s="188"/>
      <c r="H17" s="188"/>
      <c r="I17" s="188"/>
      <c r="O17" s="185"/>
      <c r="P17" s="185"/>
      <c r="Q17" s="185"/>
      <c r="R17" s="185"/>
      <c r="W17" s="185"/>
      <c r="X17" s="185"/>
      <c r="Y17" s="185"/>
      <c r="Z17" s="185"/>
      <c r="AA17" s="185"/>
      <c r="AB17" s="185"/>
      <c r="AC17" s="185"/>
      <c r="AD17" s="185"/>
    </row>
    <row r="18" spans="1:30" ht="15">
      <c r="A18" s="183" t="str">
        <f>HLOOKUP(INDICE!$F$2,Nombres!$C$3:$D$636,173,FALSE)</f>
        <v>Rentabilidad de los prestamos</v>
      </c>
      <c r="B18" s="184">
        <v>0.14296907634056272</v>
      </c>
      <c r="C18" s="184">
        <v>0.1556028031922443</v>
      </c>
      <c r="D18" s="184">
        <v>0.1626449959832971</v>
      </c>
      <c r="E18" s="184">
        <v>0.16480238585276782</v>
      </c>
      <c r="F18" s="184">
        <v>0.17752588226577382</v>
      </c>
      <c r="G18" s="184">
        <v>0.18604372616273018</v>
      </c>
      <c r="H18" s="184">
        <v>0.20919401221665745</v>
      </c>
      <c r="I18" s="184">
        <v>0</v>
      </c>
      <c r="J18" s="292"/>
      <c r="K18" s="289"/>
      <c r="L18" s="289"/>
      <c r="M18" s="289"/>
      <c r="O18" s="185"/>
      <c r="P18" s="185"/>
      <c r="Q18" s="185"/>
      <c r="R18" s="185"/>
      <c r="W18" s="185"/>
      <c r="X18" s="185"/>
      <c r="Y18" s="185"/>
      <c r="Z18" s="185"/>
      <c r="AA18" s="185"/>
      <c r="AB18" s="185"/>
      <c r="AC18" s="185"/>
      <c r="AD18" s="185"/>
    </row>
    <row r="19" spans="1:30" ht="15">
      <c r="A19" s="183" t="str">
        <f>HLOOKUP(INDICE!$F$2,Nombres!$C$3:$D$636,174,FALSE)</f>
        <v>Coste de los depositos</v>
      </c>
      <c r="B19" s="184">
        <v>-0.11751316698854768</v>
      </c>
      <c r="C19" s="184">
        <v>-0.12680247724077123</v>
      </c>
      <c r="D19" s="184">
        <v>-0.12832951194832729</v>
      </c>
      <c r="E19" s="184">
        <v>-0.11589034648448437</v>
      </c>
      <c r="F19" s="184">
        <v>-0.12530942865274364</v>
      </c>
      <c r="G19" s="184">
        <v>-0.11952532280685943</v>
      </c>
      <c r="H19" s="184">
        <v>-0.11919949601023076</v>
      </c>
      <c r="I19" s="184">
        <v>0</v>
      </c>
      <c r="J19" s="292"/>
      <c r="K19" s="289"/>
      <c r="L19" s="289"/>
      <c r="M19" s="289"/>
      <c r="O19" s="185"/>
      <c r="P19" s="185"/>
      <c r="Q19" s="185"/>
      <c r="R19" s="185"/>
      <c r="W19" s="185"/>
      <c r="X19" s="185"/>
      <c r="Y19" s="185"/>
      <c r="Z19" s="185"/>
      <c r="AA19" s="185"/>
      <c r="AB19" s="185"/>
      <c r="AC19" s="185"/>
      <c r="AD19" s="185"/>
    </row>
    <row r="20" spans="1:30" ht="15">
      <c r="A20" s="186" t="str">
        <f>HLOOKUP(INDICE!$F$2,Nombres!$C$3:$D$636,179,FALSE)</f>
        <v>Turquía liras turcas</v>
      </c>
      <c r="B20" s="187">
        <v>0.02545590935201504</v>
      </c>
      <c r="C20" s="187">
        <v>0.028800325951473055</v>
      </c>
      <c r="D20" s="187">
        <v>0.03431548403496981</v>
      </c>
      <c r="E20" s="187">
        <v>0.04891203936828345</v>
      </c>
      <c r="F20" s="187">
        <v>0.05221645361303018</v>
      </c>
      <c r="G20" s="187">
        <v>0.06651840335587075</v>
      </c>
      <c r="H20" s="187">
        <v>0.08999451620642669</v>
      </c>
      <c r="I20" s="187">
        <v>0</v>
      </c>
      <c r="J20" s="292"/>
      <c r="K20" s="289"/>
      <c r="L20" s="289"/>
      <c r="M20" s="289"/>
      <c r="O20" s="185"/>
      <c r="P20" s="185"/>
      <c r="Q20" s="185"/>
      <c r="R20" s="185"/>
      <c r="W20" s="185"/>
      <c r="X20" s="185"/>
      <c r="Y20" s="185"/>
      <c r="Z20" s="185"/>
      <c r="AA20" s="185"/>
      <c r="AB20" s="185"/>
      <c r="AC20" s="185"/>
      <c r="AD20" s="185"/>
    </row>
    <row r="21" spans="1:30" ht="15">
      <c r="A21" s="186"/>
      <c r="B21" s="187"/>
      <c r="C21" s="187"/>
      <c r="D21" s="187"/>
      <c r="E21" s="187"/>
      <c r="F21" s="187"/>
      <c r="G21" s="187"/>
      <c r="H21" s="187"/>
      <c r="I21" s="187"/>
      <c r="J21" s="292"/>
      <c r="K21" s="289"/>
      <c r="L21" s="289"/>
      <c r="M21" s="289"/>
      <c r="O21" s="185"/>
      <c r="P21" s="185"/>
      <c r="Q21" s="185"/>
      <c r="R21" s="185"/>
      <c r="W21" s="185"/>
      <c r="X21" s="185"/>
      <c r="Y21" s="185"/>
      <c r="Z21" s="185"/>
      <c r="AA21" s="185"/>
      <c r="AB21" s="185"/>
      <c r="AC21" s="185"/>
      <c r="AD21" s="185"/>
    </row>
    <row r="22" spans="1:30" ht="15">
      <c r="A22" s="183" t="str">
        <f>HLOOKUP(INDICE!$F$2,Nombres!$C$3:$D$636,173,FALSE)</f>
        <v>Rentabilidad de los prestamos</v>
      </c>
      <c r="B22" s="190">
        <v>0.05017027201428375</v>
      </c>
      <c r="C22" s="190">
        <v>0.05039928855800079</v>
      </c>
      <c r="D22" s="190">
        <v>0.048929059926155205</v>
      </c>
      <c r="E22" s="190">
        <v>0.04865460905160399</v>
      </c>
      <c r="F22" s="190">
        <v>0.051878005521567495</v>
      </c>
      <c r="G22" s="190">
        <v>0.06017340203625279</v>
      </c>
      <c r="H22" s="190">
        <v>0.0710309839601613</v>
      </c>
      <c r="I22" s="190">
        <v>0</v>
      </c>
      <c r="J22" s="292"/>
      <c r="K22" s="289"/>
      <c r="L22" s="289"/>
      <c r="M22" s="289"/>
      <c r="O22" s="185"/>
      <c r="P22" s="185"/>
      <c r="Q22" s="185"/>
      <c r="R22" s="185"/>
      <c r="W22" s="185"/>
      <c r="X22" s="185"/>
      <c r="Y22" s="185"/>
      <c r="Z22" s="185"/>
      <c r="AA22" s="185"/>
      <c r="AB22" s="185"/>
      <c r="AC22" s="185"/>
      <c r="AD22" s="185"/>
    </row>
    <row r="23" spans="1:30" ht="15">
      <c r="A23" s="183" t="str">
        <f>HLOOKUP(INDICE!$F$2,Nombres!$C$3:$D$636,174,FALSE)</f>
        <v>Coste de los depositos</v>
      </c>
      <c r="B23" s="190">
        <v>-0.003909204429493572</v>
      </c>
      <c r="C23" s="190">
        <v>-0.0034245561499075816</v>
      </c>
      <c r="D23" s="190">
        <v>-0.0023701396601340163</v>
      </c>
      <c r="E23" s="190">
        <v>-0.0021495394083072676</v>
      </c>
      <c r="F23" s="190">
        <v>-0.0020077497649421522</v>
      </c>
      <c r="G23" s="190">
        <v>-0.0030379782769070812</v>
      </c>
      <c r="H23" s="190">
        <v>-0.005924188647877249</v>
      </c>
      <c r="I23" s="190">
        <v>0</v>
      </c>
      <c r="J23" s="292"/>
      <c r="K23" s="289"/>
      <c r="L23" s="289"/>
      <c r="M23" s="289"/>
      <c r="O23" s="185"/>
      <c r="P23" s="185"/>
      <c r="Q23" s="185"/>
      <c r="R23" s="185"/>
      <c r="W23" s="185"/>
      <c r="X23" s="185"/>
      <c r="Y23" s="185"/>
      <c r="Z23" s="185"/>
      <c r="AA23" s="185"/>
      <c r="AB23" s="185"/>
      <c r="AC23" s="185"/>
      <c r="AD23" s="185"/>
    </row>
    <row r="24" spans="1:30" ht="15">
      <c r="A24" s="186" t="str">
        <f>HLOOKUP(INDICE!$F$2,Nombres!$C$3:$D$636,180,FALSE)</f>
        <v>Turquía moneda extranjera</v>
      </c>
      <c r="B24" s="187">
        <v>0.04626106758479018</v>
      </c>
      <c r="C24" s="187">
        <v>0.04697473240809321</v>
      </c>
      <c r="D24" s="187">
        <v>0.04655892026602119</v>
      </c>
      <c r="E24" s="187">
        <v>0.046505069643296724</v>
      </c>
      <c r="F24" s="187">
        <v>0.04987025575662534</v>
      </c>
      <c r="G24" s="187">
        <v>0.05713542375934571</v>
      </c>
      <c r="H24" s="187">
        <v>0.06510679531228405</v>
      </c>
      <c r="I24" s="187">
        <v>0</v>
      </c>
      <c r="J24" s="292"/>
      <c r="K24" s="289"/>
      <c r="L24" s="289"/>
      <c r="M24" s="289"/>
      <c r="O24" s="185"/>
      <c r="P24" s="185"/>
      <c r="Q24" s="185"/>
      <c r="R24" s="185"/>
      <c r="W24" s="185"/>
      <c r="X24" s="185"/>
      <c r="Y24" s="185"/>
      <c r="Z24" s="185"/>
      <c r="AA24" s="185"/>
      <c r="AB24" s="185"/>
      <c r="AC24" s="185"/>
      <c r="AD24" s="185"/>
    </row>
    <row r="25" spans="1:30" ht="15">
      <c r="A25" s="142"/>
      <c r="B25" s="188"/>
      <c r="C25" s="188"/>
      <c r="D25" s="188"/>
      <c r="E25" s="188"/>
      <c r="F25" s="188"/>
      <c r="G25" s="188"/>
      <c r="H25" s="188"/>
      <c r="I25" s="188"/>
      <c r="O25" s="185"/>
      <c r="P25" s="185"/>
      <c r="Q25" s="185"/>
      <c r="R25" s="185"/>
      <c r="W25" s="185"/>
      <c r="X25" s="185"/>
      <c r="Y25" s="185"/>
      <c r="Z25" s="185"/>
      <c r="AA25" s="185"/>
      <c r="AB25" s="185"/>
      <c r="AC25" s="185"/>
      <c r="AD25" s="185"/>
    </row>
    <row r="26" spans="1:30" ht="15">
      <c r="A26" s="183" t="str">
        <f>HLOOKUP(INDICE!$F$2,Nombres!$C$3:$D$636,173,FALSE)</f>
        <v>Rentabilidad de los prestamos</v>
      </c>
      <c r="B26" s="184">
        <v>0.27287944816889914</v>
      </c>
      <c r="C26" s="184">
        <v>0.2545189075122043</v>
      </c>
      <c r="D26" s="184">
        <v>0.2646468795186635</v>
      </c>
      <c r="E26" s="184">
        <v>0.2743612191968006</v>
      </c>
      <c r="F26" s="184">
        <v>0.2973933995524442</v>
      </c>
      <c r="G26" s="184">
        <v>0.33132658218614175</v>
      </c>
      <c r="H26" s="184">
        <v>0.3898487710954352</v>
      </c>
      <c r="I26" s="184">
        <v>0</v>
      </c>
      <c r="J26" s="292"/>
      <c r="K26" s="289"/>
      <c r="L26" s="289"/>
      <c r="M26" s="289"/>
      <c r="O26" s="185"/>
      <c r="P26" s="185"/>
      <c r="Q26" s="185"/>
      <c r="R26" s="185"/>
      <c r="W26" s="185"/>
      <c r="X26" s="185"/>
      <c r="Y26" s="185"/>
      <c r="Z26" s="185"/>
      <c r="AA26" s="185"/>
      <c r="AB26" s="185"/>
      <c r="AC26" s="185"/>
      <c r="AD26" s="185"/>
    </row>
    <row r="27" spans="1:30" ht="15">
      <c r="A27" s="183" t="str">
        <f>HLOOKUP(INDICE!$F$2,Nombres!$C$3:$D$636,174,FALSE)</f>
        <v>Coste de los depositos</v>
      </c>
      <c r="B27" s="184">
        <v>-0.11808404827847262</v>
      </c>
      <c r="C27" s="184">
        <v>-0.13245229274081424</v>
      </c>
      <c r="D27" s="184">
        <v>-0.1372979585825155</v>
      </c>
      <c r="E27" s="184">
        <v>-0.1276625198599774</v>
      </c>
      <c r="F27" s="184">
        <v>-0.14988952400084696</v>
      </c>
      <c r="G27" s="184">
        <v>-0.19459625926706398</v>
      </c>
      <c r="H27" s="184">
        <v>-0.25283613980743225</v>
      </c>
      <c r="I27" s="184">
        <v>0</v>
      </c>
      <c r="J27" s="292"/>
      <c r="K27" s="289"/>
      <c r="L27" s="289"/>
      <c r="M27" s="289"/>
      <c r="O27" s="185"/>
      <c r="P27" s="185"/>
      <c r="Q27" s="185"/>
      <c r="R27" s="185"/>
      <c r="W27" s="185"/>
      <c r="X27" s="185"/>
      <c r="Y27" s="185"/>
      <c r="Z27" s="185"/>
      <c r="AA27" s="185"/>
      <c r="AB27" s="185"/>
      <c r="AC27" s="185"/>
      <c r="AD27" s="185"/>
    </row>
    <row r="28" spans="1:30" ht="15">
      <c r="A28" s="186" t="str">
        <f>HLOOKUP(INDICE!$F$2,Nombres!$C$3:$D$636,181,FALSE)</f>
        <v>Argentina</v>
      </c>
      <c r="B28" s="191">
        <v>0.1547953998904265</v>
      </c>
      <c r="C28" s="191">
        <v>0.12206661477139005</v>
      </c>
      <c r="D28" s="191">
        <v>0.127348920936148</v>
      </c>
      <c r="E28" s="191">
        <v>0.14669869933682322</v>
      </c>
      <c r="F28" s="191">
        <v>0.14750387555159725</v>
      </c>
      <c r="G28" s="191">
        <v>0.13673032291907777</v>
      </c>
      <c r="H28" s="191">
        <v>0.13701263128800295</v>
      </c>
      <c r="I28" s="191">
        <v>0</v>
      </c>
      <c r="J28" s="292"/>
      <c r="K28" s="289"/>
      <c r="L28" s="289"/>
      <c r="M28" s="289"/>
      <c r="O28" s="185"/>
      <c r="P28" s="185"/>
      <c r="Q28" s="185"/>
      <c r="R28" s="185"/>
      <c r="W28" s="185"/>
      <c r="X28" s="185"/>
      <c r="Y28" s="185"/>
      <c r="Z28" s="185"/>
      <c r="AA28" s="185"/>
      <c r="AB28" s="185"/>
      <c r="AC28" s="185"/>
      <c r="AD28" s="185"/>
    </row>
    <row r="29" spans="1:30" ht="15">
      <c r="A29" s="142"/>
      <c r="B29" s="188"/>
      <c r="C29" s="188"/>
      <c r="D29" s="188"/>
      <c r="E29" s="188"/>
      <c r="F29" s="188"/>
      <c r="G29" s="188"/>
      <c r="H29" s="188"/>
      <c r="I29" s="188"/>
      <c r="O29" s="185"/>
      <c r="P29" s="185"/>
      <c r="Q29" s="185"/>
      <c r="R29" s="185"/>
      <c r="W29" s="185"/>
      <c r="X29" s="185"/>
      <c r="Y29" s="185"/>
      <c r="Z29" s="185"/>
      <c r="AA29" s="185"/>
      <c r="AB29" s="185"/>
      <c r="AC29" s="185"/>
      <c r="AD29" s="185"/>
    </row>
    <row r="30" spans="1:30" ht="15">
      <c r="A30" s="183" t="str">
        <f>HLOOKUP(INDICE!$F$2,Nombres!$C$3:$D$636,173,FALSE)</f>
        <v>Rentabilidad de los prestamos</v>
      </c>
      <c r="B30" s="184">
        <v>0.0907840059161003</v>
      </c>
      <c r="C30" s="184">
        <v>0.08721585256993951</v>
      </c>
      <c r="D30" s="184">
        <v>0.0862644469234545</v>
      </c>
      <c r="E30" s="184">
        <v>0.08565940458006299</v>
      </c>
      <c r="F30" s="184">
        <v>0.08900064858658696</v>
      </c>
      <c r="G30" s="184">
        <v>0.09630849130574694</v>
      </c>
      <c r="H30" s="184">
        <v>0.10607812340548976</v>
      </c>
      <c r="I30" s="184">
        <v>0</v>
      </c>
      <c r="J30" s="292"/>
      <c r="K30" s="289"/>
      <c r="L30" s="289"/>
      <c r="M30" s="289"/>
      <c r="O30" s="185"/>
      <c r="P30" s="185"/>
      <c r="Q30" s="185"/>
      <c r="R30" s="185"/>
      <c r="W30" s="185"/>
      <c r="X30" s="185"/>
      <c r="Y30" s="185"/>
      <c r="Z30" s="185"/>
      <c r="AA30" s="185"/>
      <c r="AB30" s="185"/>
      <c r="AC30" s="185"/>
      <c r="AD30" s="185"/>
    </row>
    <row r="31" spans="1:30" ht="15">
      <c r="A31" s="183" t="str">
        <f>HLOOKUP(INDICE!$F$2,Nombres!$C$3:$D$636,174,FALSE)</f>
        <v>Coste de los depositos</v>
      </c>
      <c r="B31" s="184">
        <v>-0.025658619101376113</v>
      </c>
      <c r="C31" s="184">
        <v>-0.024167549353759893</v>
      </c>
      <c r="D31" s="184">
        <v>-0.024142178980391872</v>
      </c>
      <c r="E31" s="184">
        <v>-0.02448387872201383</v>
      </c>
      <c r="F31" s="184">
        <v>-0.027742387054646944</v>
      </c>
      <c r="G31" s="184">
        <v>-0.038729047049828116</v>
      </c>
      <c r="H31" s="184">
        <v>-0.05369069967905554</v>
      </c>
      <c r="I31" s="184">
        <v>0</v>
      </c>
      <c r="J31" s="292"/>
      <c r="K31" s="289"/>
      <c r="L31" s="289"/>
      <c r="M31" s="289"/>
      <c r="O31" s="185"/>
      <c r="P31" s="185"/>
      <c r="Q31" s="185"/>
      <c r="R31" s="185"/>
      <c r="W31" s="185"/>
      <c r="X31" s="185"/>
      <c r="Y31" s="185"/>
      <c r="Z31" s="185"/>
      <c r="AA31" s="185"/>
      <c r="AB31" s="185"/>
      <c r="AC31" s="185"/>
      <c r="AD31" s="185"/>
    </row>
    <row r="32" spans="1:30" ht="15">
      <c r="A32" s="186" t="str">
        <f>HLOOKUP(INDICE!$F$2,Nombres!$C$3:$D$636,182,FALSE)</f>
        <v>Colombia</v>
      </c>
      <c r="B32" s="187">
        <v>0.06512538681472418</v>
      </c>
      <c r="C32" s="187">
        <v>0.06304830321617962</v>
      </c>
      <c r="D32" s="187">
        <v>0.06212226794306263</v>
      </c>
      <c r="E32" s="187">
        <v>0.06117552585804916</v>
      </c>
      <c r="F32" s="187">
        <v>0.061258261531940014</v>
      </c>
      <c r="G32" s="187">
        <v>0.05757944425591882</v>
      </c>
      <c r="H32" s="187">
        <v>0.05238742372643422</v>
      </c>
      <c r="I32" s="187">
        <v>0</v>
      </c>
      <c r="J32" s="292"/>
      <c r="K32" s="289"/>
      <c r="L32" s="289"/>
      <c r="M32" s="289"/>
      <c r="O32" s="185"/>
      <c r="P32" s="185"/>
      <c r="Q32" s="185"/>
      <c r="R32" s="185"/>
      <c r="W32" s="185"/>
      <c r="X32" s="185"/>
      <c r="Y32" s="185"/>
      <c r="Z32" s="185"/>
      <c r="AA32" s="185"/>
      <c r="AB32" s="185"/>
      <c r="AC32" s="185"/>
      <c r="AD32" s="185"/>
    </row>
    <row r="33" spans="1:30" ht="15">
      <c r="A33" s="142"/>
      <c r="B33" s="188"/>
      <c r="C33" s="188"/>
      <c r="D33" s="188"/>
      <c r="E33" s="188"/>
      <c r="F33" s="188"/>
      <c r="G33" s="188"/>
      <c r="H33" s="188"/>
      <c r="I33" s="188"/>
      <c r="O33" s="185"/>
      <c r="P33" s="185"/>
      <c r="Q33" s="185"/>
      <c r="R33" s="185"/>
      <c r="W33" s="185"/>
      <c r="X33" s="185"/>
      <c r="Y33" s="185"/>
      <c r="Z33" s="185"/>
      <c r="AA33" s="185"/>
      <c r="AB33" s="185"/>
      <c r="AC33" s="185"/>
      <c r="AD33" s="185"/>
    </row>
    <row r="34" spans="1:30" ht="15">
      <c r="A34" s="183" t="str">
        <f>HLOOKUP(INDICE!$F$2,Nombres!$C$3:$D$636,173,FALSE)</f>
        <v>Rentabilidad de los prestamos</v>
      </c>
      <c r="B34" s="184">
        <v>0.05374959984534193</v>
      </c>
      <c r="C34" s="184">
        <v>0.051655784908604035</v>
      </c>
      <c r="D34" s="184">
        <v>0.054590015457192394</v>
      </c>
      <c r="E34" s="184">
        <v>0.05664259862586235</v>
      </c>
      <c r="F34" s="184">
        <v>0.05709508322320697</v>
      </c>
      <c r="G34" s="184">
        <v>0.06476962967352312</v>
      </c>
      <c r="H34" s="184">
        <v>0.07120892765189817</v>
      </c>
      <c r="I34" s="184">
        <v>0</v>
      </c>
      <c r="J34" s="292"/>
      <c r="K34" s="289"/>
      <c r="L34" s="289"/>
      <c r="M34" s="289"/>
      <c r="O34" s="185"/>
      <c r="P34" s="185"/>
      <c r="Q34" s="185"/>
      <c r="R34" s="185"/>
      <c r="W34" s="185"/>
      <c r="X34" s="185"/>
      <c r="Y34" s="185"/>
      <c r="Z34" s="185"/>
      <c r="AA34" s="185"/>
      <c r="AB34" s="185"/>
      <c r="AC34" s="185"/>
      <c r="AD34" s="185"/>
    </row>
    <row r="35" spans="1:30" ht="15">
      <c r="A35" s="183" t="str">
        <f>HLOOKUP(INDICE!$F$2,Nombres!$C$3:$D$636,174,FALSE)</f>
        <v>Coste de los depositos</v>
      </c>
      <c r="B35" s="184">
        <v>-0.0032830542140836853</v>
      </c>
      <c r="C35" s="184">
        <v>-0.0025482861281171123</v>
      </c>
      <c r="D35" s="184">
        <v>-0.0023624693349372783</v>
      </c>
      <c r="E35" s="184">
        <v>-0.002570644383853652</v>
      </c>
      <c r="F35" s="184">
        <v>-0.0038206178808957826</v>
      </c>
      <c r="G35" s="184">
        <v>-0.00757246120615373</v>
      </c>
      <c r="H35" s="184">
        <v>-0.012329661745719983</v>
      </c>
      <c r="I35" s="184">
        <v>0</v>
      </c>
      <c r="J35" s="292"/>
      <c r="K35" s="289"/>
      <c r="L35" s="289"/>
      <c r="M35" s="289"/>
      <c r="O35" s="185"/>
      <c r="P35" s="185"/>
      <c r="Q35" s="185"/>
      <c r="R35" s="185"/>
      <c r="W35" s="185"/>
      <c r="X35" s="185"/>
      <c r="Y35" s="185"/>
      <c r="Z35" s="185"/>
      <c r="AA35" s="185"/>
      <c r="AB35" s="185"/>
      <c r="AC35" s="185"/>
      <c r="AD35" s="185"/>
    </row>
    <row r="36" spans="1:30" ht="15">
      <c r="A36" s="186" t="str">
        <f>HLOOKUP(INDICE!$F$2,Nombres!$C$3:$D$636,183,FALSE)</f>
        <v>Perú</v>
      </c>
      <c r="B36" s="187">
        <v>0.05046654563125824</v>
      </c>
      <c r="C36" s="187">
        <v>0.049107498780486925</v>
      </c>
      <c r="D36" s="187">
        <v>0.052227546122255115</v>
      </c>
      <c r="E36" s="187">
        <v>0.054071954242008696</v>
      </c>
      <c r="F36" s="187">
        <v>0.053274465342311186</v>
      </c>
      <c r="G36" s="187">
        <v>0.05719716846736939</v>
      </c>
      <c r="H36" s="187">
        <v>0.05887926590617818</v>
      </c>
      <c r="I36" s="187">
        <v>0</v>
      </c>
      <c r="J36" s="292"/>
      <c r="K36" s="289"/>
      <c r="L36" s="289"/>
      <c r="M36" s="289"/>
      <c r="O36" s="185"/>
      <c r="P36" s="185"/>
      <c r="Q36" s="185"/>
      <c r="R36" s="185"/>
      <c r="W36" s="185"/>
      <c r="X36" s="185"/>
      <c r="Y36" s="185"/>
      <c r="Z36" s="185"/>
      <c r="AA36" s="185"/>
      <c r="AB36" s="185"/>
      <c r="AC36" s="185"/>
      <c r="AD36" s="185"/>
    </row>
    <row r="37" spans="1:30" ht="15">
      <c r="A37" s="142"/>
      <c r="B37" s="188"/>
      <c r="C37" s="188"/>
      <c r="D37" s="188"/>
      <c r="E37" s="188"/>
      <c r="F37" s="188"/>
      <c r="G37" s="188"/>
      <c r="H37" s="188"/>
      <c r="I37" s="188"/>
      <c r="O37" s="185"/>
      <c r="P37" s="185"/>
      <c r="Q37" s="185"/>
      <c r="R37" s="185"/>
      <c r="W37" s="185"/>
      <c r="X37" s="185"/>
      <c r="Y37" s="185"/>
      <c r="Z37" s="185"/>
      <c r="AA37" s="185"/>
      <c r="AB37" s="185"/>
      <c r="AC37" s="185"/>
      <c r="AD37" s="185"/>
    </row>
    <row r="38" spans="1:30" ht="15">
      <c r="A38" s="192" t="str">
        <f>HLOOKUP(INDICE!$F$2,Nombres!$C$3:$D$636,184,FALSE)</f>
        <v>(*) Diferencia entre el rendimiento de los préstamos y el coste de los depósitos de los clientes.</v>
      </c>
      <c r="B38" s="181"/>
      <c r="C38" s="181"/>
      <c r="D38" s="181"/>
      <c r="E38" s="181"/>
      <c r="F38" s="318"/>
      <c r="G38" s="318"/>
      <c r="H38" s="181"/>
      <c r="I38" s="181"/>
      <c r="O38" s="185"/>
      <c r="P38" s="185"/>
      <c r="Q38" s="185"/>
      <c r="R38" s="185"/>
      <c r="W38" s="185"/>
      <c r="X38" s="185"/>
      <c r="Y38" s="185"/>
      <c r="Z38" s="185"/>
      <c r="AA38" s="185"/>
      <c r="AB38" s="185"/>
      <c r="AC38" s="185"/>
      <c r="AD38" s="185"/>
    </row>
    <row r="39" spans="1:30" ht="15">
      <c r="A39" s="192"/>
      <c r="B39" s="181"/>
      <c r="C39" s="181"/>
      <c r="D39" s="181"/>
      <c r="E39" s="181"/>
      <c r="F39" s="181"/>
      <c r="G39" s="276"/>
      <c r="H39" s="181"/>
      <c r="I39" s="181"/>
      <c r="O39" s="185"/>
      <c r="P39" s="185"/>
      <c r="Q39" s="185"/>
      <c r="R39" s="185"/>
      <c r="W39" s="185"/>
      <c r="X39" s="185"/>
      <c r="Y39" s="185"/>
      <c r="Z39" s="185"/>
      <c r="AA39" s="185"/>
      <c r="AB39" s="185"/>
      <c r="AC39" s="185"/>
      <c r="AD39" s="185"/>
    </row>
    <row r="40" spans="1:30" ht="15">
      <c r="A40" s="192"/>
      <c r="O40" s="185"/>
      <c r="P40" s="185"/>
      <c r="Q40" s="185"/>
      <c r="R40" s="185"/>
      <c r="W40" s="185"/>
      <c r="X40" s="185"/>
      <c r="Y40" s="185"/>
      <c r="Z40" s="185"/>
      <c r="AA40" s="185"/>
      <c r="AB40" s="185"/>
      <c r="AC40" s="185"/>
      <c r="AD40" s="185"/>
    </row>
    <row r="41" spans="15:18" ht="15">
      <c r="O41" s="185"/>
      <c r="P41" s="185"/>
      <c r="Q41" s="185"/>
      <c r="R41" s="185"/>
    </row>
    <row r="996" ht="15">
      <c r="A996" t="s">
        <v>392</v>
      </c>
    </row>
  </sheetData>
  <sheetProtection/>
  <mergeCells count="3">
    <mergeCell ref="B3:E3"/>
    <mergeCell ref="F3:I3"/>
    <mergeCell ref="F38:G38"/>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W1000"/>
  <sheetViews>
    <sheetView showGridLines="0" zoomScalePageLayoutView="0" workbookViewId="0" topLeftCell="A1">
      <selection activeCell="A1" sqref="A1"/>
    </sheetView>
  </sheetViews>
  <sheetFormatPr defaultColWidth="11.421875" defaultRowHeight="15"/>
  <cols>
    <col min="1" max="1" width="13.421875" style="0" customWidth="1"/>
    <col min="2" max="2" width="32.140625" style="0" customWidth="1"/>
    <col min="6" max="6" width="8.140625" style="0" customWidth="1"/>
    <col min="7" max="7" width="7.421875" style="0" customWidth="1"/>
    <col min="8" max="9" width="14.140625" style="0" customWidth="1"/>
  </cols>
  <sheetData>
    <row r="1" spans="1:23" ht="18">
      <c r="A1" s="94" t="str">
        <f>HLOOKUP(INDICE!$F$2,Nombres!$C$3:$D$636,161,FALSE)</f>
        <v>Tipos de cambio</v>
      </c>
      <c r="B1" s="94"/>
      <c r="C1" s="95"/>
      <c r="D1" s="95"/>
      <c r="E1" s="95"/>
      <c r="F1" s="95"/>
      <c r="G1" s="95"/>
      <c r="H1" s="95"/>
      <c r="I1" s="95"/>
      <c r="J1" s="116"/>
      <c r="K1" s="96"/>
      <c r="L1" s="96"/>
      <c r="M1" s="96"/>
      <c r="N1" s="160"/>
      <c r="O1" s="160"/>
      <c r="P1" s="160"/>
      <c r="Q1" s="160"/>
      <c r="R1" s="160"/>
      <c r="S1" s="160"/>
      <c r="T1" s="160"/>
      <c r="U1" s="160"/>
      <c r="V1" s="160"/>
      <c r="W1" s="160"/>
    </row>
    <row r="2" spans="1:13" ht="15">
      <c r="A2" s="161" t="str">
        <f>HLOOKUP(INDICE!$F$2,Nombres!$C$3:$D$636,162,FALSE)</f>
        <v>(Expresados en divisa/euro)</v>
      </c>
      <c r="B2" s="161"/>
      <c r="C2" s="162"/>
      <c r="D2" s="162"/>
      <c r="E2" s="162"/>
      <c r="F2" s="162"/>
      <c r="G2" s="162"/>
      <c r="H2" s="162"/>
      <c r="I2" s="162"/>
      <c r="J2" s="116"/>
      <c r="K2" s="96"/>
      <c r="L2" s="96"/>
      <c r="M2" s="96"/>
    </row>
    <row r="3" spans="1:9" ht="19.5">
      <c r="A3" s="163"/>
      <c r="B3" s="163"/>
      <c r="C3" s="319" t="str">
        <f>HLOOKUP(INDICE!$F$2,Nombres!$C$3:$D$636,163,FALSE)</f>
        <v>Cambios finales (*)</v>
      </c>
      <c r="D3" s="319"/>
      <c r="E3" s="319"/>
      <c r="F3" s="164"/>
      <c r="G3" s="165"/>
      <c r="H3" s="319" t="str">
        <f>HLOOKUP(INDICE!$F$2,Nombres!$C$3:$D$636,164,FALSE)</f>
        <v>Cambios medios (**)</v>
      </c>
      <c r="I3" s="319"/>
    </row>
    <row r="4" spans="1:9" ht="15.75">
      <c r="A4" s="99"/>
      <c r="B4" s="99"/>
      <c r="C4" s="75"/>
      <c r="D4" s="166" t="str">
        <f>HLOOKUP(INDICE!$F$2,Nombres!$C$3:$D$636,165,FALSE)</f>
        <v>∆% sobre</v>
      </c>
      <c r="E4" s="166" t="str">
        <f>HLOOKUP(INDICE!$F$2,Nombres!$C$3:$D$636,165,FALSE)</f>
        <v>∆% sobre</v>
      </c>
      <c r="F4" s="164"/>
      <c r="G4" s="165"/>
      <c r="H4" s="167"/>
      <c r="I4" s="166" t="str">
        <f>HLOOKUP(INDICE!$F$2,Nombres!$C$3:$D$636,165,FALSE)</f>
        <v>∆% sobre</v>
      </c>
    </row>
    <row r="5" spans="1:9" ht="15.75">
      <c r="A5" s="99"/>
      <c r="B5" s="99"/>
      <c r="C5" s="168">
        <v>44834</v>
      </c>
      <c r="D5" s="168">
        <f>DATE(YEAR(C5),MONTH(C5)-12,DAY(C5))</f>
        <v>44469</v>
      </c>
      <c r="E5" s="168">
        <v>44561</v>
      </c>
      <c r="F5" s="169"/>
      <c r="G5" s="170"/>
      <c r="H5" s="168">
        <f>+C5</f>
        <v>44834</v>
      </c>
      <c r="I5" s="171">
        <f>+D5</f>
        <v>44469</v>
      </c>
    </row>
    <row r="6" spans="1:9" ht="15">
      <c r="A6" s="59" t="str">
        <f>HLOOKUP(INDICE!$F$2,Nombres!$C$3:$D$636,152,FALSE)</f>
        <v>Peso mexicano</v>
      </c>
      <c r="B6" s="59"/>
      <c r="C6" s="172">
        <v>19.6393000001757</v>
      </c>
      <c r="D6" s="173">
        <v>0.20899930239783093</v>
      </c>
      <c r="E6" s="173">
        <v>0.17844322351364728</v>
      </c>
      <c r="F6" s="174"/>
      <c r="G6" s="58"/>
      <c r="H6" s="172">
        <v>21.555080999888588</v>
      </c>
      <c r="I6" s="173">
        <v>0.1169623069408563</v>
      </c>
    </row>
    <row r="7" spans="1:9" ht="15">
      <c r="A7" s="59" t="str">
        <f>HLOOKUP(INDICE!$F$2,Nombres!$C$3:$D$636,153,FALSE)</f>
        <v>Dólar estadounidense</v>
      </c>
      <c r="B7" s="59"/>
      <c r="C7" s="172">
        <v>0.9748000000000651</v>
      </c>
      <c r="D7" s="173">
        <v>0.18783340172386342</v>
      </c>
      <c r="E7" s="173">
        <v>0.16187935986831126</v>
      </c>
      <c r="F7" s="142"/>
      <c r="G7" s="58"/>
      <c r="H7" s="172">
        <v>1.0639969999995127</v>
      </c>
      <c r="I7" s="173">
        <v>0.12416482377347648</v>
      </c>
    </row>
    <row r="8" spans="1:9" ht="15">
      <c r="A8" s="59" t="str">
        <f>HLOOKUP(INDICE!$F$2,Nombres!$C$3:$D$636,154,FALSE)</f>
        <v>Peso argentino</v>
      </c>
      <c r="B8" s="272" t="s">
        <v>421</v>
      </c>
      <c r="C8" s="273">
        <v>143.38333199208742</v>
      </c>
      <c r="D8" s="173">
        <v>-0.20290232894064797</v>
      </c>
      <c r="E8" s="173">
        <v>-0.18836695742294196</v>
      </c>
      <c r="F8" s="142"/>
      <c r="G8" s="58"/>
      <c r="H8" s="269" t="s">
        <v>414</v>
      </c>
      <c r="I8" s="269" t="s">
        <v>414</v>
      </c>
    </row>
    <row r="9" spans="1:9" ht="15">
      <c r="A9" s="59" t="str">
        <f>HLOOKUP(INDICE!$F$2,Nombres!$C$3:$D$636,155,FALSE)</f>
        <v>Peso chileno</v>
      </c>
      <c r="B9" s="59"/>
      <c r="C9" s="172">
        <v>941.6567997513046</v>
      </c>
      <c r="D9" s="173">
        <v>-0.011872626069732939</v>
      </c>
      <c r="E9" s="173">
        <v>0.015970887047467075</v>
      </c>
      <c r="F9" s="142"/>
      <c r="G9" s="58"/>
      <c r="H9" s="172">
        <v>912.3733438876195</v>
      </c>
      <c r="I9" s="173">
        <v>-0.03330693605197521</v>
      </c>
    </row>
    <row r="10" spans="1:9" ht="15">
      <c r="A10" s="59" t="str">
        <f>HLOOKUP(INDICE!$F$2,Nombres!$C$3:$D$636,156,FALSE)</f>
        <v>Peso colombiano</v>
      </c>
      <c r="B10" s="59"/>
      <c r="C10" s="172">
        <v>4417.861835983327</v>
      </c>
      <c r="D10" s="173">
        <v>0.005050891099138255</v>
      </c>
      <c r="E10" s="173">
        <v>0.02064346801251693</v>
      </c>
      <c r="F10" s="142"/>
      <c r="G10" s="58"/>
      <c r="H10" s="172">
        <v>4323.6210651556985</v>
      </c>
      <c r="I10" s="173">
        <v>0.023319148329174144</v>
      </c>
    </row>
    <row r="11" spans="1:9" ht="15">
      <c r="A11" s="59" t="str">
        <f>HLOOKUP(INDICE!$F$2,Nombres!$C$3:$D$636,157,FALSE)</f>
        <v>Sol peruano</v>
      </c>
      <c r="B11" s="59"/>
      <c r="C11" s="172">
        <v>3.8703459999955387</v>
      </c>
      <c r="D11" s="173">
        <v>0.235641206240764</v>
      </c>
      <c r="E11" s="173">
        <v>0.1638398737482638</v>
      </c>
      <c r="F11" s="142"/>
      <c r="G11" s="58"/>
      <c r="H11" s="172">
        <v>4.051805999998066</v>
      </c>
      <c r="I11" s="173">
        <v>0.1309941788919926</v>
      </c>
    </row>
    <row r="12" spans="1:9" ht="15">
      <c r="A12" s="59" t="str">
        <f>HLOOKUP(INDICE!$F$2,Nombres!$C$3:$D$636,158,FALSE)</f>
        <v>Lira turca</v>
      </c>
      <c r="B12" s="272" t="s">
        <v>421</v>
      </c>
      <c r="C12" s="172">
        <v>18.084100000101103</v>
      </c>
      <c r="D12" s="173">
        <v>-0.43054395850628535</v>
      </c>
      <c r="E12" s="173">
        <v>-0.1576301834281172</v>
      </c>
      <c r="F12" s="142"/>
      <c r="G12" s="58"/>
      <c r="H12" s="269" t="s">
        <v>414</v>
      </c>
      <c r="I12" s="269" t="s">
        <v>414</v>
      </c>
    </row>
    <row r="13" spans="1:9" ht="15">
      <c r="A13" s="98"/>
      <c r="B13" s="98"/>
      <c r="D13" s="175"/>
      <c r="E13" s="175"/>
      <c r="F13" s="175"/>
      <c r="G13" s="175"/>
      <c r="H13" s="98"/>
      <c r="I13" s="98"/>
    </row>
    <row r="14" spans="1:9" ht="15">
      <c r="A14" s="98"/>
      <c r="B14" s="98"/>
      <c r="C14" s="176"/>
      <c r="D14" s="175"/>
      <c r="E14" s="175"/>
      <c r="F14" s="175"/>
      <c r="G14" s="175"/>
      <c r="H14" s="98"/>
      <c r="I14" s="98"/>
    </row>
    <row r="15" spans="1:9" ht="15">
      <c r="A15" s="115" t="str">
        <f>HLOOKUP(INDICE!$F$2,Nombres!$C$3:$D$636,159,FALSE)</f>
        <v>(*) Utilizados en el cálculo de euros constantes de los datos de balance y actividad</v>
      </c>
      <c r="B15" s="115"/>
      <c r="C15" s="126"/>
      <c r="D15" s="126"/>
      <c r="E15" s="126"/>
      <c r="F15" s="175"/>
      <c r="G15" s="175"/>
      <c r="H15" s="98"/>
      <c r="I15" s="98"/>
    </row>
    <row r="16" spans="1:9" ht="15">
      <c r="A16" s="115" t="str">
        <f>HLOOKUP(INDICE!$F$2,Nombres!$C$3:$D$636,160,FALSE)</f>
        <v>(**) Utilizados en el cálculo de euros constantes de los datos de resultados</v>
      </c>
      <c r="B16" s="115"/>
      <c r="C16" s="126"/>
      <c r="D16" s="126"/>
      <c r="E16" s="126"/>
      <c r="F16" s="175"/>
      <c r="G16" s="175"/>
      <c r="H16" s="98"/>
      <c r="I16" s="98"/>
    </row>
    <row r="17" ht="15">
      <c r="A17" s="115" t="str">
        <f>HLOOKUP(INDICE!$F$2,Nombres!$C$3:$D$636,313,FALSE)</f>
        <v>(1) En aplicación de la NIC 21 "Efectos de las variaciones en los tipos de cambio de la moneda extranjera", la conversión de la cuenta de resultados de Turquía y Argentina se hace empleando el tipo de cambio final.</v>
      </c>
    </row>
    <row r="20" ht="15">
      <c r="D20" s="175"/>
    </row>
    <row r="25" spans="3:5" ht="15">
      <c r="C25" s="310"/>
      <c r="D25" s="310"/>
      <c r="E25" s="310"/>
    </row>
    <row r="27" ht="15">
      <c r="E27" s="310"/>
    </row>
    <row r="1000" ht="15">
      <c r="A1000" t="s">
        <v>392</v>
      </c>
    </row>
  </sheetData>
  <sheetProtection/>
  <mergeCells count="2">
    <mergeCell ref="C3:E3"/>
    <mergeCell ref="H3:I3"/>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N996"/>
  <sheetViews>
    <sheetView showGridLines="0" zoomScalePageLayoutView="0" workbookViewId="0" topLeftCell="A1">
      <selection activeCell="A1" sqref="A1"/>
    </sheetView>
  </sheetViews>
  <sheetFormatPr defaultColWidth="11.421875" defaultRowHeight="15"/>
  <cols>
    <col min="1" max="1" width="42.421875" style="206" customWidth="1"/>
    <col min="2" max="2" width="13.57421875" style="206" bestFit="1" customWidth="1"/>
    <col min="3" max="4" width="11.421875" style="206" customWidth="1"/>
    <col min="5" max="5" width="11.7109375" style="206" bestFit="1" customWidth="1"/>
    <col min="6" max="8" width="11.421875" style="206" customWidth="1"/>
    <col min="9" max="9" width="11.421875" style="206" hidden="1" customWidth="1"/>
    <col min="10" max="10" width="4.7109375" style="205" customWidth="1"/>
    <col min="11" max="11" width="11.421875" style="206" customWidth="1"/>
    <col min="12" max="12" width="11.7109375" style="206" bestFit="1" customWidth="1"/>
    <col min="13" max="16384" width="11.421875" style="206" customWidth="1"/>
  </cols>
  <sheetData>
    <row r="1" spans="1:12" ht="18">
      <c r="A1" s="203" t="str">
        <f>HLOOKUP(INDICE!$F$2,Nombres!$C$3:$D$636,113,FALSE)</f>
        <v>Desglose del crédito no dudoso en gestión</v>
      </c>
      <c r="B1" s="204"/>
      <c r="C1" s="204"/>
      <c r="D1" s="204"/>
      <c r="E1" s="204"/>
      <c r="F1" s="204"/>
      <c r="G1" s="204"/>
      <c r="H1" s="204"/>
      <c r="I1" s="204"/>
      <c r="L1" s="207"/>
    </row>
    <row r="2" spans="1:12" ht="15.75">
      <c r="A2" s="208" t="str">
        <f>HLOOKUP(INDICE!$F$2,Nombres!$C$3:$D$636,73,FALSE)</f>
        <v>(Millones de euros constantes)</v>
      </c>
      <c r="B2" s="207"/>
      <c r="C2" s="207"/>
      <c r="D2" s="207"/>
      <c r="E2" s="207"/>
      <c r="F2" s="207"/>
      <c r="L2" s="207"/>
    </row>
    <row r="3" spans="1:12" ht="15.75">
      <c r="A3" s="209"/>
      <c r="B3" s="207"/>
      <c r="C3" s="207"/>
      <c r="D3" s="207"/>
      <c r="E3" s="207"/>
      <c r="F3" s="207"/>
      <c r="L3" s="207"/>
    </row>
    <row r="4" spans="1:9" ht="15.75" customHeight="1">
      <c r="A4" s="210"/>
      <c r="B4" s="320" t="str">
        <f>HLOOKUP(INDICE!$F$2,Nombres!$C$3:$D$636,7,FALSE)</f>
        <v>España</v>
      </c>
      <c r="C4" s="320"/>
      <c r="D4" s="320"/>
      <c r="E4" s="320"/>
      <c r="F4" s="320"/>
      <c r="G4" s="320"/>
      <c r="H4" s="320"/>
      <c r="I4" s="320"/>
    </row>
    <row r="5" spans="1:12" ht="15.75">
      <c r="A5" s="211"/>
      <c r="B5" s="119">
        <f>+España!B32</f>
        <v>44286</v>
      </c>
      <c r="C5" s="119">
        <f>+España!C32</f>
        <v>44377</v>
      </c>
      <c r="D5" s="119">
        <f>+España!D32</f>
        <v>44469</v>
      </c>
      <c r="E5" s="119">
        <f>+España!E32</f>
        <v>44561</v>
      </c>
      <c r="F5" s="119">
        <f>+España!F32</f>
        <v>44651</v>
      </c>
      <c r="G5" s="119">
        <f>+España!G32</f>
        <v>44742</v>
      </c>
      <c r="H5" s="119">
        <f>+España!H32</f>
        <v>44834</v>
      </c>
      <c r="I5" s="119">
        <f>+España!I32</f>
        <v>44926</v>
      </c>
      <c r="L5" s="119"/>
    </row>
    <row r="6" spans="1:14" ht="15">
      <c r="A6" s="212" t="str">
        <f>HLOOKUP(INDICE!$F$2,Nombres!$C$3:$D$636,209,FALSE)</f>
        <v>Hipotecario</v>
      </c>
      <c r="B6" s="213">
        <v>69627.90255</v>
      </c>
      <c r="C6" s="213">
        <v>69670.178127</v>
      </c>
      <c r="D6" s="213">
        <v>69522.5832</v>
      </c>
      <c r="E6" s="213">
        <v>69478.950925</v>
      </c>
      <c r="F6" s="213">
        <v>69407.809482</v>
      </c>
      <c r="G6" s="213">
        <v>68619.457928</v>
      </c>
      <c r="H6" s="213">
        <v>67591.858029</v>
      </c>
      <c r="I6" s="213">
        <v>0</v>
      </c>
      <c r="L6" s="213"/>
      <c r="N6" s="264"/>
    </row>
    <row r="7" spans="1:14" ht="15">
      <c r="A7" s="212" t="str">
        <f>HLOOKUP(INDICE!$F$2,Nombres!$C$3:$D$636,210,FALSE)</f>
        <v>Consumo  y tarjetas de Credito</v>
      </c>
      <c r="B7" s="213">
        <v>13943.287111</v>
      </c>
      <c r="C7" s="213">
        <v>14549.699296</v>
      </c>
      <c r="D7" s="213">
        <v>14789.349513000001</v>
      </c>
      <c r="E7" s="213">
        <v>15178.645015000002</v>
      </c>
      <c r="F7" s="213">
        <v>15277.776342000001</v>
      </c>
      <c r="G7" s="213">
        <v>15794.411383000002</v>
      </c>
      <c r="H7" s="213">
        <v>16008.690613</v>
      </c>
      <c r="I7" s="213">
        <v>0</v>
      </c>
      <c r="J7" s="293"/>
      <c r="L7" s="213"/>
      <c r="N7" s="264"/>
    </row>
    <row r="8" spans="1:14" ht="15">
      <c r="A8" s="212" t="str">
        <f>HLOOKUP(INDICE!$F$2,Nombres!$C$3:$D$636,211,FALSE)</f>
        <v>Negocios retail</v>
      </c>
      <c r="B8" s="213">
        <v>15357.717637</v>
      </c>
      <c r="C8" s="213">
        <v>15370.643759999999</v>
      </c>
      <c r="D8" s="213">
        <v>15362.27056</v>
      </c>
      <c r="E8" s="213">
        <v>15518.812504999998</v>
      </c>
      <c r="F8" s="213">
        <v>15713.614394000004</v>
      </c>
      <c r="G8" s="213">
        <v>15950.685474999998</v>
      </c>
      <c r="H8" s="213">
        <v>15883.079531999998</v>
      </c>
      <c r="I8" s="213">
        <v>0</v>
      </c>
      <c r="J8" s="293"/>
      <c r="L8" s="213"/>
      <c r="N8" s="264"/>
    </row>
    <row r="9" spans="1:14" ht="15">
      <c r="A9" s="212" t="str">
        <f>HLOOKUP(INDICE!$F$2,Nombres!$C$3:$D$636,212,FALSE)</f>
        <v>Empresas medianas</v>
      </c>
      <c r="B9" s="213">
        <v>18358.452911</v>
      </c>
      <c r="C9" s="213">
        <v>18984.634033</v>
      </c>
      <c r="D9" s="213">
        <v>19328.344112</v>
      </c>
      <c r="E9" s="213">
        <v>20049.488617999996</v>
      </c>
      <c r="F9" s="213">
        <v>20906.228528</v>
      </c>
      <c r="G9" s="213">
        <v>21582.222315000003</v>
      </c>
      <c r="H9" s="213">
        <v>21958.593169</v>
      </c>
      <c r="I9" s="213">
        <v>0</v>
      </c>
      <c r="J9" s="293"/>
      <c r="L9" s="213"/>
      <c r="N9" s="264"/>
    </row>
    <row r="10" spans="1:14" ht="15">
      <c r="A10" s="212" t="str">
        <f>HLOOKUP(INDICE!$F$2,Nombres!$C$3:$D$636,213,FALSE)</f>
        <v>Corporativa + CIB</v>
      </c>
      <c r="B10" s="213">
        <v>23286.409966</v>
      </c>
      <c r="C10" s="213">
        <v>22899.869162</v>
      </c>
      <c r="D10" s="213">
        <v>22789.49358037</v>
      </c>
      <c r="E10" s="213">
        <v>24100.984218</v>
      </c>
      <c r="F10" s="213">
        <v>24253.373602000003</v>
      </c>
      <c r="G10" s="213">
        <v>25102.938454000003</v>
      </c>
      <c r="H10" s="213">
        <v>27163.054120999997</v>
      </c>
      <c r="I10" s="213">
        <v>0</v>
      </c>
      <c r="L10" s="213"/>
      <c r="N10" s="264"/>
    </row>
    <row r="11" spans="1:14" ht="15">
      <c r="A11" s="212" t="str">
        <f>HLOOKUP(INDICE!$F$2,Nombres!$C$3:$D$636,214,FALSE)</f>
        <v>Sector público</v>
      </c>
      <c r="B11" s="213">
        <v>13792.066191999998</v>
      </c>
      <c r="C11" s="213">
        <v>15820.083642999998</v>
      </c>
      <c r="D11" s="213">
        <v>13945.046287</v>
      </c>
      <c r="E11" s="213">
        <v>13631.872726999998</v>
      </c>
      <c r="F11" s="213">
        <v>13377.211038999998</v>
      </c>
      <c r="G11" s="213">
        <v>14964.181887000002</v>
      </c>
      <c r="H11" s="213">
        <v>13062.874635</v>
      </c>
      <c r="I11" s="213">
        <v>0</v>
      </c>
      <c r="L11" s="213"/>
      <c r="N11" s="264"/>
    </row>
    <row r="12" spans="1:14" ht="15.75" customHeight="1">
      <c r="A12" s="212" t="str">
        <f>HLOOKUP(INDICE!$F$2,Nombres!$C$3:$D$636,215,FALSE)</f>
        <v>Otros</v>
      </c>
      <c r="B12" s="213">
        <v>9123.19071299998</v>
      </c>
      <c r="C12" s="213">
        <v>9938.73175499999</v>
      </c>
      <c r="D12" s="213">
        <v>10129.211839999994</v>
      </c>
      <c r="E12" s="213">
        <v>10275.935511999998</v>
      </c>
      <c r="F12" s="213">
        <v>10158.67316299998</v>
      </c>
      <c r="G12" s="213">
        <v>11253.91275800001</v>
      </c>
      <c r="H12" s="213">
        <v>11791.97322500001</v>
      </c>
      <c r="I12" s="213">
        <v>0</v>
      </c>
      <c r="L12" s="213"/>
      <c r="N12" s="264"/>
    </row>
    <row r="13" spans="1:14" ht="15">
      <c r="A13" s="214" t="str">
        <f>HLOOKUP(INDICE!$F$2,Nombres!$C$3:$D$636,112,FALSE)</f>
        <v>Crédito no dudoso en gestión (*)</v>
      </c>
      <c r="B13" s="215">
        <v>163489.02707999997</v>
      </c>
      <c r="C13" s="215">
        <v>167233.83977599998</v>
      </c>
      <c r="D13" s="215">
        <v>165866.29909237</v>
      </c>
      <c r="E13" s="215">
        <v>168234.68951999999</v>
      </c>
      <c r="F13" s="215">
        <v>169094.68654999995</v>
      </c>
      <c r="G13" s="215">
        <v>173267.81020000004</v>
      </c>
      <c r="H13" s="215">
        <v>173460.12332400004</v>
      </c>
      <c r="I13" s="215">
        <v>0</v>
      </c>
      <c r="L13" s="214"/>
      <c r="N13" s="264"/>
    </row>
    <row r="14" spans="1:14" ht="15.75">
      <c r="A14" s="207"/>
      <c r="B14" s="216">
        <f>+SUM(B6:B12)-B13</f>
        <v>0</v>
      </c>
      <c r="C14" s="216">
        <f aca="true" t="shared" si="0" ref="C14:I14">+SUM(C6:C12)-C13</f>
        <v>0</v>
      </c>
      <c r="D14" s="216">
        <f t="shared" si="0"/>
        <v>0</v>
      </c>
      <c r="E14" s="216">
        <f t="shared" si="0"/>
        <v>0</v>
      </c>
      <c r="F14" s="216">
        <f t="shared" si="0"/>
        <v>0</v>
      </c>
      <c r="G14" s="216">
        <f t="shared" si="0"/>
        <v>0</v>
      </c>
      <c r="H14" s="216">
        <f t="shared" si="0"/>
        <v>0</v>
      </c>
      <c r="I14" s="216">
        <f t="shared" si="0"/>
        <v>0</v>
      </c>
      <c r="L14" s="217"/>
      <c r="N14" s="264"/>
    </row>
    <row r="15" spans="1:14" ht="15">
      <c r="A15" s="311"/>
      <c r="B15" s="213"/>
      <c r="C15" s="213"/>
      <c r="D15" s="213"/>
      <c r="E15" s="213"/>
      <c r="F15" s="213"/>
      <c r="G15" s="213"/>
      <c r="H15" s="213"/>
      <c r="I15" s="213"/>
      <c r="L15" s="213"/>
      <c r="N15" s="264"/>
    </row>
    <row r="16" spans="1:12" ht="15.75">
      <c r="A16" s="207"/>
      <c r="B16" s="218"/>
      <c r="C16" s="218"/>
      <c r="D16" s="218"/>
      <c r="E16" s="218"/>
      <c r="F16" s="218"/>
      <c r="L16" s="218"/>
    </row>
    <row r="17" spans="1:12" ht="15.75">
      <c r="A17" s="210"/>
      <c r="B17" s="320" t="str">
        <f>HLOOKUP(INDICE!$F$2,Nombres!$C$3:$D$636,204,FALSE)</f>
        <v>Mexico (***)</v>
      </c>
      <c r="C17" s="320"/>
      <c r="D17" s="320"/>
      <c r="E17" s="320"/>
      <c r="F17" s="320"/>
      <c r="G17" s="320"/>
      <c r="H17" s="320"/>
      <c r="I17" s="320"/>
      <c r="L17" s="221"/>
    </row>
    <row r="18" spans="1:12" ht="15.75">
      <c r="A18" s="211"/>
      <c r="B18" s="119">
        <f>+B$5</f>
        <v>44286</v>
      </c>
      <c r="C18" s="119">
        <f aca="true" t="shared" si="1" ref="C18:I18">+C$5</f>
        <v>44377</v>
      </c>
      <c r="D18" s="119">
        <f t="shared" si="1"/>
        <v>44469</v>
      </c>
      <c r="E18" s="119">
        <f t="shared" si="1"/>
        <v>44561</v>
      </c>
      <c r="F18" s="119">
        <f t="shared" si="1"/>
        <v>44651</v>
      </c>
      <c r="G18" s="119">
        <f t="shared" si="1"/>
        <v>44742</v>
      </c>
      <c r="H18" s="119">
        <f t="shared" si="1"/>
        <v>44834</v>
      </c>
      <c r="I18" s="119">
        <f t="shared" si="1"/>
        <v>44926</v>
      </c>
      <c r="L18" s="53"/>
    </row>
    <row r="19" spans="1:14" ht="15">
      <c r="A19" s="212" t="str">
        <f>HLOOKUP(INDICE!$F$2,Nombres!$C$3:$D$636,105,FALSE)</f>
        <v>Hipotecario</v>
      </c>
      <c r="B19" s="213">
        <v>12853.345194614405</v>
      </c>
      <c r="C19" s="213">
        <v>13134.854663448083</v>
      </c>
      <c r="D19" s="213">
        <v>13465.824009914166</v>
      </c>
      <c r="E19" s="213">
        <v>13877.633113072343</v>
      </c>
      <c r="F19" s="213">
        <v>14248.589554226815</v>
      </c>
      <c r="G19" s="213">
        <v>14717.324455781574</v>
      </c>
      <c r="H19" s="213">
        <v>15115.496231547193</v>
      </c>
      <c r="I19" s="213">
        <v>0</v>
      </c>
      <c r="L19" s="213"/>
      <c r="N19" s="264"/>
    </row>
    <row r="20" spans="1:14" ht="15">
      <c r="A20" s="212" t="str">
        <f>HLOOKUP(INDICE!$F$2,Nombres!$C$3:$D$636,106,FALSE)</f>
        <v>Consumo</v>
      </c>
      <c r="B20" s="213">
        <v>9078.49083840691</v>
      </c>
      <c r="C20" s="213">
        <v>9185.026444405677</v>
      </c>
      <c r="D20" s="213">
        <v>9388.269203668695</v>
      </c>
      <c r="E20" s="213">
        <v>9473.250064836096</v>
      </c>
      <c r="F20" s="213">
        <v>9852.453939473371</v>
      </c>
      <c r="G20" s="213">
        <v>10255.8212173369</v>
      </c>
      <c r="H20" s="213">
        <v>10729.75983712597</v>
      </c>
      <c r="I20" s="213">
        <v>0</v>
      </c>
      <c r="L20" s="213"/>
      <c r="N20" s="264"/>
    </row>
    <row r="21" spans="1:14" ht="15.75" customHeight="1">
      <c r="A21" s="212" t="str">
        <f>HLOOKUP(INDICE!$F$2,Nombres!$C$3:$D$636,107,FALSE)</f>
        <v>Tarjetas de Crédito</v>
      </c>
      <c r="B21" s="213">
        <v>5165.045395440387</v>
      </c>
      <c r="C21" s="213">
        <v>5415.2928360363385</v>
      </c>
      <c r="D21" s="213">
        <v>5622.6589730408905</v>
      </c>
      <c r="E21" s="213">
        <v>6030.153824165855</v>
      </c>
      <c r="F21" s="213">
        <v>6071.648721150606</v>
      </c>
      <c r="G21" s="213">
        <v>6397.24116561262</v>
      </c>
      <c r="H21" s="213">
        <v>6681.526365277066</v>
      </c>
      <c r="I21" s="213">
        <v>0</v>
      </c>
      <c r="L21" s="213"/>
      <c r="N21" s="264"/>
    </row>
    <row r="22" spans="1:14" ht="15">
      <c r="A22" s="212" t="str">
        <f>HLOOKUP(INDICE!$F$2,Nombres!$C$3:$D$636,110,FALSE)</f>
        <v>Pymes</v>
      </c>
      <c r="B22" s="213">
        <v>3615.3457875153995</v>
      </c>
      <c r="C22" s="213">
        <v>3811.976491481944</v>
      </c>
      <c r="D22" s="213">
        <v>3985.1159059066576</v>
      </c>
      <c r="E22" s="213">
        <v>4046.3254799961837</v>
      </c>
      <c r="F22" s="213">
        <v>4329.14122557828</v>
      </c>
      <c r="G22" s="213">
        <v>4492.584691383657</v>
      </c>
      <c r="H22" s="213">
        <v>4720.993344438405</v>
      </c>
      <c r="I22" s="213">
        <v>0</v>
      </c>
      <c r="L22" s="213"/>
      <c r="N22" s="264"/>
    </row>
    <row r="23" spans="1:14" ht="15">
      <c r="A23" s="212" t="str">
        <f>HLOOKUP(INDICE!$F$2,Nombres!$C$3:$D$636,216,FALSE)</f>
        <v>Resto Minorista</v>
      </c>
      <c r="B23" s="213">
        <v>87.59181321353584</v>
      </c>
      <c r="C23" s="213">
        <v>87.55375646558926</v>
      </c>
      <c r="D23" s="213">
        <v>87.51015921364674</v>
      </c>
      <c r="E23" s="213">
        <v>87.57949621344</v>
      </c>
      <c r="F23" s="213">
        <v>87.51830316073621</v>
      </c>
      <c r="G23" s="213">
        <v>87.58139047037308</v>
      </c>
      <c r="H23" s="213">
        <v>87.50558087921667</v>
      </c>
      <c r="I23" s="213">
        <v>0</v>
      </c>
      <c r="L23" s="213"/>
      <c r="N23" s="264"/>
    </row>
    <row r="24" spans="1:14" ht="15">
      <c r="A24" s="212" t="str">
        <f>HLOOKUP(INDICE!$F$2,Nombres!$C$3:$D$636,217,FALSE)</f>
        <v>Resto Empresas</v>
      </c>
      <c r="B24" s="213">
        <v>26410.822956368553</v>
      </c>
      <c r="C24" s="213">
        <v>25881.569289673203</v>
      </c>
      <c r="D24" s="213">
        <v>25677.681624628505</v>
      </c>
      <c r="E24" s="213">
        <v>26515.20166173648</v>
      </c>
      <c r="F24" s="213">
        <v>27923.759055611077</v>
      </c>
      <c r="G24" s="213">
        <v>29762.317122285185</v>
      </c>
      <c r="H24" s="213">
        <v>30558.382084812863</v>
      </c>
      <c r="I24" s="213">
        <v>0</v>
      </c>
      <c r="L24" s="213"/>
      <c r="N24" s="264"/>
    </row>
    <row r="25" spans="1:14" ht="15">
      <c r="A25" s="212" t="str">
        <f>HLOOKUP(INDICE!$F$2,Nombres!$C$3:$D$636,108,FALSE)</f>
        <v>Sector público</v>
      </c>
      <c r="B25" s="213">
        <v>5688.44851884463</v>
      </c>
      <c r="C25" s="213">
        <v>5765.812751557983</v>
      </c>
      <c r="D25" s="213">
        <v>5878.844734464149</v>
      </c>
      <c r="E25" s="213">
        <v>6003.319873872551</v>
      </c>
      <c r="F25" s="213">
        <v>5956.621763748405</v>
      </c>
      <c r="G25" s="213">
        <v>5961.796313325215</v>
      </c>
      <c r="H25" s="213">
        <v>5922.993059461521</v>
      </c>
      <c r="I25" s="213">
        <v>0</v>
      </c>
      <c r="L25" s="213"/>
      <c r="N25" s="264"/>
    </row>
    <row r="26" spans="1:14" ht="15">
      <c r="A26" s="214" t="str">
        <f>HLOOKUP(INDICE!$F$2,Nombres!$C$3:$D$636,112,FALSE)</f>
        <v>Crédito no dudoso en gestión (*)</v>
      </c>
      <c r="B26" s="215">
        <v>62899.090504403815</v>
      </c>
      <c r="C26" s="215">
        <v>63282.086233068825</v>
      </c>
      <c r="D26" s="215">
        <v>64105.90461083671</v>
      </c>
      <c r="E26" s="215">
        <v>66033.46351389294</v>
      </c>
      <c r="F26" s="215">
        <v>68469.73256294928</v>
      </c>
      <c r="G26" s="215">
        <v>71674.66635619552</v>
      </c>
      <c r="H26" s="215">
        <v>73816.65650354224</v>
      </c>
      <c r="I26" s="215">
        <v>0</v>
      </c>
      <c r="J26" s="290"/>
      <c r="L26" s="219"/>
      <c r="N26" s="264"/>
    </row>
    <row r="27" spans="1:14" ht="15.75">
      <c r="A27" s="222" t="str">
        <f>HLOOKUP(INDICE!$F$2,Nombres!$C$3:$D$636,205,FALSE)</f>
        <v>Criterio Local Contable(***) </v>
      </c>
      <c r="B27" s="216">
        <f>+SUM(B19:B25)-B26</f>
        <v>0</v>
      </c>
      <c r="C27" s="216">
        <f aca="true" t="shared" si="2" ref="C27:I27">+SUM(C19:C25)-C26</f>
        <v>0</v>
      </c>
      <c r="D27" s="216">
        <f t="shared" si="2"/>
        <v>0</v>
      </c>
      <c r="E27" s="216">
        <f t="shared" si="2"/>
        <v>0</v>
      </c>
      <c r="F27" s="216">
        <f t="shared" si="2"/>
        <v>0</v>
      </c>
      <c r="G27" s="216">
        <f t="shared" si="2"/>
        <v>0</v>
      </c>
      <c r="H27" s="216">
        <f t="shared" si="2"/>
        <v>0</v>
      </c>
      <c r="I27" s="216">
        <f t="shared" si="2"/>
        <v>0</v>
      </c>
      <c r="L27" s="220"/>
      <c r="N27" s="264"/>
    </row>
    <row r="28" spans="1:14" ht="15">
      <c r="A28" s="311"/>
      <c r="B28" s="213"/>
      <c r="C28" s="213"/>
      <c r="D28" s="213"/>
      <c r="E28" s="213"/>
      <c r="F28" s="213"/>
      <c r="G28" s="213"/>
      <c r="H28" s="213"/>
      <c r="I28" s="213"/>
      <c r="L28" s="213"/>
      <c r="N28" s="264"/>
    </row>
    <row r="29" spans="2:12" ht="15.75">
      <c r="B29" s="218"/>
      <c r="C29" s="218"/>
      <c r="D29" s="218"/>
      <c r="E29" s="218"/>
      <c r="F29" s="218"/>
      <c r="L29" s="218"/>
    </row>
    <row r="30" spans="1:13" ht="15.75" customHeight="1">
      <c r="A30" s="210"/>
      <c r="B30" s="320" t="str">
        <f>HLOOKUP(INDICE!$F$2,Nombres!$C$3:$D$636,12,FALSE)</f>
        <v>Turquía </v>
      </c>
      <c r="C30" s="320"/>
      <c r="D30" s="320"/>
      <c r="E30" s="320"/>
      <c r="F30" s="320"/>
      <c r="G30" s="320"/>
      <c r="H30" s="320"/>
      <c r="I30" s="320"/>
      <c r="L30" s="223"/>
      <c r="M30" s="223"/>
    </row>
    <row r="31" spans="1:13" ht="15.75">
      <c r="A31" s="211"/>
      <c r="B31" s="119">
        <f>+B$5</f>
        <v>44286</v>
      </c>
      <c r="C31" s="119">
        <f aca="true" t="shared" si="3" ref="C31:I31">+C$5</f>
        <v>44377</v>
      </c>
      <c r="D31" s="119">
        <f t="shared" si="3"/>
        <v>44469</v>
      </c>
      <c r="E31" s="119">
        <f t="shared" si="3"/>
        <v>44561</v>
      </c>
      <c r="F31" s="119">
        <f t="shared" si="3"/>
        <v>44651</v>
      </c>
      <c r="G31" s="119">
        <f t="shared" si="3"/>
        <v>44742</v>
      </c>
      <c r="H31" s="119">
        <f t="shared" si="3"/>
        <v>44834</v>
      </c>
      <c r="I31" s="119">
        <f t="shared" si="3"/>
        <v>44926</v>
      </c>
      <c r="L31" s="53"/>
      <c r="M31" s="223"/>
    </row>
    <row r="32" spans="1:14" ht="15">
      <c r="A32" s="212" t="str">
        <f>HLOOKUP(INDICE!$F$2,Nombres!$C$3:$D$636,105,FALSE)</f>
        <v>Hipotecario</v>
      </c>
      <c r="B32" s="213">
        <v>1243.4504441636311</v>
      </c>
      <c r="C32" s="213">
        <v>1278.5978090134147</v>
      </c>
      <c r="D32" s="213">
        <v>1361.0690481330857</v>
      </c>
      <c r="E32" s="213">
        <v>1408.065493821696</v>
      </c>
      <c r="F32" s="213">
        <v>1396.2729962361216</v>
      </c>
      <c r="G32" s="213">
        <v>1394.9358412445147</v>
      </c>
      <c r="H32" s="213">
        <v>1334.1751197400001</v>
      </c>
      <c r="I32" s="213">
        <v>0</v>
      </c>
      <c r="L32" s="213"/>
      <c r="M32" s="223"/>
      <c r="N32" s="264"/>
    </row>
    <row r="33" spans="1:14" ht="15">
      <c r="A33" s="212" t="str">
        <f>HLOOKUP(INDICE!$F$2,Nombres!$C$3:$D$636,106,FALSE)</f>
        <v>Consumo</v>
      </c>
      <c r="B33" s="213">
        <v>3132.775474250548</v>
      </c>
      <c r="C33" s="213">
        <v>3398.2666980655586</v>
      </c>
      <c r="D33" s="213">
        <v>3711.998987555098</v>
      </c>
      <c r="E33" s="213">
        <v>4157.208083541974</v>
      </c>
      <c r="F33" s="213">
        <v>4352.024505196993</v>
      </c>
      <c r="G33" s="213">
        <v>4947.30605637393</v>
      </c>
      <c r="H33" s="213">
        <v>5340.70547784</v>
      </c>
      <c r="I33" s="213">
        <v>0</v>
      </c>
      <c r="L33" s="213"/>
      <c r="M33" s="223"/>
      <c r="N33" s="264"/>
    </row>
    <row r="34" spans="1:14" ht="15">
      <c r="A34" s="212" t="str">
        <f>HLOOKUP(INDICE!$F$2,Nombres!$C$3:$D$636,107,FALSE)</f>
        <v>Tarjetas de Crédito</v>
      </c>
      <c r="B34" s="213">
        <v>1765.2718727979945</v>
      </c>
      <c r="C34" s="213">
        <v>1865.6125934867048</v>
      </c>
      <c r="D34" s="213">
        <v>2103.098538219383</v>
      </c>
      <c r="E34" s="213">
        <v>2370.7302322276114</v>
      </c>
      <c r="F34" s="213">
        <v>2645.8447132016927</v>
      </c>
      <c r="G34" s="213">
        <v>3189.0589263457027</v>
      </c>
      <c r="H34" s="213">
        <v>4095.461</v>
      </c>
      <c r="I34" s="213">
        <v>0</v>
      </c>
      <c r="L34" s="213"/>
      <c r="M34" s="223"/>
      <c r="N34" s="264"/>
    </row>
    <row r="35" spans="1:14" ht="15">
      <c r="A35" s="212" t="str">
        <f>HLOOKUP(INDICE!$F$2,Nombres!$C$3:$D$636,108,FALSE)</f>
        <v>Sector público</v>
      </c>
      <c r="B35" s="213">
        <v>88.32040853530485</v>
      </c>
      <c r="C35" s="213">
        <v>87.95630382457564</v>
      </c>
      <c r="D35" s="213">
        <v>78.29621951309531</v>
      </c>
      <c r="E35" s="213">
        <v>195.81981466974958</v>
      </c>
      <c r="F35" s="213">
        <v>251.1902737809474</v>
      </c>
      <c r="G35" s="213">
        <v>631.044518443595</v>
      </c>
      <c r="H35" s="213">
        <v>619.652</v>
      </c>
      <c r="I35" s="213">
        <v>0</v>
      </c>
      <c r="L35" s="213"/>
      <c r="M35" s="223"/>
      <c r="N35" s="264"/>
    </row>
    <row r="36" spans="1:14" ht="15">
      <c r="A36" s="212" t="str">
        <f>HLOOKUP(INDICE!$F$2,Nombres!$C$3:$D$636,109,FALSE)</f>
        <v>Sociedades financieras y sociedades no financieras</v>
      </c>
      <c r="B36" s="213">
        <v>12830.89959129996</v>
      </c>
      <c r="C36" s="213">
        <v>13435.583661066063</v>
      </c>
      <c r="D36" s="213">
        <v>14076.98523526295</v>
      </c>
      <c r="E36" s="213">
        <v>17309.768911904877</v>
      </c>
      <c r="F36" s="213">
        <v>20666.335453045584</v>
      </c>
      <c r="G36" s="213">
        <v>22987.2531031947</v>
      </c>
      <c r="H36" s="213">
        <v>24419.92700001</v>
      </c>
      <c r="I36" s="213">
        <v>0</v>
      </c>
      <c r="L36" s="212"/>
      <c r="M36" s="223"/>
      <c r="N36" s="264"/>
    </row>
    <row r="37" spans="1:14" ht="15">
      <c r="A37" s="212" t="str">
        <f>HLOOKUP(INDICE!$F$2,Nombres!$C$3:$D$636,111,FALSE)</f>
        <v>Otros</v>
      </c>
      <c r="B37" s="213">
        <v>366.514842787129</v>
      </c>
      <c r="C37" s="213">
        <v>383.5387833062433</v>
      </c>
      <c r="D37" s="213">
        <v>406.4629307007275</v>
      </c>
      <c r="E37" s="213">
        <v>342.99796562554513</v>
      </c>
      <c r="F37" s="213">
        <v>381.56289078222704</v>
      </c>
      <c r="G37" s="213">
        <v>521.2513433969073</v>
      </c>
      <c r="H37" s="213">
        <v>704.6124024200011</v>
      </c>
      <c r="I37" s="213">
        <v>0</v>
      </c>
      <c r="L37" s="212"/>
      <c r="M37" s="223"/>
      <c r="N37" s="264"/>
    </row>
    <row r="38" spans="1:14" ht="15">
      <c r="A38" s="214" t="str">
        <f>HLOOKUP(INDICE!$F$2,Nombres!$C$3:$D$636,112,FALSE)</f>
        <v>Crédito no dudoso en gestión (*)</v>
      </c>
      <c r="B38" s="215">
        <v>19427.23263383457</v>
      </c>
      <c r="C38" s="215">
        <v>20449.55584876256</v>
      </c>
      <c r="D38" s="215">
        <v>21737.910959384342</v>
      </c>
      <c r="E38" s="215">
        <v>25784.590501791452</v>
      </c>
      <c r="F38" s="215">
        <v>29693.230832243564</v>
      </c>
      <c r="G38" s="215">
        <v>33670.84978899935</v>
      </c>
      <c r="H38" s="215">
        <v>36514.53300000999</v>
      </c>
      <c r="I38" s="215">
        <v>0</v>
      </c>
      <c r="L38" s="212"/>
      <c r="M38" s="223"/>
      <c r="N38" s="264"/>
    </row>
    <row r="39" spans="1:14" ht="15.75" customHeight="1">
      <c r="A39" s="214"/>
      <c r="B39" s="215"/>
      <c r="C39" s="215"/>
      <c r="D39" s="215"/>
      <c r="E39" s="215"/>
      <c r="F39" s="215"/>
      <c r="G39" s="215"/>
      <c r="H39" s="215"/>
      <c r="I39" s="215"/>
      <c r="L39" s="212"/>
      <c r="M39" s="223"/>
      <c r="N39" s="264"/>
    </row>
    <row r="40" spans="1:13" ht="15.75" customHeight="1">
      <c r="A40" s="214"/>
      <c r="B40" s="215"/>
      <c r="C40" s="215"/>
      <c r="D40" s="215"/>
      <c r="E40" s="215"/>
      <c r="F40" s="215"/>
      <c r="G40" s="215"/>
      <c r="H40" s="215"/>
      <c r="I40" s="215"/>
      <c r="L40" s="212"/>
      <c r="M40" s="223"/>
    </row>
    <row r="41" spans="1:13" ht="15">
      <c r="A41" s="214"/>
      <c r="B41" s="215"/>
      <c r="C41" s="215"/>
      <c r="D41" s="215"/>
      <c r="E41" s="215"/>
      <c r="F41" s="215"/>
      <c r="G41" s="215"/>
      <c r="H41" s="215"/>
      <c r="I41" s="215"/>
      <c r="L41" s="212"/>
      <c r="M41" s="223"/>
    </row>
    <row r="42" spans="1:13" ht="15.75" customHeight="1">
      <c r="A42" s="210"/>
      <c r="B42" s="320" t="str">
        <f>HLOOKUP(INDICE!$F$2,Nombres!$C$3:$D$636,296,FALSE)</f>
        <v>Turquia solo Banco</v>
      </c>
      <c r="C42" s="320"/>
      <c r="D42" s="320"/>
      <c r="E42" s="320"/>
      <c r="F42" s="320"/>
      <c r="G42" s="320"/>
      <c r="H42" s="320"/>
      <c r="I42" s="320"/>
      <c r="L42" s="223"/>
      <c r="M42" s="223"/>
    </row>
    <row r="43" spans="1:13" ht="15.75">
      <c r="A43" s="211"/>
      <c r="B43" s="119">
        <f>+B$5</f>
        <v>44286</v>
      </c>
      <c r="C43" s="119">
        <f aca="true" t="shared" si="4" ref="C43:I43">+C$5</f>
        <v>44377</v>
      </c>
      <c r="D43" s="119">
        <f t="shared" si="4"/>
        <v>44469</v>
      </c>
      <c r="E43" s="119">
        <f t="shared" si="4"/>
        <v>44561</v>
      </c>
      <c r="F43" s="119">
        <f t="shared" si="4"/>
        <v>44651</v>
      </c>
      <c r="G43" s="119">
        <f t="shared" si="4"/>
        <v>44742</v>
      </c>
      <c r="H43" s="119">
        <f t="shared" si="4"/>
        <v>44834</v>
      </c>
      <c r="I43" s="119">
        <f t="shared" si="4"/>
        <v>44926</v>
      </c>
      <c r="L43" s="53"/>
      <c r="M43" s="223"/>
    </row>
    <row r="44" spans="1:13" ht="15">
      <c r="A44" s="212" t="str">
        <f>HLOOKUP(INDICE!$F$2,Nombres!$C$3:$D$636,285,FALSE)</f>
        <v>Préstamos Hogares TL</v>
      </c>
      <c r="B44" s="213">
        <v>6340.496639448302</v>
      </c>
      <c r="C44" s="213">
        <v>6786.800730506024</v>
      </c>
      <c r="D44" s="213">
        <v>7479.500941878058</v>
      </c>
      <c r="E44" s="213">
        <v>8092.89394475683</v>
      </c>
      <c r="F44" s="213">
        <v>8630.622597039666</v>
      </c>
      <c r="G44" s="213">
        <v>9932.197087373605</v>
      </c>
      <c r="H44" s="213">
        <v>11356.762566618385</v>
      </c>
      <c r="I44" s="213">
        <v>0</v>
      </c>
      <c r="L44" s="213"/>
      <c r="M44" s="223"/>
    </row>
    <row r="45" spans="1:14" ht="15">
      <c r="A45" s="212" t="str">
        <f>HLOOKUP(INDICE!$F$2,Nombres!$C$3:$D$636,286,FALSE)</f>
        <v>Préstamos Empresas TL</v>
      </c>
      <c r="B45" s="213">
        <v>5661.660994179966</v>
      </c>
      <c r="C45" s="213">
        <v>6014.424322030405</v>
      </c>
      <c r="D45" s="213">
        <v>6383.123436411545</v>
      </c>
      <c r="E45" s="213">
        <v>6420.139216883907</v>
      </c>
      <c r="F45" s="213">
        <v>8263.97810817568</v>
      </c>
      <c r="G45" s="213">
        <v>9799.786564159103</v>
      </c>
      <c r="H45" s="213">
        <v>11230.450798446704</v>
      </c>
      <c r="I45" s="213">
        <v>0</v>
      </c>
      <c r="L45" s="213"/>
      <c r="M45" s="223"/>
      <c r="N45" s="264"/>
    </row>
    <row r="46" spans="1:14" ht="15">
      <c r="A46" s="214" t="str">
        <f>HLOOKUP(INDICE!$F$2,Nombres!$C$3:$D$636,287,FALSE)</f>
        <v>Total Préstamos TL</v>
      </c>
      <c r="B46" s="215">
        <v>12002.157633628267</v>
      </c>
      <c r="C46" s="215">
        <v>12801.22505253643</v>
      </c>
      <c r="D46" s="215">
        <v>13862.624378289604</v>
      </c>
      <c r="E46" s="215">
        <v>14513.033161640737</v>
      </c>
      <c r="F46" s="215">
        <v>16894.600705215344</v>
      </c>
      <c r="G46" s="215">
        <v>19731.983651532708</v>
      </c>
      <c r="H46" s="215">
        <v>22587.213365065087</v>
      </c>
      <c r="I46" s="215">
        <v>0</v>
      </c>
      <c r="L46" s="213"/>
      <c r="M46" s="223"/>
      <c r="N46" s="264"/>
    </row>
    <row r="47" spans="1:14" ht="15">
      <c r="A47" s="214" t="str">
        <f>HLOOKUP(INDICE!$F$2,Nombres!$C$3:$D$636,288,FALSE)</f>
        <v>Total Préstamos FC</v>
      </c>
      <c r="B47" s="215">
        <v>12078.842116462627</v>
      </c>
      <c r="C47" s="215">
        <v>12028.09014605886</v>
      </c>
      <c r="D47" s="215">
        <v>11734.113560305123</v>
      </c>
      <c r="E47" s="215">
        <v>11079.261662379491</v>
      </c>
      <c r="F47" s="215">
        <v>11449.241667626928</v>
      </c>
      <c r="G47" s="215">
        <v>10551.306821110715</v>
      </c>
      <c r="H47" s="215">
        <v>9201.382664254375</v>
      </c>
      <c r="I47" s="215">
        <v>0</v>
      </c>
      <c r="L47" s="212"/>
      <c r="M47" s="223"/>
      <c r="N47" s="264"/>
    </row>
    <row r="48" spans="1:14" ht="15.75">
      <c r="A48" s="222" t="str">
        <f>HLOOKUP(INDICE!$F$2,Nombres!$C$3:$D$636,295,FALSE)</f>
        <v>(TL Lira Turca FC Moneda Extranjera)</v>
      </c>
      <c r="B48" s="216">
        <f>+SUM(B32:B37)-B38</f>
        <v>0</v>
      </c>
      <c r="C48" s="216">
        <f aca="true" t="shared" si="5" ref="C48:I48">+SUM(C32:C37)-C38</f>
        <v>0</v>
      </c>
      <c r="D48" s="216">
        <f t="shared" si="5"/>
        <v>0</v>
      </c>
      <c r="E48" s="216">
        <f t="shared" si="5"/>
        <v>0</v>
      </c>
      <c r="F48" s="216">
        <f t="shared" si="5"/>
        <v>0</v>
      </c>
      <c r="G48" s="216">
        <f t="shared" si="5"/>
        <v>0</v>
      </c>
      <c r="H48" s="216">
        <f t="shared" si="5"/>
        <v>0</v>
      </c>
      <c r="I48" s="216">
        <f t="shared" si="5"/>
        <v>0</v>
      </c>
      <c r="L48" s="214"/>
      <c r="M48" s="223"/>
      <c r="N48" s="264"/>
    </row>
    <row r="49" spans="1:14" ht="15.75">
      <c r="A49" s="207"/>
      <c r="B49" s="217"/>
      <c r="C49" s="217"/>
      <c r="D49" s="217"/>
      <c r="E49" s="217"/>
      <c r="F49" s="217"/>
      <c r="G49" s="217"/>
      <c r="H49" s="217"/>
      <c r="I49" s="217"/>
      <c r="L49" s="217"/>
      <c r="M49" s="223"/>
      <c r="N49" s="264"/>
    </row>
    <row r="50" spans="1:14" ht="15.75">
      <c r="A50" s="207"/>
      <c r="B50" s="217"/>
      <c r="C50" s="217"/>
      <c r="D50" s="217"/>
      <c r="E50" s="217"/>
      <c r="F50" s="217"/>
      <c r="G50" s="217"/>
      <c r="H50" s="217"/>
      <c r="I50" s="217"/>
      <c r="L50" s="217"/>
      <c r="N50" s="264"/>
    </row>
    <row r="51" spans="1:14" ht="15.75" customHeight="1">
      <c r="A51" s="210"/>
      <c r="B51" s="320" t="str">
        <f>HLOOKUP(INDICE!$F$2,Nombres!$C$3:$D$636,283,FALSE)</f>
        <v>América del Sur </v>
      </c>
      <c r="C51" s="320"/>
      <c r="D51" s="320"/>
      <c r="E51" s="320"/>
      <c r="F51" s="320"/>
      <c r="G51" s="320"/>
      <c r="H51" s="320"/>
      <c r="I51" s="320"/>
      <c r="N51" s="264"/>
    </row>
    <row r="52" spans="1:14" ht="15.75">
      <c r="A52" s="211"/>
      <c r="B52" s="119">
        <f>+B$5</f>
        <v>44286</v>
      </c>
      <c r="C52" s="119">
        <f aca="true" t="shared" si="6" ref="C52:I52">+C$5</f>
        <v>44377</v>
      </c>
      <c r="D52" s="119">
        <f t="shared" si="6"/>
        <v>44469</v>
      </c>
      <c r="E52" s="119">
        <f t="shared" si="6"/>
        <v>44561</v>
      </c>
      <c r="F52" s="119">
        <f t="shared" si="6"/>
        <v>44651</v>
      </c>
      <c r="G52" s="119">
        <f t="shared" si="6"/>
        <v>44742</v>
      </c>
      <c r="H52" s="119">
        <f t="shared" si="6"/>
        <v>44834</v>
      </c>
      <c r="I52" s="119">
        <f t="shared" si="6"/>
        <v>44926</v>
      </c>
      <c r="N52" s="264"/>
    </row>
    <row r="53" spans="1:12" ht="15">
      <c r="A53" s="212" t="s">
        <v>7</v>
      </c>
      <c r="B53" s="213">
        <v>2063.1896682840966</v>
      </c>
      <c r="C53" s="213">
        <v>2201.583592998901</v>
      </c>
      <c r="D53" s="213">
        <v>2366.385364161934</v>
      </c>
      <c r="E53" s="213">
        <v>2705.1438825059254</v>
      </c>
      <c r="F53" s="213">
        <v>2908.8898516991317</v>
      </c>
      <c r="G53" s="213">
        <v>3640.136400170589</v>
      </c>
      <c r="H53" s="213">
        <v>4101.12336374</v>
      </c>
      <c r="I53" s="213">
        <v>0</v>
      </c>
      <c r="L53" s="213"/>
    </row>
    <row r="54" spans="1:12" ht="15">
      <c r="A54" s="212" t="s">
        <v>8</v>
      </c>
      <c r="B54" s="213">
        <v>1365.8240107288439</v>
      </c>
      <c r="C54" s="213">
        <v>1372.4777469259461</v>
      </c>
      <c r="D54" s="213">
        <v>1386.128281984022</v>
      </c>
      <c r="E54" s="213">
        <v>1437.926963768682</v>
      </c>
      <c r="F54" s="213">
        <v>1534.6270721916687</v>
      </c>
      <c r="G54" s="213">
        <v>1653.9525660561035</v>
      </c>
      <c r="H54" s="213">
        <v>1818.3400000000001</v>
      </c>
      <c r="I54" s="213">
        <v>0</v>
      </c>
      <c r="L54" s="213"/>
    </row>
    <row r="55" spans="1:12" ht="15.75" customHeight="1">
      <c r="A55" s="212" t="s">
        <v>9</v>
      </c>
      <c r="B55" s="213">
        <v>11271.881187394125</v>
      </c>
      <c r="C55" s="213">
        <v>11519.90167708801</v>
      </c>
      <c r="D55" s="213">
        <v>11849.276935570973</v>
      </c>
      <c r="E55" s="213">
        <v>12588.275324056965</v>
      </c>
      <c r="F55" s="213">
        <v>13250.046706255636</v>
      </c>
      <c r="G55" s="213">
        <v>14152.386357757894</v>
      </c>
      <c r="H55" s="213">
        <v>14661.79910557</v>
      </c>
      <c r="I55" s="213">
        <v>0</v>
      </c>
      <c r="L55" s="213"/>
    </row>
    <row r="56" spans="1:12" ht="15">
      <c r="A56" s="212" t="s">
        <v>10</v>
      </c>
      <c r="B56" s="213">
        <v>17432.919804894413</v>
      </c>
      <c r="C56" s="213">
        <v>18352.39356815868</v>
      </c>
      <c r="D56" s="213">
        <v>18061.455475584225</v>
      </c>
      <c r="E56" s="213">
        <v>18100.568511812347</v>
      </c>
      <c r="F56" s="213">
        <v>17883.933930140975</v>
      </c>
      <c r="G56" s="213">
        <v>17822.77016002424</v>
      </c>
      <c r="H56" s="213">
        <v>17971.57436395</v>
      </c>
      <c r="I56" s="213">
        <v>0</v>
      </c>
      <c r="L56" s="213"/>
    </row>
    <row r="57" spans="1:14" ht="15">
      <c r="A57" s="212" t="s">
        <v>11</v>
      </c>
      <c r="B57" s="213">
        <v>2113.4752583732875</v>
      </c>
      <c r="C57" s="213">
        <v>2113.946059536712</v>
      </c>
      <c r="D57" s="213">
        <v>2113.095059175135</v>
      </c>
      <c r="E57" s="213">
        <v>2377.107540961249</v>
      </c>
      <c r="F57" s="213">
        <v>2233.443806325777</v>
      </c>
      <c r="G57" s="213">
        <v>2388.9210530647842</v>
      </c>
      <c r="H57" s="213">
        <v>2466.6035284100003</v>
      </c>
      <c r="I57" s="213">
        <v>0</v>
      </c>
      <c r="L57" s="213"/>
      <c r="N57" s="264"/>
    </row>
    <row r="58" spans="1:14" ht="15">
      <c r="A58" s="214" t="str">
        <f>HLOOKUP(INDICE!$F$2,Nombres!$C$3:$D$636,112,FALSE)</f>
        <v>Crédito no dudoso en gestión (*)</v>
      </c>
      <c r="B58" s="215">
        <v>34247.289929674764</v>
      </c>
      <c r="C58" s="215">
        <v>35560.30264470825</v>
      </c>
      <c r="D58" s="215">
        <v>35776.34111647629</v>
      </c>
      <c r="E58" s="215">
        <v>37209.022223105174</v>
      </c>
      <c r="F58" s="215">
        <v>37810.941366613195</v>
      </c>
      <c r="G58" s="215">
        <v>39658.166537073615</v>
      </c>
      <c r="H58" s="215">
        <v>41019.44036167</v>
      </c>
      <c r="I58" s="215">
        <v>0</v>
      </c>
      <c r="L58" s="214"/>
      <c r="N58" s="264"/>
    </row>
    <row r="59" spans="1:14" ht="15.75">
      <c r="A59" s="207"/>
      <c r="B59" s="216">
        <f>+SUM(B53:B57)-B58</f>
        <v>0</v>
      </c>
      <c r="C59" s="216">
        <f aca="true" t="shared" si="7" ref="C59:I59">+SUM(C53:C57)-C58</f>
        <v>0</v>
      </c>
      <c r="D59" s="216">
        <f t="shared" si="7"/>
        <v>0</v>
      </c>
      <c r="E59" s="216">
        <f t="shared" si="7"/>
        <v>0</v>
      </c>
      <c r="F59" s="216">
        <f t="shared" si="7"/>
        <v>0</v>
      </c>
      <c r="G59" s="216">
        <f t="shared" si="7"/>
        <v>0</v>
      </c>
      <c r="H59" s="216">
        <f t="shared" si="7"/>
        <v>0</v>
      </c>
      <c r="I59" s="216">
        <f t="shared" si="7"/>
        <v>0</v>
      </c>
      <c r="L59" s="217"/>
      <c r="N59" s="264"/>
    </row>
    <row r="60" spans="1:14" ht="15" customHeight="1">
      <c r="A60" s="207"/>
      <c r="B60" s="207"/>
      <c r="C60" s="207"/>
      <c r="D60" s="207"/>
      <c r="E60" s="207"/>
      <c r="F60" s="207"/>
      <c r="L60" s="207"/>
      <c r="N60" s="264"/>
    </row>
    <row r="61" spans="1:14" ht="15" customHeight="1">
      <c r="A61" s="224" t="str">
        <f>HLOOKUP(INDICE!$F$2,Nombres!$C$3:$D$636,71,FALSE)</f>
        <v>(*) No incluye las adquisiciones temporales de activos.</v>
      </c>
      <c r="B61" s="207"/>
      <c r="C61" s="207"/>
      <c r="D61" s="207"/>
      <c r="E61" s="207"/>
      <c r="F61" s="207"/>
      <c r="L61" s="207"/>
      <c r="N61" s="264"/>
    </row>
    <row r="62" spans="1:14" ht="15" customHeight="1">
      <c r="A62" s="224" t="str">
        <f>HLOOKUP(INDICE!$F$2,Nombres!$C$3:$D$636,299,FALSE)</f>
        <v> (***) No incluye Paraguay</v>
      </c>
      <c r="B62" s="207"/>
      <c r="C62" s="207"/>
      <c r="D62" s="207"/>
      <c r="E62" s="207"/>
      <c r="F62" s="207"/>
      <c r="L62" s="207"/>
      <c r="N62" s="264"/>
    </row>
    <row r="63" spans="1:12" ht="15.75">
      <c r="A63" s="207"/>
      <c r="B63" s="207"/>
      <c r="C63" s="207"/>
      <c r="D63" s="207"/>
      <c r="E63" s="207"/>
      <c r="F63" s="207"/>
      <c r="L63" s="207"/>
    </row>
    <row r="64" spans="1:12" ht="15.75">
      <c r="A64" s="207"/>
      <c r="B64" s="207"/>
      <c r="C64" s="207"/>
      <c r="D64" s="207"/>
      <c r="E64" s="207"/>
      <c r="F64" s="207"/>
      <c r="L64" s="207"/>
    </row>
    <row r="65" spans="1:12" ht="15.75">
      <c r="A65" s="207"/>
      <c r="B65" s="207"/>
      <c r="C65" s="207"/>
      <c r="D65" s="207"/>
      <c r="E65" s="207"/>
      <c r="F65" s="207"/>
      <c r="L65" s="207"/>
    </row>
    <row r="66" spans="1:12" ht="15.75">
      <c r="A66" s="207"/>
      <c r="B66" s="207"/>
      <c r="C66" s="207"/>
      <c r="D66" s="207"/>
      <c r="E66" s="207"/>
      <c r="F66" s="207"/>
      <c r="L66" s="207"/>
    </row>
    <row r="67" spans="1:12" ht="15.75">
      <c r="A67" s="207"/>
      <c r="B67" s="207"/>
      <c r="C67" s="207"/>
      <c r="D67" s="207"/>
      <c r="E67" s="207"/>
      <c r="F67" s="207"/>
      <c r="L67" s="207"/>
    </row>
    <row r="68" spans="1:12" ht="15.75">
      <c r="A68" s="207"/>
      <c r="B68" s="207"/>
      <c r="C68" s="207"/>
      <c r="D68" s="207"/>
      <c r="E68" s="207"/>
      <c r="F68" s="207"/>
      <c r="L68" s="207"/>
    </row>
    <row r="69" spans="1:12" ht="15.75">
      <c r="A69" s="207"/>
      <c r="B69" s="207"/>
      <c r="C69" s="207"/>
      <c r="D69" s="207"/>
      <c r="E69" s="207"/>
      <c r="F69" s="207"/>
      <c r="L69" s="207"/>
    </row>
    <row r="70" spans="1:12" ht="15.75">
      <c r="A70" s="207"/>
      <c r="B70" s="207"/>
      <c r="C70" s="207"/>
      <c r="D70" s="207"/>
      <c r="E70" s="207"/>
      <c r="F70" s="207"/>
      <c r="L70" s="207"/>
    </row>
    <row r="996" ht="15">
      <c r="A996" s="206" t="s">
        <v>392</v>
      </c>
    </row>
  </sheetData>
  <sheetProtection/>
  <mergeCells count="5">
    <mergeCell ref="B4:I4"/>
    <mergeCell ref="B17:I17"/>
    <mergeCell ref="B30:I30"/>
    <mergeCell ref="B42:I42"/>
    <mergeCell ref="B51:I51"/>
  </mergeCells>
  <conditionalFormatting sqref="B14:I14">
    <cfRule type="cellIs" priority="6" dxfId="131" operator="notBetween">
      <formula>0.5</formula>
      <formula>-0.5</formula>
    </cfRule>
  </conditionalFormatting>
  <conditionalFormatting sqref="B27:I27">
    <cfRule type="cellIs" priority="5" dxfId="131" operator="notBetween">
      <formula>0.5</formula>
      <formula>-0.5</formula>
    </cfRule>
  </conditionalFormatting>
  <conditionalFormatting sqref="C27:I27">
    <cfRule type="cellIs" priority="4" dxfId="131" operator="notBetween">
      <formula>0.5</formula>
      <formula>-0.5</formula>
    </cfRule>
  </conditionalFormatting>
  <conditionalFormatting sqref="B48">
    <cfRule type="cellIs" priority="3" dxfId="131" operator="notBetween">
      <formula>0.5</formula>
      <formula>-0.5</formula>
    </cfRule>
  </conditionalFormatting>
  <conditionalFormatting sqref="C48:I48">
    <cfRule type="cellIs" priority="2" dxfId="131" operator="notBetween">
      <formula>0.5</formula>
      <formula>-0.5</formula>
    </cfRule>
  </conditionalFormatting>
  <conditionalFormatting sqref="B59:I59">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L1001"/>
  <sheetViews>
    <sheetView showGridLines="0" zoomScalePageLayoutView="0" workbookViewId="0" topLeftCell="A1">
      <selection activeCell="A1" sqref="A1"/>
    </sheetView>
  </sheetViews>
  <sheetFormatPr defaultColWidth="11.421875" defaultRowHeight="15"/>
  <cols>
    <col min="1" max="1" width="35.7109375" style="206" customWidth="1"/>
    <col min="2" max="2" width="12.28125" style="206" customWidth="1"/>
    <col min="3" max="8" width="11.421875" style="206" customWidth="1"/>
    <col min="9" max="9" width="11.421875" style="206" hidden="1" customWidth="1"/>
    <col min="10" max="11" width="5.7109375" style="206" customWidth="1"/>
    <col min="12" max="12" width="19.57421875" style="206" customWidth="1"/>
    <col min="13" max="16384" width="11.421875" style="206" customWidth="1"/>
  </cols>
  <sheetData>
    <row r="1" spans="1:9" ht="18">
      <c r="A1" s="203" t="str">
        <f>HLOOKUP(INDICE!$F$2,Nombres!$C$3:$D$636,120,FALSE)</f>
        <v>Desglose de los recursos de clientes en gestión</v>
      </c>
      <c r="B1" s="204"/>
      <c r="C1" s="204"/>
      <c r="D1" s="204"/>
      <c r="E1" s="204"/>
      <c r="F1" s="204"/>
      <c r="G1" s="204"/>
      <c r="H1" s="204"/>
      <c r="I1" s="204"/>
    </row>
    <row r="2" spans="1:6" ht="15.75">
      <c r="A2" s="208" t="str">
        <f>HLOOKUP(INDICE!$F$2,Nombres!$C$3:$D$636,73,FALSE)</f>
        <v>(Millones de euros constantes)</v>
      </c>
      <c r="B2" s="207"/>
      <c r="C2" s="207"/>
      <c r="D2" s="207"/>
      <c r="E2" s="207"/>
      <c r="F2" s="207"/>
    </row>
    <row r="3" spans="1:12" ht="15.75" customHeight="1">
      <c r="A3" s="210"/>
      <c r="B3" s="320" t="str">
        <f>HLOOKUP(INDICE!$F$2,Nombres!$C$3:$D$636,7,FALSE)</f>
        <v>España</v>
      </c>
      <c r="C3" s="320"/>
      <c r="D3" s="320"/>
      <c r="E3" s="320"/>
      <c r="F3" s="320"/>
      <c r="G3" s="320"/>
      <c r="H3" s="320"/>
      <c r="I3" s="320"/>
      <c r="L3" s="225"/>
    </row>
    <row r="4" spans="1:9" ht="15.75">
      <c r="A4" s="211"/>
      <c r="B4" s="119">
        <f>+España!B32</f>
        <v>44286</v>
      </c>
      <c r="C4" s="119">
        <f>+España!C32</f>
        <v>44377</v>
      </c>
      <c r="D4" s="119">
        <f>+España!D32</f>
        <v>44469</v>
      </c>
      <c r="E4" s="119">
        <f>+España!E32</f>
        <v>44561</v>
      </c>
      <c r="F4" s="119">
        <f>+España!F32</f>
        <v>44651</v>
      </c>
      <c r="G4" s="119">
        <f>+España!G32</f>
        <v>44742</v>
      </c>
      <c r="H4" s="119">
        <f>+España!H32</f>
        <v>44834</v>
      </c>
      <c r="I4" s="119">
        <f>+España!I32</f>
        <v>44926</v>
      </c>
    </row>
    <row r="5" spans="1:12" ht="15">
      <c r="A5" s="212" t="str">
        <f>HLOOKUP(INDICE!$F$2,Nombres!$C$3:$D$636,114,FALSE)</f>
        <v>Depósitos a la vista + Disponibles con preaviso</v>
      </c>
      <c r="B5" s="213">
        <v>168710.114432</v>
      </c>
      <c r="C5" s="213">
        <v>176043.216854</v>
      </c>
      <c r="D5" s="213">
        <v>178825.393642</v>
      </c>
      <c r="E5" s="213">
        <v>187799.701281</v>
      </c>
      <c r="F5" s="213">
        <v>189479.81666299998</v>
      </c>
      <c r="G5" s="213">
        <v>194253.540965</v>
      </c>
      <c r="H5" s="213">
        <v>193909.23964</v>
      </c>
      <c r="I5" s="213">
        <v>0</v>
      </c>
      <c r="L5" s="212"/>
    </row>
    <row r="6" spans="1:12" ht="15">
      <c r="A6" s="212" t="str">
        <f>HLOOKUP(INDICE!$F$2,Nombres!$C$3:$D$636,115,FALSE)</f>
        <v>Depósitos a plazo</v>
      </c>
      <c r="B6" s="213">
        <v>27294.733647999998</v>
      </c>
      <c r="C6" s="213">
        <v>23537.501437</v>
      </c>
      <c r="D6" s="213">
        <v>20774.126148</v>
      </c>
      <c r="E6" s="213">
        <v>18108.518429</v>
      </c>
      <c r="F6" s="213">
        <v>16447.146971</v>
      </c>
      <c r="G6" s="213">
        <v>16279.156135</v>
      </c>
      <c r="H6" s="213">
        <v>18389.480234</v>
      </c>
      <c r="I6" s="213">
        <v>0</v>
      </c>
      <c r="L6" s="212"/>
    </row>
    <row r="7" spans="1:12" ht="15">
      <c r="A7" s="212" t="str">
        <f>HLOOKUP(INDICE!$F$2,Nombres!$C$3:$D$636,116,FALSE)</f>
        <v>Recursos fuera de balance (*)</v>
      </c>
      <c r="B7" s="213">
        <v>85953.18231096</v>
      </c>
      <c r="C7" s="213">
        <v>88987.55831479999</v>
      </c>
      <c r="D7" s="213">
        <v>89922.14088796</v>
      </c>
      <c r="E7" s="213">
        <v>94095.01092594</v>
      </c>
      <c r="F7" s="213">
        <v>90827.85125446998</v>
      </c>
      <c r="G7" s="213">
        <v>86828.40831213</v>
      </c>
      <c r="H7" s="213">
        <v>85180.62565222</v>
      </c>
      <c r="I7" s="213">
        <v>0</v>
      </c>
      <c r="L7" s="212"/>
    </row>
    <row r="8" spans="1:12" ht="15">
      <c r="A8" s="214" t="str">
        <f>HLOOKUP(INDICE!$F$2,Nombres!$C$3:$D$636,208,FALSE)</f>
        <v> Recursos de clientes en gestión (**)</v>
      </c>
      <c r="B8" s="214">
        <v>281958.03039096005</v>
      </c>
      <c r="C8" s="214">
        <v>288568.2766058001</v>
      </c>
      <c r="D8" s="214">
        <v>289521.6606779601</v>
      </c>
      <c r="E8" s="214">
        <v>300003.23063594</v>
      </c>
      <c r="F8" s="214">
        <v>296754.81488846993</v>
      </c>
      <c r="G8" s="214">
        <v>297361.10541212995</v>
      </c>
      <c r="H8" s="214">
        <v>297479.34552622</v>
      </c>
      <c r="I8" s="214">
        <v>0</v>
      </c>
      <c r="L8" s="214"/>
    </row>
    <row r="9" spans="1:12" ht="15.75">
      <c r="A9" s="212" t="str">
        <f>HLOOKUP(INDICE!$F$2,Nombres!$C$3:$D$636,118,FALSE)</f>
        <v>Vista+Plazo</v>
      </c>
      <c r="B9" s="218">
        <f>+B5+B6</f>
        <v>196004.84808</v>
      </c>
      <c r="C9" s="218">
        <f aca="true" t="shared" si="0" ref="C9:I9">+C5+C6</f>
        <v>199580.718291</v>
      </c>
      <c r="D9" s="218">
        <f t="shared" si="0"/>
        <v>199599.51979000002</v>
      </c>
      <c r="E9" s="218">
        <f t="shared" si="0"/>
        <v>205908.21970999998</v>
      </c>
      <c r="F9" s="218">
        <f t="shared" si="0"/>
        <v>205926.96363399999</v>
      </c>
      <c r="G9" s="254">
        <f t="shared" si="0"/>
        <v>210532.6971</v>
      </c>
      <c r="H9" s="254">
        <f t="shared" si="0"/>
        <v>212298.719874</v>
      </c>
      <c r="I9" s="254">
        <f t="shared" si="0"/>
        <v>0</v>
      </c>
      <c r="L9" s="207"/>
    </row>
    <row r="10" spans="1:9" ht="15.75">
      <c r="A10" s="207"/>
      <c r="B10" s="216">
        <f>+B5+B6+B7-B8</f>
        <v>0</v>
      </c>
      <c r="C10" s="216">
        <f aca="true" t="shared" si="1" ref="C10:I10">+C5+C6+C7-C8</f>
        <v>0</v>
      </c>
      <c r="D10" s="216">
        <f t="shared" si="1"/>
        <v>0</v>
      </c>
      <c r="E10" s="216">
        <f t="shared" si="1"/>
        <v>0</v>
      </c>
      <c r="F10" s="216">
        <f t="shared" si="1"/>
        <v>0</v>
      </c>
      <c r="G10" s="216">
        <f t="shared" si="1"/>
        <v>0</v>
      </c>
      <c r="H10" s="216">
        <f t="shared" si="1"/>
        <v>0</v>
      </c>
      <c r="I10" s="216">
        <f t="shared" si="1"/>
        <v>0</v>
      </c>
    </row>
    <row r="11" spans="1:9" ht="15.75">
      <c r="A11" s="207"/>
      <c r="B11" s="226"/>
      <c r="C11" s="218"/>
      <c r="D11" s="218"/>
      <c r="E11" s="218"/>
      <c r="F11" s="218"/>
      <c r="G11" s="218"/>
      <c r="H11" s="218"/>
      <c r="I11" s="218"/>
    </row>
    <row r="12" spans="1:12" ht="15.75" customHeight="1">
      <c r="A12" s="210"/>
      <c r="B12" s="320" t="str">
        <f>HLOOKUP(INDICE!$F$2,Nombres!$C$3:$D$636,204,FALSE)</f>
        <v>Mexico (***)</v>
      </c>
      <c r="C12" s="320"/>
      <c r="D12" s="320"/>
      <c r="E12" s="320"/>
      <c r="F12" s="320"/>
      <c r="G12" s="320"/>
      <c r="H12" s="320"/>
      <c r="I12" s="320"/>
      <c r="L12" s="225"/>
    </row>
    <row r="13" spans="1:9" ht="15.75">
      <c r="A13" s="211"/>
      <c r="B13" s="119">
        <f>+B$4</f>
        <v>44286</v>
      </c>
      <c r="C13" s="119">
        <f aca="true" t="shared" si="2" ref="C13:I13">+C$4</f>
        <v>44377</v>
      </c>
      <c r="D13" s="119">
        <f t="shared" si="2"/>
        <v>44469</v>
      </c>
      <c r="E13" s="119">
        <f t="shared" si="2"/>
        <v>44561</v>
      </c>
      <c r="F13" s="119">
        <f t="shared" si="2"/>
        <v>44651</v>
      </c>
      <c r="G13" s="119">
        <f t="shared" si="2"/>
        <v>44742</v>
      </c>
      <c r="H13" s="119">
        <f t="shared" si="2"/>
        <v>44834</v>
      </c>
      <c r="I13" s="119">
        <f t="shared" si="2"/>
        <v>44926</v>
      </c>
    </row>
    <row r="14" spans="1:12" ht="15">
      <c r="A14" s="212" t="str">
        <f>HLOOKUP(INDICE!$F$2,Nombres!$C$3:$D$636,114,FALSE)</f>
        <v>Depósitos a la vista + Disponibles con preaviso</v>
      </c>
      <c r="B14" s="213">
        <v>56614.131132513605</v>
      </c>
      <c r="C14" s="213">
        <v>57461.711794229625</v>
      </c>
      <c r="D14" s="213">
        <v>58431.50285670443</v>
      </c>
      <c r="E14" s="213">
        <v>63116.302515309115</v>
      </c>
      <c r="F14" s="213">
        <v>66111.8001778711</v>
      </c>
      <c r="G14" s="213">
        <v>65077.713269821645</v>
      </c>
      <c r="H14" s="213">
        <v>63435.83010781284</v>
      </c>
      <c r="I14" s="213">
        <v>0</v>
      </c>
      <c r="J14" s="213"/>
      <c r="L14" s="212"/>
    </row>
    <row r="15" spans="1:12" ht="15">
      <c r="A15" s="212" t="str">
        <f>HLOOKUP(INDICE!$F$2,Nombres!$C$3:$D$636,115,FALSE)</f>
        <v>Depósitos a plazo</v>
      </c>
      <c r="B15" s="213">
        <v>12035.974660457618</v>
      </c>
      <c r="C15" s="213">
        <v>11313.670193137472</v>
      </c>
      <c r="D15" s="213">
        <v>11510.030565517663</v>
      </c>
      <c r="E15" s="213">
        <v>11255.034547973832</v>
      </c>
      <c r="F15" s="213">
        <v>11443.093690567795</v>
      </c>
      <c r="G15" s="213">
        <v>11998.685996060869</v>
      </c>
      <c r="H15" s="213">
        <v>12271.522051380447</v>
      </c>
      <c r="I15" s="213">
        <v>0</v>
      </c>
      <c r="J15" s="213"/>
      <c r="L15" s="212"/>
    </row>
    <row r="16" spans="1:12" ht="15">
      <c r="A16" s="212" t="str">
        <f>HLOOKUP(INDICE!$F$2,Nombres!$C$3:$D$636,116,FALSE)</f>
        <v>Recursos fuera de balance (*)</v>
      </c>
      <c r="B16" s="213">
        <v>36141.888008659014</v>
      </c>
      <c r="C16" s="213">
        <v>36944.98934520073</v>
      </c>
      <c r="D16" s="213">
        <v>37505.904044488016</v>
      </c>
      <c r="E16" s="213">
        <v>38157.738518250175</v>
      </c>
      <c r="F16" s="213">
        <v>38731.79067724497</v>
      </c>
      <c r="G16" s="213">
        <v>39397.775269643425</v>
      </c>
      <c r="H16" s="213">
        <v>40251.27565939</v>
      </c>
      <c r="I16" s="213">
        <v>0</v>
      </c>
      <c r="J16" s="213"/>
      <c r="L16" s="212"/>
    </row>
    <row r="17" spans="1:12" ht="15">
      <c r="A17" s="214" t="str">
        <f>HLOOKUP(INDICE!$F$2,Nombres!$C$3:$D$636,208,FALSE)</f>
        <v> Recursos de clientes en gestión (**)</v>
      </c>
      <c r="B17" s="214">
        <v>104791.99380163025</v>
      </c>
      <c r="C17" s="214">
        <v>105720.37133256784</v>
      </c>
      <c r="D17" s="214">
        <v>107447.43746671011</v>
      </c>
      <c r="E17" s="214">
        <v>112529.07558153312</v>
      </c>
      <c r="F17" s="214">
        <v>116286.6845456839</v>
      </c>
      <c r="G17" s="214">
        <v>116474.17453552595</v>
      </c>
      <c r="H17" s="214">
        <v>115958.62781858329</v>
      </c>
      <c r="I17" s="214">
        <v>0</v>
      </c>
      <c r="J17" s="213"/>
      <c r="L17" s="212"/>
    </row>
    <row r="18" spans="1:12" ht="15.75">
      <c r="A18" s="212" t="str">
        <f>HLOOKUP(INDICE!$F$2,Nombres!$C$3:$D$636,118,FALSE)</f>
        <v>Vista+Plazo</v>
      </c>
      <c r="B18" s="218">
        <f>+B14+B15</f>
        <v>68650.10579297123</v>
      </c>
      <c r="C18" s="218">
        <f aca="true" t="shared" si="3" ref="C18:I18">+C14+C15</f>
        <v>68775.3819873671</v>
      </c>
      <c r="D18" s="218">
        <f t="shared" si="3"/>
        <v>69941.5334222221</v>
      </c>
      <c r="E18" s="218">
        <f t="shared" si="3"/>
        <v>74371.33706328295</v>
      </c>
      <c r="F18" s="218">
        <f t="shared" si="3"/>
        <v>77554.8938684389</v>
      </c>
      <c r="G18" s="254">
        <f t="shared" si="3"/>
        <v>77076.39926588252</v>
      </c>
      <c r="H18" s="254">
        <f t="shared" si="3"/>
        <v>75707.3521591933</v>
      </c>
      <c r="I18" s="254">
        <f t="shared" si="3"/>
        <v>0</v>
      </c>
      <c r="J18" s="214"/>
      <c r="L18" s="214"/>
    </row>
    <row r="19" spans="1:9" ht="15.75">
      <c r="A19" s="222" t="str">
        <f>HLOOKUP(INDICE!$F$2,Nombres!$C$3:$D$636,205,FALSE)</f>
        <v>Criterio Local Contable(***) </v>
      </c>
      <c r="B19" s="216">
        <f>+B14+B15+B16-B17</f>
        <v>0</v>
      </c>
      <c r="C19" s="216">
        <f aca="true" t="shared" si="4" ref="C19:I19">+C14+C15+C16-C17</f>
        <v>0</v>
      </c>
      <c r="D19" s="216">
        <f t="shared" si="4"/>
        <v>0</v>
      </c>
      <c r="E19" s="216">
        <f t="shared" si="4"/>
        <v>0</v>
      </c>
      <c r="F19" s="216">
        <f t="shared" si="4"/>
        <v>0</v>
      </c>
      <c r="G19" s="216">
        <f t="shared" si="4"/>
        <v>0</v>
      </c>
      <c r="H19" s="216">
        <f t="shared" si="4"/>
        <v>0</v>
      </c>
      <c r="I19" s="216">
        <f t="shared" si="4"/>
        <v>0</v>
      </c>
    </row>
    <row r="20" spans="1:12" ht="15.75">
      <c r="A20" s="207"/>
      <c r="B20" s="218"/>
      <c r="C20" s="218"/>
      <c r="D20" s="218"/>
      <c r="E20" s="218"/>
      <c r="F20" s="218"/>
      <c r="L20" s="225"/>
    </row>
    <row r="21" spans="1:12" ht="15.75" customHeight="1">
      <c r="A21" s="210"/>
      <c r="B21" s="320" t="str">
        <f>HLOOKUP(INDICE!$F$2,Nombres!$C$3:$D$636,12,FALSE)</f>
        <v>Turquía </v>
      </c>
      <c r="C21" s="320"/>
      <c r="D21" s="320"/>
      <c r="E21" s="320"/>
      <c r="F21" s="320"/>
      <c r="G21" s="320"/>
      <c r="H21" s="320"/>
      <c r="I21" s="320"/>
      <c r="L21" s="225"/>
    </row>
    <row r="22" spans="1:9" ht="15.75">
      <c r="A22" s="211"/>
      <c r="B22" s="119">
        <f>+B$4</f>
        <v>44286</v>
      </c>
      <c r="C22" s="119">
        <f aca="true" t="shared" si="5" ref="C22:I22">+C$4</f>
        <v>44377</v>
      </c>
      <c r="D22" s="119">
        <f t="shared" si="5"/>
        <v>44469</v>
      </c>
      <c r="E22" s="119">
        <f t="shared" si="5"/>
        <v>44561</v>
      </c>
      <c r="F22" s="119">
        <f t="shared" si="5"/>
        <v>44651</v>
      </c>
      <c r="G22" s="119">
        <f t="shared" si="5"/>
        <v>44742</v>
      </c>
      <c r="H22" s="119">
        <f t="shared" si="5"/>
        <v>44834</v>
      </c>
      <c r="I22" s="119">
        <f t="shared" si="5"/>
        <v>44926</v>
      </c>
    </row>
    <row r="23" spans="1:12" ht="15">
      <c r="A23" s="212" t="str">
        <f>HLOOKUP(INDICE!$F$2,Nombres!$C$3:$D$636,114,FALSE)</f>
        <v>Depósitos a la vista + Disponibles con preaviso</v>
      </c>
      <c r="B23" s="213">
        <v>10243.493326968093</v>
      </c>
      <c r="C23" s="213">
        <v>11488.987849393521</v>
      </c>
      <c r="D23" s="213">
        <v>11943.224336489338</v>
      </c>
      <c r="E23" s="213">
        <v>18621.353878964</v>
      </c>
      <c r="F23" s="213">
        <v>19850.214438682597</v>
      </c>
      <c r="G23" s="213">
        <v>22371.363814151508</v>
      </c>
      <c r="H23" s="213">
        <v>25796.243</v>
      </c>
      <c r="I23" s="213">
        <v>0</v>
      </c>
      <c r="L23" s="212"/>
    </row>
    <row r="24" spans="1:12" ht="15">
      <c r="A24" s="212" t="str">
        <f>HLOOKUP(INDICE!$F$2,Nombres!$C$3:$D$636,115,FALSE)</f>
        <v>Depósitos a plazo</v>
      </c>
      <c r="B24" s="213">
        <v>10238.240436307258</v>
      </c>
      <c r="C24" s="213">
        <v>11257.91892193878</v>
      </c>
      <c r="D24" s="213">
        <v>11563.672204081073</v>
      </c>
      <c r="E24" s="213">
        <v>13670.806275228018</v>
      </c>
      <c r="F24" s="213">
        <v>16303.882661682568</v>
      </c>
      <c r="G24" s="213">
        <v>18516.629013087953</v>
      </c>
      <c r="H24" s="213">
        <v>21399.141000000003</v>
      </c>
      <c r="I24" s="213">
        <v>0</v>
      </c>
      <c r="L24" s="212"/>
    </row>
    <row r="25" spans="1:12" ht="15">
      <c r="A25" s="212" t="str">
        <f>HLOOKUP(INDICE!$F$2,Nombres!$C$3:$D$636,116,FALSE)</f>
        <v>Recursos fuera de balance (*)</v>
      </c>
      <c r="B25" s="213">
        <v>1971.846315263163</v>
      </c>
      <c r="C25" s="213">
        <v>2245.9950428745146</v>
      </c>
      <c r="D25" s="213">
        <v>2599.4910917652887</v>
      </c>
      <c r="E25" s="213">
        <v>3280.781094081778</v>
      </c>
      <c r="F25" s="213">
        <v>3981.0372510335164</v>
      </c>
      <c r="G25" s="213">
        <v>4717.517738781247</v>
      </c>
      <c r="H25" s="213">
        <v>5570.5</v>
      </c>
      <c r="I25" s="213">
        <v>0</v>
      </c>
      <c r="L25" s="212"/>
    </row>
    <row r="26" spans="1:12" ht="15">
      <c r="A26" s="214" t="str">
        <f>HLOOKUP(INDICE!$F$2,Nombres!$C$3:$D$636,208,FALSE)</f>
        <v> Recursos de clientes en gestión (**)</v>
      </c>
      <c r="B26" s="214">
        <v>22453.580078538518</v>
      </c>
      <c r="C26" s="214">
        <v>24992.901814206813</v>
      </c>
      <c r="D26" s="214">
        <v>26106.387632335693</v>
      </c>
      <c r="E26" s="214">
        <v>35572.9412482738</v>
      </c>
      <c r="F26" s="214">
        <v>40135.13435139869</v>
      </c>
      <c r="G26" s="214">
        <v>45605.510566020705</v>
      </c>
      <c r="H26" s="214">
        <v>52765.884</v>
      </c>
      <c r="I26" s="214">
        <v>0</v>
      </c>
      <c r="L26" s="214"/>
    </row>
    <row r="27" spans="1:9" ht="15.75">
      <c r="A27" s="212" t="str">
        <f>HLOOKUP(INDICE!$F$2,Nombres!$C$3:$D$636,118,FALSE)</f>
        <v>Vista+Plazo</v>
      </c>
      <c r="B27" s="218">
        <f>+B23+B24</f>
        <v>20481.73376327535</v>
      </c>
      <c r="C27" s="218">
        <f aca="true" t="shared" si="6" ref="C27:I27">+C23+C24</f>
        <v>22746.906771332302</v>
      </c>
      <c r="D27" s="218">
        <f t="shared" si="6"/>
        <v>23506.89654057041</v>
      </c>
      <c r="E27" s="218">
        <f t="shared" si="6"/>
        <v>32292.160154192017</v>
      </c>
      <c r="F27" s="218">
        <f>+F23+F24</f>
        <v>36154.097100365165</v>
      </c>
      <c r="G27" s="254">
        <f t="shared" si="6"/>
        <v>40887.99282723946</v>
      </c>
      <c r="H27" s="254">
        <f t="shared" si="6"/>
        <v>47195.384000000005</v>
      </c>
      <c r="I27" s="254">
        <f t="shared" si="6"/>
        <v>0</v>
      </c>
    </row>
    <row r="28" spans="1:9" ht="15.75">
      <c r="A28" s="207"/>
      <c r="B28" s="216">
        <f>+B23+B24+B25-B26</f>
        <v>0</v>
      </c>
      <c r="C28" s="216">
        <f aca="true" t="shared" si="7" ref="C28:I28">+C23+C24+C25-C26</f>
        <v>0</v>
      </c>
      <c r="D28" s="216">
        <f t="shared" si="7"/>
        <v>0</v>
      </c>
      <c r="E28" s="216">
        <f t="shared" si="7"/>
        <v>0</v>
      </c>
      <c r="F28" s="216">
        <f t="shared" si="7"/>
        <v>0</v>
      </c>
      <c r="G28" s="216">
        <f t="shared" si="7"/>
        <v>0</v>
      </c>
      <c r="H28" s="216">
        <f t="shared" si="7"/>
        <v>0</v>
      </c>
      <c r="I28" s="216">
        <f t="shared" si="7"/>
        <v>0</v>
      </c>
    </row>
    <row r="29" spans="1:9" ht="15">
      <c r="A29" s="214"/>
      <c r="B29" s="214"/>
      <c r="C29" s="214"/>
      <c r="D29" s="214"/>
      <c r="E29" s="214"/>
      <c r="F29" s="214"/>
      <c r="G29" s="214"/>
      <c r="H29" s="214"/>
      <c r="I29" s="214"/>
    </row>
    <row r="30" spans="1:12" ht="15.75" customHeight="1">
      <c r="A30" s="210"/>
      <c r="B30" s="320" t="str">
        <f>HLOOKUP(INDICE!$F$2,Nombres!$C$3:$D$636,296,FALSE)</f>
        <v>Turquia solo Banco</v>
      </c>
      <c r="C30" s="320"/>
      <c r="D30" s="320"/>
      <c r="E30" s="320"/>
      <c r="F30" s="320"/>
      <c r="G30" s="320"/>
      <c r="H30" s="320"/>
      <c r="I30" s="320"/>
      <c r="L30" s="225"/>
    </row>
    <row r="31" spans="1:9" ht="15.75">
      <c r="A31" s="211"/>
      <c r="B31" s="119">
        <f>+B$4</f>
        <v>44286</v>
      </c>
      <c r="C31" s="119">
        <f aca="true" t="shared" si="8" ref="C31:I31">+C$4</f>
        <v>44377</v>
      </c>
      <c r="D31" s="119">
        <f t="shared" si="8"/>
        <v>44469</v>
      </c>
      <c r="E31" s="119">
        <f t="shared" si="8"/>
        <v>44561</v>
      </c>
      <c r="F31" s="119">
        <f t="shared" si="8"/>
        <v>44651</v>
      </c>
      <c r="G31" s="119">
        <f t="shared" si="8"/>
        <v>44742</v>
      </c>
      <c r="H31" s="119">
        <f t="shared" si="8"/>
        <v>44834</v>
      </c>
      <c r="I31" s="119">
        <f t="shared" si="8"/>
        <v>44926</v>
      </c>
    </row>
    <row r="32" spans="1:9" ht="15">
      <c r="A32" s="212" t="str">
        <f>HLOOKUP(INDICE!$F$2,Nombres!$C$3:$D$636,289,FALSE)</f>
        <v>Depósitos Vista TL</v>
      </c>
      <c r="B32" s="213">
        <v>2186.150832918422</v>
      </c>
      <c r="C32" s="213">
        <v>2438.7877767536133</v>
      </c>
      <c r="D32" s="213">
        <v>2579.0000738919816</v>
      </c>
      <c r="E32" s="213">
        <v>2815.9820674465427</v>
      </c>
      <c r="F32" s="213">
        <v>3318.601576031431</v>
      </c>
      <c r="G32" s="213">
        <v>4096.529415735367</v>
      </c>
      <c r="H32" s="213">
        <v>5007.441493584971</v>
      </c>
      <c r="I32" s="213">
        <v>0</v>
      </c>
    </row>
    <row r="33" spans="1:9" ht="15">
      <c r="A33" s="212" t="str">
        <f>HLOOKUP(INDICE!$F$2,Nombres!$C$3:$D$636,290,FALSE)</f>
        <v>Depósitos Plazo TL</v>
      </c>
      <c r="B33" s="213">
        <v>5781.7588496557755</v>
      </c>
      <c r="C33" s="213">
        <v>6654.116356661376</v>
      </c>
      <c r="D33" s="213">
        <v>6846.80317511184</v>
      </c>
      <c r="E33" s="213">
        <v>6989.11222171189</v>
      </c>
      <c r="F33" s="213">
        <v>9276.188928792699</v>
      </c>
      <c r="G33" s="213">
        <v>10573.31749987005</v>
      </c>
      <c r="H33" s="213">
        <v>13126.335179468153</v>
      </c>
      <c r="I33" s="213">
        <v>0</v>
      </c>
    </row>
    <row r="34" spans="1:9" ht="15">
      <c r="A34" s="214" t="str">
        <f>HLOOKUP(INDICE!$F$2,Nombres!$C$3:$D$636,291,FALSE)</f>
        <v>Total Depósitos TL</v>
      </c>
      <c r="B34" s="214">
        <v>7967.909682574197</v>
      </c>
      <c r="C34" s="214">
        <v>9092.904133414988</v>
      </c>
      <c r="D34" s="214">
        <v>9425.80324900382</v>
      </c>
      <c r="E34" s="214">
        <v>9805.094289158433</v>
      </c>
      <c r="F34" s="214">
        <v>12594.79050482413</v>
      </c>
      <c r="G34" s="214">
        <v>14669.84691560542</v>
      </c>
      <c r="H34" s="214">
        <v>18133.776673053122</v>
      </c>
      <c r="I34" s="214">
        <v>0</v>
      </c>
    </row>
    <row r="35" spans="1:9" ht="15">
      <c r="A35" s="212" t="str">
        <f>HLOOKUP(INDICE!$F$2,Nombres!$C$3:$D$636,292,FALSE)</f>
        <v>Depósitos Vista FC</v>
      </c>
      <c r="B35" s="213">
        <v>12852.748625103704</v>
      </c>
      <c r="C35" s="213">
        <v>13263.612107216997</v>
      </c>
      <c r="D35" s="213">
        <v>14190.223539015204</v>
      </c>
      <c r="E35" s="213">
        <v>16301.390672436115</v>
      </c>
      <c r="F35" s="213">
        <v>15760.525627049783</v>
      </c>
      <c r="G35" s="213">
        <v>15173.79908914982</v>
      </c>
      <c r="H35" s="213">
        <v>14988.926246857727</v>
      </c>
      <c r="I35" s="213">
        <v>0</v>
      </c>
    </row>
    <row r="36" spans="1:9" ht="15">
      <c r="A36" s="212" t="str">
        <f>HLOOKUP(INDICE!$F$2,Nombres!$C$3:$D$636,293,FALSE)</f>
        <v>Depósitos Plazo FC</v>
      </c>
      <c r="B36" s="213">
        <v>10260.157327162973</v>
      </c>
      <c r="C36" s="213">
        <v>10590.276485838496</v>
      </c>
      <c r="D36" s="213">
        <v>10031.908674285987</v>
      </c>
      <c r="E36" s="213">
        <v>9661.228916977654</v>
      </c>
      <c r="F36" s="213">
        <v>8367.923106981954</v>
      </c>
      <c r="G36" s="213">
        <v>7895.528821658769</v>
      </c>
      <c r="H36" s="213">
        <v>8177.666878754013</v>
      </c>
      <c r="I36" s="213">
        <v>0</v>
      </c>
    </row>
    <row r="37" spans="1:9" ht="15">
      <c r="A37" s="214" t="str">
        <f>HLOOKUP(INDICE!$F$2,Nombres!$C$3:$D$636,294,FALSE)</f>
        <v>Total Depósitos FC</v>
      </c>
      <c r="B37" s="214">
        <v>23112.90595226668</v>
      </c>
      <c r="C37" s="214">
        <v>23853.888593055497</v>
      </c>
      <c r="D37" s="214">
        <v>24222.132213301193</v>
      </c>
      <c r="E37" s="214">
        <v>25962.61958941377</v>
      </c>
      <c r="F37" s="214">
        <v>24128.448734031736</v>
      </c>
      <c r="G37" s="214">
        <v>23069.327910808588</v>
      </c>
      <c r="H37" s="214">
        <v>23166.59312561174</v>
      </c>
      <c r="I37" s="214">
        <v>0</v>
      </c>
    </row>
    <row r="38" spans="1:9" ht="15">
      <c r="A38" s="222" t="str">
        <f>HLOOKUP(INDICE!$F$2,Nombres!$C$3:$D$636,295,FALSE)</f>
        <v>(TL Lira Turca FC Moneda Extranjera)</v>
      </c>
      <c r="B38" s="214"/>
      <c r="C38" s="214"/>
      <c r="D38" s="214"/>
      <c r="E38" s="214"/>
      <c r="F38" s="214"/>
      <c r="G38" s="214"/>
      <c r="H38" s="214"/>
      <c r="I38" s="214"/>
    </row>
    <row r="39" spans="1:9" ht="15.75" customHeight="1">
      <c r="A39" s="214"/>
      <c r="B39" s="214"/>
      <c r="C39" s="214"/>
      <c r="D39" s="214"/>
      <c r="E39" s="214"/>
      <c r="F39" s="214"/>
      <c r="G39" s="214"/>
      <c r="H39" s="214"/>
      <c r="I39" s="214"/>
    </row>
    <row r="40" spans="1:12" ht="15.75" customHeight="1">
      <c r="A40" s="210"/>
      <c r="B40" s="320" t="str">
        <f>HLOOKUP(INDICE!$F$2,Nombres!$C$3:$D$636,283,FALSE)</f>
        <v>América del Sur </v>
      </c>
      <c r="C40" s="320"/>
      <c r="D40" s="320"/>
      <c r="E40" s="320"/>
      <c r="F40" s="320"/>
      <c r="G40" s="320"/>
      <c r="H40" s="320"/>
      <c r="I40" s="320"/>
      <c r="L40" s="225"/>
    </row>
    <row r="41" spans="1:9" ht="15.75">
      <c r="A41" s="211"/>
      <c r="B41" s="119">
        <f>+B$4</f>
        <v>44286</v>
      </c>
      <c r="C41" s="119">
        <f aca="true" t="shared" si="9" ref="C41:I41">+C$4</f>
        <v>44377</v>
      </c>
      <c r="D41" s="119">
        <f t="shared" si="9"/>
        <v>44469</v>
      </c>
      <c r="E41" s="119">
        <f t="shared" si="9"/>
        <v>44561</v>
      </c>
      <c r="F41" s="119">
        <f t="shared" si="9"/>
        <v>44651</v>
      </c>
      <c r="G41" s="119">
        <f t="shared" si="9"/>
        <v>44742</v>
      </c>
      <c r="H41" s="119">
        <f t="shared" si="9"/>
        <v>44834</v>
      </c>
      <c r="I41" s="119">
        <f t="shared" si="9"/>
        <v>44926</v>
      </c>
    </row>
    <row r="42" spans="1:12" ht="15">
      <c r="A42" s="212" t="s">
        <v>7</v>
      </c>
      <c r="B42" s="213">
        <v>4536.800931462393</v>
      </c>
      <c r="C42" s="213">
        <v>5311.020239657231</v>
      </c>
      <c r="D42" s="213">
        <v>5730.301351440704</v>
      </c>
      <c r="E42" s="213">
        <v>6329.686274058474</v>
      </c>
      <c r="F42" s="213">
        <v>7258.100643690242</v>
      </c>
      <c r="G42" s="213">
        <v>8585.680638176975</v>
      </c>
      <c r="H42" s="213">
        <v>9748.05307779</v>
      </c>
      <c r="I42" s="213">
        <v>0</v>
      </c>
      <c r="L42" s="212"/>
    </row>
    <row r="43" spans="1:12" ht="15">
      <c r="A43" s="212" t="s">
        <v>8</v>
      </c>
      <c r="B43" s="213">
        <v>4.822277688921418</v>
      </c>
      <c r="C43" s="213">
        <v>6.668220653548224</v>
      </c>
      <c r="D43" s="213">
        <v>6.307217027796894</v>
      </c>
      <c r="E43" s="213">
        <v>7.622829565517145</v>
      </c>
      <c r="F43" s="213">
        <v>14.363999227486858</v>
      </c>
      <c r="G43" s="213">
        <v>11.029624791525064</v>
      </c>
      <c r="H43" s="213">
        <v>8.888</v>
      </c>
      <c r="I43" s="213">
        <v>0</v>
      </c>
      <c r="L43" s="212"/>
    </row>
    <row r="44" spans="1:12" ht="15">
      <c r="A44" s="212" t="s">
        <v>9</v>
      </c>
      <c r="B44" s="213">
        <v>13059.870466143842</v>
      </c>
      <c r="C44" s="213">
        <v>13589.424212148742</v>
      </c>
      <c r="D44" s="213">
        <v>13601.635461985237</v>
      </c>
      <c r="E44" s="213">
        <v>15502.624213464538</v>
      </c>
      <c r="F44" s="213">
        <v>15094.16791681833</v>
      </c>
      <c r="G44" s="213">
        <v>17079.718953010073</v>
      </c>
      <c r="H44" s="213">
        <v>16808.929942459996</v>
      </c>
      <c r="I44" s="213">
        <v>0</v>
      </c>
      <c r="L44" s="212"/>
    </row>
    <row r="45" spans="1:12" ht="15">
      <c r="A45" s="212" t="s">
        <v>10</v>
      </c>
      <c r="B45" s="213">
        <v>20083.079774308368</v>
      </c>
      <c r="C45" s="213">
        <v>19390.727614837742</v>
      </c>
      <c r="D45" s="213">
        <v>19634.632959646035</v>
      </c>
      <c r="E45" s="213">
        <v>18131.40826715091</v>
      </c>
      <c r="F45" s="213">
        <v>17557.538098582947</v>
      </c>
      <c r="G45" s="213">
        <v>17837.02970519204</v>
      </c>
      <c r="H45" s="213">
        <v>19713.992900870002</v>
      </c>
      <c r="I45" s="213">
        <v>0</v>
      </c>
      <c r="L45" s="212"/>
    </row>
    <row r="46" spans="1:12" ht="15">
      <c r="A46" s="212" t="s">
        <v>11</v>
      </c>
      <c r="B46" s="213">
        <f aca="true" t="shared" si="10" ref="B46:I46">+B47-B45-B44-B43-B42</f>
        <v>15724.870571581363</v>
      </c>
      <c r="C46" s="213">
        <f t="shared" si="10"/>
        <v>16179.501579607091</v>
      </c>
      <c r="D46" s="213">
        <f t="shared" si="10"/>
        <v>16272.168492700785</v>
      </c>
      <c r="E46" s="213">
        <f t="shared" si="10"/>
        <v>16477.331850927727</v>
      </c>
      <c r="F46" s="213">
        <f t="shared" si="10"/>
        <v>16815.909671802157</v>
      </c>
      <c r="G46" s="213">
        <f t="shared" si="10"/>
        <v>16977.97039098285</v>
      </c>
      <c r="H46" s="213">
        <f t="shared" si="10"/>
        <v>17273.411463460012</v>
      </c>
      <c r="I46" s="213">
        <f t="shared" si="10"/>
        <v>0</v>
      </c>
      <c r="L46" s="212"/>
    </row>
    <row r="47" spans="1:12" ht="15">
      <c r="A47" s="214" t="str">
        <f>HLOOKUP(INDICE!$F$2,Nombres!$C$3:$D$636,208,FALSE)</f>
        <v> Recursos de clientes en gestión (**)</v>
      </c>
      <c r="B47" s="214">
        <v>53409.444021184885</v>
      </c>
      <c r="C47" s="214">
        <v>54477.34186690435</v>
      </c>
      <c r="D47" s="214">
        <v>55245.04548280055</v>
      </c>
      <c r="E47" s="214">
        <v>56448.67343516716</v>
      </c>
      <c r="F47" s="214">
        <v>56740.08033012116</v>
      </c>
      <c r="G47" s="214">
        <v>60491.429312153465</v>
      </c>
      <c r="H47" s="214">
        <v>63553.27538458001</v>
      </c>
      <c r="I47" s="214">
        <v>0</v>
      </c>
      <c r="L47" s="214"/>
    </row>
    <row r="48" spans="1:9" ht="15.75">
      <c r="A48" s="207"/>
      <c r="B48" s="216">
        <f>+B42+B43+B44+B45+B46-B47</f>
        <v>0</v>
      </c>
      <c r="C48" s="216">
        <f aca="true" t="shared" si="11" ref="C48:I48">+C42+C43+C44+C45+C46-C47</f>
        <v>0</v>
      </c>
      <c r="D48" s="216">
        <f t="shared" si="11"/>
        <v>0</v>
      </c>
      <c r="E48" s="216">
        <f t="shared" si="11"/>
        <v>0</v>
      </c>
      <c r="F48" s="216">
        <f t="shared" si="11"/>
        <v>0</v>
      </c>
      <c r="G48" s="216">
        <f t="shared" si="11"/>
        <v>0</v>
      </c>
      <c r="H48" s="216">
        <f t="shared" si="11"/>
        <v>0</v>
      </c>
      <c r="I48" s="216">
        <f t="shared" si="11"/>
        <v>0</v>
      </c>
    </row>
    <row r="51" ht="15">
      <c r="A51" s="224" t="str">
        <f>HLOOKUP(INDICE!$F$2,Nombres!$C$3:$D$636,206,FALSE)</f>
        <v>Incluye fondos de inversión, carteras gestionadas , fondos de pensiones y otros recursos fuera de balance.(*)</v>
      </c>
    </row>
    <row r="52" ht="15">
      <c r="A52" s="224" t="str">
        <f>HLOOKUP(INDICE!$F$2,Nombres!$C$3:$D$636,207,FALSE)</f>
        <v>No incluye las cesiones temporales de activos.  (**)</v>
      </c>
    </row>
    <row r="53" ht="15">
      <c r="A53" s="224"/>
    </row>
    <row r="1001" ht="15">
      <c r="A1001" s="206" t="s">
        <v>392</v>
      </c>
    </row>
  </sheetData>
  <sheetProtection/>
  <mergeCells count="5">
    <mergeCell ref="B3:I3"/>
    <mergeCell ref="B12:I12"/>
    <mergeCell ref="B21:I21"/>
    <mergeCell ref="B30:I30"/>
    <mergeCell ref="B40:I40"/>
  </mergeCells>
  <conditionalFormatting sqref="B10:I10">
    <cfRule type="cellIs" priority="4" dxfId="131" operator="notBetween">
      <formula>0.5</formula>
      <formula>-0.5</formula>
    </cfRule>
  </conditionalFormatting>
  <conditionalFormatting sqref="B19:I19">
    <cfRule type="cellIs" priority="3" dxfId="131" operator="notBetween">
      <formula>0.5</formula>
      <formula>-0.5</formula>
    </cfRule>
  </conditionalFormatting>
  <conditionalFormatting sqref="B28:I28">
    <cfRule type="cellIs" priority="2" dxfId="131" operator="notBetween">
      <formula>0.5</formula>
      <formula>-0.5</formula>
    </cfRule>
  </conditionalFormatting>
  <conditionalFormatting sqref="B48:I48">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I997"/>
  <sheetViews>
    <sheetView showGridLines="0" zoomScalePageLayoutView="0" workbookViewId="0" topLeftCell="A1">
      <selection activeCell="A1" sqref="A1"/>
    </sheetView>
  </sheetViews>
  <sheetFormatPr defaultColWidth="11.421875" defaultRowHeight="15"/>
  <cols>
    <col min="1" max="1" width="33.7109375" style="0" customWidth="1"/>
    <col min="9" max="9" width="0" style="0" hidden="1" customWidth="1"/>
  </cols>
  <sheetData>
    <row r="1" spans="1:9" ht="18">
      <c r="A1" s="255" t="str">
        <f>HLOOKUP(INDICE!$F$2,Nombres!$C$3:$D$636,242,FALSE)</f>
        <v>Carteras Coap</v>
      </c>
      <c r="B1" s="204"/>
      <c r="C1" s="204"/>
      <c r="D1" s="204"/>
      <c r="E1" s="204"/>
      <c r="F1" s="204"/>
      <c r="G1" s="204"/>
      <c r="H1" s="204"/>
      <c r="I1" s="204"/>
    </row>
    <row r="2" spans="1:9" ht="15.75">
      <c r="A2" s="83" t="str">
        <f>HLOOKUP(INDICE!$F$2,Nombres!$C$3:$D$636,32,FALSE)</f>
        <v>(Millones de euros)</v>
      </c>
      <c r="B2" s="207"/>
      <c r="C2" s="207"/>
      <c r="D2" s="207"/>
      <c r="E2" s="207"/>
      <c r="F2" s="207"/>
      <c r="G2" s="206"/>
      <c r="H2" s="206"/>
      <c r="I2" s="206"/>
    </row>
    <row r="3" spans="1:9" ht="15.75">
      <c r="A3" s="209"/>
      <c r="B3" s="207"/>
      <c r="C3" s="207"/>
      <c r="D3" s="207"/>
      <c r="E3" s="207"/>
      <c r="F3" s="207"/>
      <c r="G3" s="206"/>
      <c r="H3" s="206"/>
      <c r="I3" s="206"/>
    </row>
    <row r="4" spans="1:9" ht="15.75" customHeight="1">
      <c r="A4" s="210"/>
      <c r="B4" s="321" t="str">
        <f>HLOOKUP(INDICE!$F$2,Nombres!$C$3:$D$636,239,FALSE)</f>
        <v>Total Cartera COAP</v>
      </c>
      <c r="C4" s="320"/>
      <c r="D4" s="320"/>
      <c r="E4" s="320"/>
      <c r="F4" s="320"/>
      <c r="G4" s="320"/>
      <c r="H4" s="320"/>
      <c r="I4" s="320"/>
    </row>
    <row r="5" spans="1:9" ht="15.75">
      <c r="A5" s="211"/>
      <c r="B5" s="119">
        <f>+España!B32</f>
        <v>44286</v>
      </c>
      <c r="C5" s="119">
        <f>+España!C32</f>
        <v>44377</v>
      </c>
      <c r="D5" s="119">
        <f>+España!D32</f>
        <v>44469</v>
      </c>
      <c r="E5" s="119">
        <f>+España!E32</f>
        <v>44561</v>
      </c>
      <c r="F5" s="119">
        <f>+España!F32</f>
        <v>44651</v>
      </c>
      <c r="G5" s="119">
        <f>+España!G32</f>
        <v>44742</v>
      </c>
      <c r="H5" s="119">
        <f>+España!H32</f>
        <v>44834</v>
      </c>
      <c r="I5" s="119">
        <f>+España!I32</f>
        <v>44926</v>
      </c>
    </row>
    <row r="6" spans="1:9" ht="15">
      <c r="A6" s="256" t="str">
        <f>HLOOKUP(INDICE!$F$2,Nombres!$C$3:$D$636,230,FALSE)</f>
        <v>Grupo BBVA</v>
      </c>
      <c r="B6" s="215">
        <v>47683</v>
      </c>
      <c r="C6" s="215">
        <v>48674</v>
      </c>
      <c r="D6" s="215">
        <v>47667</v>
      </c>
      <c r="E6" s="215">
        <v>45403</v>
      </c>
      <c r="F6" s="215">
        <v>51977</v>
      </c>
      <c r="G6" s="215">
        <v>54356</v>
      </c>
      <c r="H6" s="215">
        <v>57778</v>
      </c>
      <c r="I6" s="215">
        <v>0</v>
      </c>
    </row>
    <row r="7" spans="1:9" ht="15">
      <c r="A7" s="257" t="str">
        <f>HLOOKUP(INDICE!$F$2,Nombres!$C$3:$D$636,231,FALSE)</f>
        <v>Balance Euro</v>
      </c>
      <c r="B7" s="213">
        <v>26943</v>
      </c>
      <c r="C7" s="213">
        <v>28156</v>
      </c>
      <c r="D7" s="213">
        <v>26923</v>
      </c>
      <c r="E7" s="213">
        <v>25768</v>
      </c>
      <c r="F7" s="213">
        <v>28795</v>
      </c>
      <c r="G7" s="213">
        <v>29645</v>
      </c>
      <c r="H7" s="213">
        <v>29984</v>
      </c>
      <c r="I7" s="213">
        <v>0</v>
      </c>
    </row>
    <row r="8" spans="1:9" ht="15">
      <c r="A8" s="258" t="str">
        <f>HLOOKUP(INDICE!$F$2,Nombres!$C$3:$D$636,232,FALSE)</f>
        <v>España</v>
      </c>
      <c r="B8" s="213">
        <v>14739</v>
      </c>
      <c r="C8" s="213">
        <v>14642</v>
      </c>
      <c r="D8" s="213">
        <v>14628</v>
      </c>
      <c r="E8" s="213">
        <v>14616</v>
      </c>
      <c r="F8" s="213">
        <v>16867</v>
      </c>
      <c r="G8" s="213">
        <v>17694</v>
      </c>
      <c r="H8" s="213">
        <v>18161</v>
      </c>
      <c r="I8" s="213">
        <v>0</v>
      </c>
    </row>
    <row r="9" spans="1:9" ht="15">
      <c r="A9" s="258" t="str">
        <f>HLOOKUP(INDICE!$F$2,Nombres!$C$3:$D$636,233,FALSE)</f>
        <v>Italia</v>
      </c>
      <c r="B9" s="213">
        <v>7054</v>
      </c>
      <c r="C9" s="213">
        <v>8704</v>
      </c>
      <c r="D9" s="213">
        <v>8691</v>
      </c>
      <c r="E9" s="213">
        <v>8268</v>
      </c>
      <c r="F9" s="213">
        <v>8254</v>
      </c>
      <c r="G9" s="213">
        <v>8242</v>
      </c>
      <c r="H9" s="213">
        <v>7722</v>
      </c>
      <c r="I9" s="213">
        <v>0</v>
      </c>
    </row>
    <row r="10" spans="1:9" ht="15">
      <c r="A10" s="259" t="str">
        <f>HLOOKUP(INDICE!$F$2,Nombres!$C$3:$D$636,234,FALSE)</f>
        <v>Resto</v>
      </c>
      <c r="B10" s="260">
        <v>5150</v>
      </c>
      <c r="C10" s="260">
        <v>4810</v>
      </c>
      <c r="D10" s="260">
        <v>3604</v>
      </c>
      <c r="E10" s="260">
        <v>2883</v>
      </c>
      <c r="F10" s="260">
        <v>3674</v>
      </c>
      <c r="G10" s="260">
        <v>3709</v>
      </c>
      <c r="H10" s="260">
        <v>4100</v>
      </c>
      <c r="I10" s="260">
        <v>0</v>
      </c>
    </row>
    <row r="11" spans="1:9" ht="15">
      <c r="A11" s="257" t="str">
        <f>HLOOKUP(INDICE!$F$2,Nombres!$C$3:$D$636,236,FALSE)</f>
        <v>Turquia</v>
      </c>
      <c r="B11" s="213">
        <v>6718</v>
      </c>
      <c r="C11" s="213">
        <v>6602</v>
      </c>
      <c r="D11" s="213">
        <v>6982</v>
      </c>
      <c r="E11" s="213">
        <v>5511</v>
      </c>
      <c r="F11" s="260">
        <v>6704</v>
      </c>
      <c r="G11" s="213">
        <v>7310</v>
      </c>
      <c r="H11" s="213">
        <v>8434</v>
      </c>
      <c r="I11" s="213">
        <v>0</v>
      </c>
    </row>
    <row r="12" spans="1:9" ht="15">
      <c r="A12" s="257" t="str">
        <f>HLOOKUP(INDICE!$F$2,Nombres!$C$3:$D$636,237,FALSE)</f>
        <v>Mexico</v>
      </c>
      <c r="B12" s="213">
        <v>10038</v>
      </c>
      <c r="C12" s="213">
        <v>9848</v>
      </c>
      <c r="D12" s="213">
        <v>9767</v>
      </c>
      <c r="E12" s="213">
        <v>10119</v>
      </c>
      <c r="F12" s="260">
        <v>10501</v>
      </c>
      <c r="G12" s="213">
        <v>10754</v>
      </c>
      <c r="H12" s="213">
        <v>12256</v>
      </c>
      <c r="I12" s="213">
        <v>0</v>
      </c>
    </row>
    <row r="13" spans="1:9" ht="15">
      <c r="A13" s="257" t="str">
        <f>HLOOKUP(INDICE!$F$2,Nombres!$C$3:$D$636,238,FALSE)</f>
        <v>Amércia del Sur</v>
      </c>
      <c r="B13" s="213">
        <v>3984</v>
      </c>
      <c r="C13" s="213">
        <v>4068</v>
      </c>
      <c r="D13" s="213">
        <v>3995</v>
      </c>
      <c r="E13" s="213">
        <v>4005</v>
      </c>
      <c r="F13" s="260">
        <v>5977</v>
      </c>
      <c r="G13" s="213">
        <v>6647</v>
      </c>
      <c r="H13" s="213">
        <v>7104</v>
      </c>
      <c r="I13" s="213">
        <v>0</v>
      </c>
    </row>
    <row r="14" spans="1:9" ht="15">
      <c r="A14" s="311"/>
      <c r="B14" s="261">
        <f aca="true" t="shared" si="0" ref="B14:G14">+B6-B8-B9-B10-B11-B12-B13</f>
        <v>0</v>
      </c>
      <c r="C14" s="261">
        <f t="shared" si="0"/>
        <v>0</v>
      </c>
      <c r="D14" s="261">
        <f t="shared" si="0"/>
        <v>0</v>
      </c>
      <c r="E14" s="261">
        <f t="shared" si="0"/>
        <v>1</v>
      </c>
      <c r="F14" s="261">
        <f t="shared" si="0"/>
        <v>0</v>
      </c>
      <c r="G14" s="261">
        <f t="shared" si="0"/>
        <v>0</v>
      </c>
      <c r="H14" s="261">
        <f>+H6-H8-H9-H10-H11-H12-H13</f>
        <v>1</v>
      </c>
      <c r="I14" s="261" t="e">
        <f>+I6-I8-I9-I10-#REF!-I11-I12-I13</f>
        <v>#REF!</v>
      </c>
    </row>
    <row r="15" spans="1:9" ht="15">
      <c r="A15" s="311"/>
      <c r="B15" s="261"/>
      <c r="C15" s="261"/>
      <c r="D15" s="261"/>
      <c r="E15" s="261"/>
      <c r="F15" s="261"/>
      <c r="G15" s="261"/>
      <c r="H15" s="261"/>
      <c r="I15" s="261"/>
    </row>
    <row r="16" spans="1:9" ht="15">
      <c r="A16" s="311"/>
      <c r="B16" s="261"/>
      <c r="C16" s="261"/>
      <c r="D16" s="261"/>
      <c r="E16" s="261"/>
      <c r="F16" s="261"/>
      <c r="G16" s="261"/>
      <c r="H16" s="261"/>
      <c r="I16" s="261"/>
    </row>
    <row r="17" spans="1:9" ht="15.75" customHeight="1">
      <c r="A17" s="210"/>
      <c r="B17" s="321" t="str">
        <f>HLOOKUP(INDICE!$F$2,Nombres!$C$3:$D$636,240,FALSE)</f>
        <v>Cartera COAP a Coste Amortizado</v>
      </c>
      <c r="C17" s="320"/>
      <c r="D17" s="320"/>
      <c r="E17" s="320"/>
      <c r="F17" s="320"/>
      <c r="G17" s="320"/>
      <c r="H17" s="320"/>
      <c r="I17" s="320"/>
    </row>
    <row r="18" spans="1:9" ht="15.75" customHeight="1">
      <c r="A18" s="211"/>
      <c r="B18" s="119">
        <f aca="true" t="shared" si="1" ref="B18:I18">+B$5</f>
        <v>44286</v>
      </c>
      <c r="C18" s="119">
        <f t="shared" si="1"/>
        <v>44377</v>
      </c>
      <c r="D18" s="119">
        <f t="shared" si="1"/>
        <v>44469</v>
      </c>
      <c r="E18" s="119">
        <f t="shared" si="1"/>
        <v>44561</v>
      </c>
      <c r="F18" s="119">
        <f t="shared" si="1"/>
        <v>44651</v>
      </c>
      <c r="G18" s="119">
        <f t="shared" si="1"/>
        <v>44742</v>
      </c>
      <c r="H18" s="119">
        <f t="shared" si="1"/>
        <v>44834</v>
      </c>
      <c r="I18" s="119">
        <f t="shared" si="1"/>
        <v>44926</v>
      </c>
    </row>
    <row r="19" spans="1:9" ht="15">
      <c r="A19" s="256" t="str">
        <f>HLOOKUP(INDICE!$F$2,Nombres!$C$3:$D$636,230,FALSE)</f>
        <v>Grupo BBVA</v>
      </c>
      <c r="B19" s="215">
        <v>21224</v>
      </c>
      <c r="C19" s="215">
        <v>20435</v>
      </c>
      <c r="D19" s="215">
        <v>20458</v>
      </c>
      <c r="E19" s="215">
        <v>19570</v>
      </c>
      <c r="F19" s="215">
        <v>20629.094219</v>
      </c>
      <c r="G19" s="215">
        <v>22021</v>
      </c>
      <c r="H19" s="215">
        <v>24903</v>
      </c>
      <c r="I19" s="215">
        <v>0</v>
      </c>
    </row>
    <row r="20" spans="1:9" ht="15">
      <c r="A20" s="257" t="str">
        <f>HLOOKUP(INDICE!$F$2,Nombres!$C$3:$D$636,231,FALSE)</f>
        <v>Balance Euro</v>
      </c>
      <c r="B20" s="213">
        <v>14990</v>
      </c>
      <c r="C20" s="213">
        <v>14956</v>
      </c>
      <c r="D20" s="213">
        <v>14937</v>
      </c>
      <c r="E20" s="213">
        <v>14505</v>
      </c>
      <c r="F20" s="213">
        <v>14488.094219</v>
      </c>
      <c r="G20" s="213">
        <v>14959</v>
      </c>
      <c r="H20" s="213">
        <v>15735</v>
      </c>
      <c r="I20" s="213">
        <v>0</v>
      </c>
    </row>
    <row r="21" spans="1:9" ht="15">
      <c r="A21" s="258" t="str">
        <f>HLOOKUP(INDICE!$F$2,Nombres!$C$3:$D$636,232,FALSE)</f>
        <v>España</v>
      </c>
      <c r="B21" s="213">
        <v>11223</v>
      </c>
      <c r="C21" s="213">
        <v>11199</v>
      </c>
      <c r="D21" s="213">
        <v>11187</v>
      </c>
      <c r="E21" s="213">
        <v>11178</v>
      </c>
      <c r="F21" s="213">
        <v>11169.094219</v>
      </c>
      <c r="G21" s="213">
        <v>11645</v>
      </c>
      <c r="H21" s="213">
        <v>12163</v>
      </c>
      <c r="I21" s="213">
        <v>0</v>
      </c>
    </row>
    <row r="22" spans="1:9" ht="15">
      <c r="A22" s="258" t="str">
        <f>HLOOKUP(INDICE!$F$2,Nombres!$C$3:$D$636,233,FALSE)</f>
        <v>Italia</v>
      </c>
      <c r="B22" s="213">
        <v>3681</v>
      </c>
      <c r="C22" s="213">
        <v>3676</v>
      </c>
      <c r="D22" s="213">
        <v>3671</v>
      </c>
      <c r="E22" s="213">
        <v>3250</v>
      </c>
      <c r="F22" s="213">
        <v>3245</v>
      </c>
      <c r="G22" s="213">
        <v>3240</v>
      </c>
      <c r="H22" s="213">
        <v>3236</v>
      </c>
      <c r="I22" s="213">
        <v>0</v>
      </c>
    </row>
    <row r="23" spans="1:9" ht="15">
      <c r="A23" s="259" t="str">
        <f>HLOOKUP(INDICE!$F$2,Nombres!$C$3:$D$636,234,FALSE)</f>
        <v>Resto</v>
      </c>
      <c r="B23" s="213">
        <v>86</v>
      </c>
      <c r="C23" s="213">
        <v>81</v>
      </c>
      <c r="D23" s="213">
        <v>79</v>
      </c>
      <c r="E23" s="213">
        <v>77</v>
      </c>
      <c r="F23" s="213">
        <v>74</v>
      </c>
      <c r="G23" s="213">
        <v>74</v>
      </c>
      <c r="H23" s="213">
        <v>336</v>
      </c>
      <c r="I23" s="213">
        <v>0</v>
      </c>
    </row>
    <row r="24" spans="1:9" ht="15">
      <c r="A24" s="257" t="str">
        <f>HLOOKUP(INDICE!$F$2,Nombres!$C$3:$D$636,236,FALSE)</f>
        <v>Turquia</v>
      </c>
      <c r="B24" s="213">
        <v>3639</v>
      </c>
      <c r="C24" s="213">
        <v>3326</v>
      </c>
      <c r="D24" s="213">
        <v>3363</v>
      </c>
      <c r="E24" s="213">
        <v>2681</v>
      </c>
      <c r="F24" s="213">
        <v>3641</v>
      </c>
      <c r="G24" s="213">
        <v>4129</v>
      </c>
      <c r="H24" s="213">
        <v>5213</v>
      </c>
      <c r="I24" s="213">
        <v>0</v>
      </c>
    </row>
    <row r="25" spans="1:9" ht="15">
      <c r="A25" s="257" t="str">
        <f>HLOOKUP(INDICE!$F$2,Nombres!$C$3:$D$636,237,FALSE)</f>
        <v>Mexico</v>
      </c>
      <c r="B25" s="213">
        <v>2461</v>
      </c>
      <c r="C25" s="213">
        <v>2001</v>
      </c>
      <c r="D25" s="213">
        <v>1987</v>
      </c>
      <c r="E25" s="213">
        <v>2190</v>
      </c>
      <c r="F25" s="213">
        <v>2294</v>
      </c>
      <c r="G25" s="213">
        <v>2693</v>
      </c>
      <c r="H25" s="213">
        <v>3705</v>
      </c>
      <c r="I25" s="213">
        <v>0</v>
      </c>
    </row>
    <row r="26" spans="1:9" ht="15">
      <c r="A26" s="257" t="str">
        <f>HLOOKUP(INDICE!$F$2,Nombres!$C$3:$D$636,238,FALSE)</f>
        <v>Amércia del Sur</v>
      </c>
      <c r="B26" s="213">
        <v>134</v>
      </c>
      <c r="C26" s="213">
        <v>152</v>
      </c>
      <c r="D26" s="213">
        <v>171</v>
      </c>
      <c r="E26" s="213">
        <v>194</v>
      </c>
      <c r="F26" s="213">
        <v>206</v>
      </c>
      <c r="G26" s="213">
        <v>240</v>
      </c>
      <c r="H26" s="213">
        <v>250</v>
      </c>
      <c r="I26" s="213">
        <v>0</v>
      </c>
    </row>
    <row r="27" spans="1:9" ht="15">
      <c r="A27" s="311"/>
      <c r="B27" s="261">
        <f aca="true" t="shared" si="2" ref="B27:G27">+B19-B21-B22-B23-B24-B25-B26</f>
        <v>0</v>
      </c>
      <c r="C27" s="261">
        <f t="shared" si="2"/>
        <v>0</v>
      </c>
      <c r="D27" s="261">
        <f t="shared" si="2"/>
        <v>0</v>
      </c>
      <c r="E27" s="261">
        <f t="shared" si="2"/>
        <v>0</v>
      </c>
      <c r="F27" s="261">
        <f t="shared" si="2"/>
        <v>-1.8189894035458565E-12</v>
      </c>
      <c r="G27" s="261">
        <f t="shared" si="2"/>
        <v>0</v>
      </c>
      <c r="H27" s="261">
        <f>+H19-H21-H22-H23-H24-H25-H26</f>
        <v>0</v>
      </c>
      <c r="I27" s="261" t="e">
        <f>+I19-I21-I22-I23-#REF!-I24-I25-I26</f>
        <v>#REF!</v>
      </c>
    </row>
    <row r="28" spans="1:9" ht="15.75">
      <c r="A28" s="311"/>
      <c r="B28" s="206"/>
      <c r="C28" s="206"/>
      <c r="D28" s="206"/>
      <c r="E28" s="206"/>
      <c r="F28" s="218"/>
      <c r="G28" s="218"/>
      <c r="H28" s="218"/>
      <c r="I28" s="218"/>
    </row>
    <row r="29" spans="1:9" ht="15.75">
      <c r="A29" s="207"/>
      <c r="B29" s="218"/>
      <c r="C29" s="218"/>
      <c r="D29" s="218"/>
      <c r="E29" s="218"/>
      <c r="F29" s="218"/>
      <c r="G29" s="206"/>
      <c r="H29" s="206"/>
      <c r="I29" s="206"/>
    </row>
    <row r="30" spans="1:9" ht="15.75" customHeight="1">
      <c r="A30" s="210"/>
      <c r="B30" s="321" t="str">
        <f>HLOOKUP(INDICE!$F$2,Nombres!$C$3:$D$636,241,FALSE)</f>
        <v>Cartera COAP a Valor Razonable</v>
      </c>
      <c r="C30" s="320"/>
      <c r="D30" s="320"/>
      <c r="E30" s="320"/>
      <c r="F30" s="320"/>
      <c r="G30" s="320"/>
      <c r="H30" s="320"/>
      <c r="I30" s="320"/>
    </row>
    <row r="31" spans="1:9" ht="15.75">
      <c r="A31" s="211"/>
      <c r="B31" s="119">
        <f aca="true" t="shared" si="3" ref="B31:I31">+B$5</f>
        <v>44286</v>
      </c>
      <c r="C31" s="119">
        <f t="shared" si="3"/>
        <v>44377</v>
      </c>
      <c r="D31" s="119">
        <f t="shared" si="3"/>
        <v>44469</v>
      </c>
      <c r="E31" s="119">
        <f t="shared" si="3"/>
        <v>44561</v>
      </c>
      <c r="F31" s="119">
        <f t="shared" si="3"/>
        <v>44651</v>
      </c>
      <c r="G31" s="119">
        <f t="shared" si="3"/>
        <v>44742</v>
      </c>
      <c r="H31" s="119">
        <f t="shared" si="3"/>
        <v>44834</v>
      </c>
      <c r="I31" s="119">
        <f t="shared" si="3"/>
        <v>44926</v>
      </c>
    </row>
    <row r="32" spans="1:9" ht="15.75" customHeight="1">
      <c r="A32" s="256" t="str">
        <f>HLOOKUP(INDICE!$F$2,Nombres!$C$3:$D$636,230,FALSE)</f>
        <v>Grupo BBVA</v>
      </c>
      <c r="B32" s="215">
        <v>26459</v>
      </c>
      <c r="C32" s="215">
        <v>28239</v>
      </c>
      <c r="D32" s="215">
        <v>27209</v>
      </c>
      <c r="E32" s="215">
        <v>25832</v>
      </c>
      <c r="F32" s="215">
        <v>31347.905781</v>
      </c>
      <c r="G32" s="215">
        <v>32335</v>
      </c>
      <c r="H32" s="215">
        <v>32874</v>
      </c>
      <c r="I32" s="215">
        <v>0</v>
      </c>
    </row>
    <row r="33" spans="1:9" ht="15">
      <c r="A33" s="212" t="str">
        <f>HLOOKUP(INDICE!$F$2,Nombres!$C$3:$D$636,231,FALSE)</f>
        <v>Balance Euro</v>
      </c>
      <c r="B33" s="213">
        <v>11953</v>
      </c>
      <c r="C33" s="213">
        <v>13200</v>
      </c>
      <c r="D33" s="213">
        <v>11986</v>
      </c>
      <c r="E33" s="213">
        <v>11263</v>
      </c>
      <c r="F33" s="213">
        <v>14306.905781000001</v>
      </c>
      <c r="G33" s="213">
        <v>14686</v>
      </c>
      <c r="H33" s="213">
        <v>14248</v>
      </c>
      <c r="I33" s="213">
        <v>0</v>
      </c>
    </row>
    <row r="34" spans="1:9" ht="15">
      <c r="A34" s="259" t="str">
        <f>HLOOKUP(INDICE!$F$2,Nombres!$C$3:$D$636,232,FALSE)</f>
        <v>España</v>
      </c>
      <c r="B34" s="213">
        <v>3516</v>
      </c>
      <c r="C34" s="213">
        <v>3443</v>
      </c>
      <c r="D34" s="213">
        <v>3441</v>
      </c>
      <c r="E34" s="213">
        <v>3438</v>
      </c>
      <c r="F34" s="213">
        <v>5697.905781</v>
      </c>
      <c r="G34" s="213">
        <v>6049</v>
      </c>
      <c r="H34" s="213">
        <v>5998</v>
      </c>
      <c r="I34" s="213">
        <v>0</v>
      </c>
    </row>
    <row r="35" spans="1:9" ht="15">
      <c r="A35" s="259" t="str">
        <f>HLOOKUP(INDICE!$F$2,Nombres!$C$3:$D$636,233,FALSE)</f>
        <v>Italia</v>
      </c>
      <c r="B35" s="213">
        <v>3373</v>
      </c>
      <c r="C35" s="213">
        <v>5028</v>
      </c>
      <c r="D35" s="213">
        <v>5020</v>
      </c>
      <c r="E35" s="213">
        <v>5018</v>
      </c>
      <c r="F35" s="213">
        <v>5009</v>
      </c>
      <c r="G35" s="213">
        <v>5002</v>
      </c>
      <c r="H35" s="213">
        <v>4486</v>
      </c>
      <c r="I35" s="213">
        <v>0</v>
      </c>
    </row>
    <row r="36" spans="1:9" ht="15">
      <c r="A36" s="259" t="str">
        <f>HLOOKUP(INDICE!$F$2,Nombres!$C$3:$D$636,234,FALSE)</f>
        <v>Resto</v>
      </c>
      <c r="B36" s="213">
        <v>5064</v>
      </c>
      <c r="C36" s="213">
        <v>4729</v>
      </c>
      <c r="D36" s="213">
        <v>3525</v>
      </c>
      <c r="E36" s="213">
        <v>2806</v>
      </c>
      <c r="F36" s="213">
        <v>3600</v>
      </c>
      <c r="G36" s="213">
        <v>3635</v>
      </c>
      <c r="H36" s="213">
        <v>3764</v>
      </c>
      <c r="I36" s="213">
        <v>0</v>
      </c>
    </row>
    <row r="37" spans="1:9" ht="15">
      <c r="A37" s="212" t="str">
        <f>HLOOKUP(INDICE!$F$2,Nombres!$C$3:$D$636,236,FALSE)</f>
        <v>Turquia</v>
      </c>
      <c r="B37" s="213">
        <v>3079</v>
      </c>
      <c r="C37" s="213">
        <v>3276</v>
      </c>
      <c r="D37" s="213">
        <v>3619</v>
      </c>
      <c r="E37" s="213">
        <v>2830</v>
      </c>
      <c r="F37" s="213">
        <v>3063</v>
      </c>
      <c r="G37" s="213">
        <v>3181</v>
      </c>
      <c r="H37" s="213">
        <v>3221</v>
      </c>
      <c r="I37" s="213">
        <v>0</v>
      </c>
    </row>
    <row r="38" spans="1:9" ht="15">
      <c r="A38" s="212" t="str">
        <f>HLOOKUP(INDICE!$F$2,Nombres!$C$3:$D$636,237,FALSE)</f>
        <v>Mexico</v>
      </c>
      <c r="B38" s="213">
        <v>7577</v>
      </c>
      <c r="C38" s="213">
        <v>7847</v>
      </c>
      <c r="D38" s="213">
        <v>7780</v>
      </c>
      <c r="E38" s="213">
        <v>7929</v>
      </c>
      <c r="F38" s="213">
        <v>8207</v>
      </c>
      <c r="G38" s="213">
        <v>8061</v>
      </c>
      <c r="H38" s="213">
        <v>8551</v>
      </c>
      <c r="I38" s="213">
        <v>0</v>
      </c>
    </row>
    <row r="39" spans="1:9" ht="15">
      <c r="A39" s="212" t="str">
        <f>HLOOKUP(INDICE!$F$2,Nombres!$C$3:$D$636,238,FALSE)</f>
        <v>Amércia del Sur</v>
      </c>
      <c r="B39" s="213">
        <v>3850</v>
      </c>
      <c r="C39" s="213">
        <v>3916</v>
      </c>
      <c r="D39" s="213">
        <v>3824</v>
      </c>
      <c r="E39" s="213">
        <v>3811</v>
      </c>
      <c r="F39" s="213">
        <v>5771</v>
      </c>
      <c r="G39" s="213">
        <v>6407</v>
      </c>
      <c r="H39" s="213">
        <v>6854</v>
      </c>
      <c r="I39" s="213">
        <v>0</v>
      </c>
    </row>
    <row r="40" spans="2:9" ht="15">
      <c r="B40" s="261">
        <f aca="true" t="shared" si="4" ref="B40:G40">+B32-B34-B35-B36-B37-B38-B39</f>
        <v>0</v>
      </c>
      <c r="C40" s="261">
        <f t="shared" si="4"/>
        <v>0</v>
      </c>
      <c r="D40" s="261">
        <f t="shared" si="4"/>
        <v>0</v>
      </c>
      <c r="E40" s="261">
        <f t="shared" si="4"/>
        <v>0</v>
      </c>
      <c r="F40" s="261">
        <f t="shared" si="4"/>
        <v>0</v>
      </c>
      <c r="G40" s="261">
        <f t="shared" si="4"/>
        <v>0</v>
      </c>
      <c r="H40" s="261">
        <f>+H32-H34-H35-H36-H37-H38-H39</f>
        <v>0</v>
      </c>
      <c r="I40" s="261" t="e">
        <f>+I32-I34-I35-I36-#REF!-I37-I38-I39</f>
        <v>#REF!</v>
      </c>
    </row>
    <row r="997" ht="15">
      <c r="A997" s="206" t="s">
        <v>392</v>
      </c>
    </row>
  </sheetData>
  <sheetProtection/>
  <mergeCells count="3">
    <mergeCell ref="B4:I4"/>
    <mergeCell ref="B17:I17"/>
    <mergeCell ref="B30:I30"/>
  </mergeCells>
  <conditionalFormatting sqref="B14:I16">
    <cfRule type="cellIs" priority="3" dxfId="131" operator="notBetween">
      <formula>1</formula>
      <formula>-1</formula>
    </cfRule>
  </conditionalFormatting>
  <conditionalFormatting sqref="B27:I27">
    <cfRule type="cellIs" priority="2" dxfId="131" operator="notBetween">
      <formula>1</formula>
      <formula>-1</formula>
    </cfRule>
  </conditionalFormatting>
  <conditionalFormatting sqref="B40:I40">
    <cfRule type="cellIs" priority="1" dxfId="131" operator="notBetween">
      <formula>1</formula>
      <formula>-1</formula>
    </cfRule>
  </conditionalFormatting>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999"/>
  <sheetViews>
    <sheetView showGridLines="0" zoomScale="80" zoomScaleNormal="80" zoomScalePageLayoutView="0" workbookViewId="0" topLeftCell="A1">
      <selection activeCell="A1" sqref="A1"/>
    </sheetView>
  </sheetViews>
  <sheetFormatPr defaultColWidth="11.421875" defaultRowHeight="15"/>
  <cols>
    <col min="1" max="1" width="109.00390625" style="31" customWidth="1"/>
    <col min="2" max="4" width="11.421875" style="31" customWidth="1"/>
    <col min="5" max="5" width="10.421875" style="31" customWidth="1"/>
    <col min="6" max="6" width="11.421875" style="31" customWidth="1"/>
    <col min="7" max="7" width="11.8515625" style="31" bestFit="1" customWidth="1"/>
    <col min="8" max="8" width="11.57421875" style="31" bestFit="1" customWidth="1"/>
    <col min="9" max="9" width="11.57421875" style="31" hidden="1" customWidth="1"/>
    <col min="10" max="16384" width="11.421875" style="31" customWidth="1"/>
  </cols>
  <sheetData>
    <row r="1" spans="1:9" ht="18">
      <c r="A1" s="29" t="str">
        <f>HLOOKUP(INDICE!$F$2,Nombres!$C$3:$D$636,91,FALSE)</f>
        <v>Grupo BBVA. Cuentas de resultados consolidadas</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13">
        <f>+España!B6</f>
        <v>2021</v>
      </c>
      <c r="C6" s="313"/>
      <c r="D6" s="313"/>
      <c r="E6" s="314"/>
      <c r="F6" s="315">
        <f>+España!F6</f>
        <v>2022</v>
      </c>
      <c r="G6" s="313"/>
      <c r="H6" s="313"/>
      <c r="I6" s="313"/>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3450.8750000400005</v>
      </c>
      <c r="C8" s="41">
        <v>3504.2920000000004</v>
      </c>
      <c r="D8" s="41">
        <v>3752.5249999600005</v>
      </c>
      <c r="E8" s="42">
        <v>3978.2929999499997</v>
      </c>
      <c r="F8" s="41">
        <v>3949.0419998799994</v>
      </c>
      <c r="G8" s="50">
        <v>4601.511</v>
      </c>
      <c r="H8" s="50">
        <v>5260.544999989999</v>
      </c>
      <c r="I8" s="50">
        <v>0</v>
      </c>
    </row>
    <row r="9" spans="1:9" ht="15">
      <c r="A9" s="43" t="str">
        <f>HLOOKUP(INDICE!$F$2,Nombres!$C$3:$D$636,34,FALSE)</f>
        <v>Comisiones netas</v>
      </c>
      <c r="B9" s="44">
        <v>1132.9649999900003</v>
      </c>
      <c r="C9" s="44">
        <v>1181.81500011</v>
      </c>
      <c r="D9" s="44">
        <v>1203.1469999</v>
      </c>
      <c r="E9" s="45">
        <v>1247.10100003</v>
      </c>
      <c r="F9" s="44">
        <v>1241.73699995</v>
      </c>
      <c r="G9" s="44">
        <v>1408.56200005</v>
      </c>
      <c r="H9" s="44">
        <v>1380.18700009</v>
      </c>
      <c r="I9" s="44">
        <v>0</v>
      </c>
    </row>
    <row r="10" spans="1:9" ht="15">
      <c r="A10" s="43" t="str">
        <f>HLOOKUP(INDICE!$F$2,Nombres!$C$3:$D$636,35,FALSE)</f>
        <v>Resultados de operaciones financieras</v>
      </c>
      <c r="B10" s="44">
        <v>581.4600000199999</v>
      </c>
      <c r="C10" s="44">
        <v>502.656</v>
      </c>
      <c r="D10" s="44">
        <v>387.42199997</v>
      </c>
      <c r="E10" s="45">
        <v>438.26500000000004</v>
      </c>
      <c r="F10" s="44">
        <v>579.66799999</v>
      </c>
      <c r="G10" s="44">
        <v>515.8</v>
      </c>
      <c r="H10" s="44">
        <v>573.49600001</v>
      </c>
      <c r="I10" s="44">
        <v>0</v>
      </c>
    </row>
    <row r="11" spans="1:9" ht="15">
      <c r="A11" s="43" t="str">
        <f>HLOOKUP(INDICE!$F$2,Nombres!$C$3:$D$636,96,FALSE)</f>
        <v>Ingresos por dividendos</v>
      </c>
      <c r="B11" s="44">
        <v>5.848999999999975</v>
      </c>
      <c r="C11" s="44">
        <v>119.47300000000004</v>
      </c>
      <c r="D11" s="44">
        <v>4.162999999999932</v>
      </c>
      <c r="E11" s="45">
        <v>46.12000000000009</v>
      </c>
      <c r="F11" s="44">
        <v>3.799000000000042</v>
      </c>
      <c r="G11" s="44">
        <v>72.23799999999991</v>
      </c>
      <c r="H11" s="44">
        <v>2.9960000000000355</v>
      </c>
      <c r="I11" s="44">
        <v>0</v>
      </c>
    </row>
    <row r="12" spans="1:9" ht="15">
      <c r="A12" s="43" t="str">
        <f>HLOOKUP(INDICE!$F$2,Nombres!$C$3:$D$636,97,FALSE)</f>
        <v>Part. gananc/pdas inversiones en dependientes, neg conjunt y asoc</v>
      </c>
      <c r="B12" s="44">
        <v>-5.805</v>
      </c>
      <c r="C12" s="44">
        <v>0.3799999999999988</v>
      </c>
      <c r="D12" s="44">
        <v>3.6560000000000024</v>
      </c>
      <c r="E12" s="45">
        <v>2.5600000000000005</v>
      </c>
      <c r="F12" s="44">
        <v>4.848000000000002</v>
      </c>
      <c r="G12" s="44">
        <v>9.84</v>
      </c>
      <c r="H12" s="44">
        <v>0.7449999999999992</v>
      </c>
      <c r="I12" s="44">
        <v>0</v>
      </c>
    </row>
    <row r="13" spans="1:9" ht="15">
      <c r="A13" s="43" t="str">
        <f>HLOOKUP(INDICE!$F$2,Nombres!$C$3:$D$636,98,FALSE)</f>
        <v>Otros productos/cargas de explotación</v>
      </c>
      <c r="B13" s="44">
        <v>-10.609000030000018</v>
      </c>
      <c r="C13" s="44">
        <v>-204.6449999799998</v>
      </c>
      <c r="D13" s="44">
        <v>-20.443999980000083</v>
      </c>
      <c r="E13" s="45">
        <v>-235.4909999700003</v>
      </c>
      <c r="F13" s="44">
        <v>-363.49700002000003</v>
      </c>
      <c r="G13" s="44">
        <v>-514.1469999900002</v>
      </c>
      <c r="H13" s="44">
        <v>-361.40700000000027</v>
      </c>
      <c r="I13" s="44">
        <v>0</v>
      </c>
    </row>
    <row r="14" spans="1:9" ht="15">
      <c r="A14" s="41" t="str">
        <f>HLOOKUP(INDICE!$F$2,Nombres!$C$3:$D$636,37,FALSE)</f>
        <v>Margen bruto</v>
      </c>
      <c r="B14" s="41">
        <f>+SUM(B8:B13)</f>
        <v>5154.73500002</v>
      </c>
      <c r="C14" s="41">
        <f aca="true" t="shared" si="0" ref="C14:I14">+SUM(C8:C13)</f>
        <v>5103.971000130001</v>
      </c>
      <c r="D14" s="41">
        <f t="shared" si="0"/>
        <v>5330.46899985</v>
      </c>
      <c r="E14" s="42">
        <f t="shared" si="0"/>
        <v>5476.84800001</v>
      </c>
      <c r="F14" s="41">
        <f t="shared" si="0"/>
        <v>5415.596999799999</v>
      </c>
      <c r="G14" s="50">
        <f t="shared" si="0"/>
        <v>6093.804000060001</v>
      </c>
      <c r="H14" s="50">
        <f t="shared" si="0"/>
        <v>6856.562000089999</v>
      </c>
      <c r="I14" s="50">
        <f t="shared" si="0"/>
        <v>0</v>
      </c>
    </row>
    <row r="15" spans="1:9" ht="15">
      <c r="A15" s="43" t="str">
        <f>HLOOKUP(INDICE!$F$2,Nombres!$C$3:$D$636,38,FALSE)</f>
        <v>Gastos de explotación</v>
      </c>
      <c r="B15" s="44">
        <v>-2304.31200016</v>
      </c>
      <c r="C15" s="44">
        <v>-2293.6229998500003</v>
      </c>
      <c r="D15" s="44">
        <v>-2377.74100017</v>
      </c>
      <c r="E15" s="45">
        <v>-2554.11199977</v>
      </c>
      <c r="F15" s="44">
        <v>-2423.87699994</v>
      </c>
      <c r="G15" s="44">
        <v>-2629.73800011</v>
      </c>
      <c r="H15" s="44">
        <v>-2818.2389999</v>
      </c>
      <c r="I15" s="44">
        <v>0</v>
      </c>
    </row>
    <row r="16" spans="1:9" ht="15">
      <c r="A16" s="43" t="str">
        <f>HLOOKUP(INDICE!$F$2,Nombres!$C$3:$D$636,39,FALSE)</f>
        <v>  Gastos de administración</v>
      </c>
      <c r="B16" s="44">
        <v>-1995.7850001400002</v>
      </c>
      <c r="C16" s="44">
        <v>-1987.0499998699997</v>
      </c>
      <c r="D16" s="44">
        <v>-2064.1050001699996</v>
      </c>
      <c r="E16" s="45">
        <v>-2248.9999998</v>
      </c>
      <c r="F16" s="44">
        <v>-2111.32099992</v>
      </c>
      <c r="G16" s="44">
        <v>-2290.17800014</v>
      </c>
      <c r="H16" s="44">
        <v>-2479.9899999199997</v>
      </c>
      <c r="I16" s="44">
        <v>0</v>
      </c>
    </row>
    <row r="17" spans="1:9" ht="15">
      <c r="A17" s="46" t="str">
        <f>HLOOKUP(INDICE!$F$2,Nombres!$C$3:$D$636,40,FALSE)</f>
        <v>  Gastos de personal</v>
      </c>
      <c r="B17" s="44">
        <v>-1184.2269999999999</v>
      </c>
      <c r="C17" s="44">
        <v>-1186.75299999</v>
      </c>
      <c r="D17" s="44">
        <v>-1276.17300011</v>
      </c>
      <c r="E17" s="45">
        <v>-1399.30299988</v>
      </c>
      <c r="F17" s="44">
        <v>-1240.959</v>
      </c>
      <c r="G17" s="44">
        <v>-1345.83000005</v>
      </c>
      <c r="H17" s="44">
        <v>-1475.21000002</v>
      </c>
      <c r="I17" s="44">
        <v>0</v>
      </c>
    </row>
    <row r="18" spans="1:9" ht="15">
      <c r="A18" s="46" t="str">
        <f>HLOOKUP(INDICE!$F$2,Nombres!$C$3:$D$636,41,FALSE)</f>
        <v>  Otros gastos de administración</v>
      </c>
      <c r="B18" s="44">
        <v>-811.5580001400001</v>
      </c>
      <c r="C18" s="44">
        <v>-800.29699988</v>
      </c>
      <c r="D18" s="44">
        <v>-787.93200006</v>
      </c>
      <c r="E18" s="45">
        <v>-849.69699992</v>
      </c>
      <c r="F18" s="44">
        <v>-870.36199992</v>
      </c>
      <c r="G18" s="44">
        <v>-944.3480000900001</v>
      </c>
      <c r="H18" s="44">
        <v>-1004.7799999</v>
      </c>
      <c r="I18" s="44">
        <v>0</v>
      </c>
    </row>
    <row r="19" spans="1:9" ht="15">
      <c r="A19" s="43" t="str">
        <f>HLOOKUP(INDICE!$F$2,Nombres!$C$3:$D$636,42,FALSE)</f>
        <v>  Amortización</v>
      </c>
      <c r="B19" s="44">
        <v>-308.52700001999995</v>
      </c>
      <c r="C19" s="44">
        <v>-306.57299997999996</v>
      </c>
      <c r="D19" s="44">
        <v>-313.636</v>
      </c>
      <c r="E19" s="45">
        <v>-305.11199996999994</v>
      </c>
      <c r="F19" s="44">
        <v>-312.55600002</v>
      </c>
      <c r="G19" s="44">
        <v>-339.55999997000004</v>
      </c>
      <c r="H19" s="44">
        <v>-338.24899998</v>
      </c>
      <c r="I19" s="44">
        <v>0</v>
      </c>
    </row>
    <row r="20" spans="1:9" ht="15">
      <c r="A20" s="41" t="str">
        <f>HLOOKUP(INDICE!$F$2,Nombres!$C$3:$D$636,43,FALSE)</f>
        <v>Margen neto</v>
      </c>
      <c r="B20" s="41">
        <f>+B14+B15</f>
        <v>2850.4229998600003</v>
      </c>
      <c r="C20" s="41">
        <f aca="true" t="shared" si="1" ref="C20:I20">+C14+C15</f>
        <v>2810.3480002800006</v>
      </c>
      <c r="D20" s="41">
        <f t="shared" si="1"/>
        <v>2952.72799968</v>
      </c>
      <c r="E20" s="42">
        <f t="shared" si="1"/>
        <v>2922.73600024</v>
      </c>
      <c r="F20" s="41">
        <f t="shared" si="1"/>
        <v>2991.719999859999</v>
      </c>
      <c r="G20" s="50">
        <f t="shared" si="1"/>
        <v>3464.0659999500012</v>
      </c>
      <c r="H20" s="50">
        <f t="shared" si="1"/>
        <v>4038.3230001899988</v>
      </c>
      <c r="I20" s="50">
        <f t="shared" si="1"/>
        <v>0</v>
      </c>
    </row>
    <row r="21" spans="1:9" ht="15">
      <c r="A21" s="43" t="str">
        <f>HLOOKUP(INDICE!$F$2,Nombres!$C$3:$D$636,44,FALSE)</f>
        <v>Deterioro de activos financieros no valorados a valor razonable con cambios en resultados</v>
      </c>
      <c r="B21" s="44">
        <v>-923.2530000599997</v>
      </c>
      <c r="C21" s="44">
        <v>-656.48099991</v>
      </c>
      <c r="D21" s="44">
        <v>-622.39</v>
      </c>
      <c r="E21" s="45">
        <v>-832.1090000400001</v>
      </c>
      <c r="F21" s="44">
        <v>-736.9199999500001</v>
      </c>
      <c r="G21" s="44">
        <v>-703.6320000699998</v>
      </c>
      <c r="H21" s="44">
        <v>-939.9120000199997</v>
      </c>
      <c r="I21" s="44">
        <v>0</v>
      </c>
    </row>
    <row r="22" spans="1:9" ht="15">
      <c r="A22" s="43" t="str">
        <f>HLOOKUP(INDICE!$F$2,Nombres!$C$3:$D$636,247,FALSE)</f>
        <v>Provisiones o reversión de provisiones</v>
      </c>
      <c r="B22" s="44">
        <v>-151.16800002000002</v>
      </c>
      <c r="C22" s="44">
        <v>-22.92176699000005</v>
      </c>
      <c r="D22" s="44">
        <v>-50.1979999899999</v>
      </c>
      <c r="E22" s="45">
        <v>-39.6770000200001</v>
      </c>
      <c r="F22" s="44">
        <v>-47.83899999000001</v>
      </c>
      <c r="G22" s="44">
        <v>-64.00399997999997</v>
      </c>
      <c r="H22" s="44">
        <v>-129.09100003</v>
      </c>
      <c r="I22" s="44">
        <v>0</v>
      </c>
    </row>
    <row r="23" spans="1:9" ht="15">
      <c r="A23" s="43" t="str">
        <f>HLOOKUP(INDICE!$F$2,Nombres!$C$3:$D$636,248,FALSE)</f>
        <v>Otros resultados</v>
      </c>
      <c r="B23" s="44">
        <v>-17.18800000000001</v>
      </c>
      <c r="C23" s="44">
        <v>-6.980092979999991</v>
      </c>
      <c r="D23" s="44">
        <v>19.031999990000003</v>
      </c>
      <c r="E23" s="45">
        <v>7.478000009999985</v>
      </c>
      <c r="F23" s="44">
        <v>20.417</v>
      </c>
      <c r="G23" s="44">
        <v>-2.694046449999986</v>
      </c>
      <c r="H23" s="44">
        <v>18.904000000000096</v>
      </c>
      <c r="I23" s="44">
        <v>0</v>
      </c>
    </row>
    <row r="24" spans="1:9" ht="15">
      <c r="A24" s="41" t="str">
        <f>HLOOKUP(INDICE!$F$2,Nombres!$C$3:$D$636,46,FALSE)</f>
        <v>Resultado antes de impuestos</v>
      </c>
      <c r="B24" s="50">
        <f aca="true" t="shared" si="2" ref="B24:I24">+B20+B21+B22+B23</f>
        <v>1758.8139997800004</v>
      </c>
      <c r="C24" s="50">
        <f t="shared" si="2"/>
        <v>2123.965140400001</v>
      </c>
      <c r="D24" s="50">
        <f t="shared" si="2"/>
        <v>2299.1719996799998</v>
      </c>
      <c r="E24" s="42">
        <f t="shared" si="2"/>
        <v>2058.42800019</v>
      </c>
      <c r="F24" s="50">
        <f t="shared" si="2"/>
        <v>2227.3779999199987</v>
      </c>
      <c r="G24" s="50">
        <f t="shared" si="2"/>
        <v>2693.7359534500015</v>
      </c>
      <c r="H24" s="50">
        <f t="shared" si="2"/>
        <v>2988.224000139999</v>
      </c>
      <c r="I24" s="50">
        <f t="shared" si="2"/>
        <v>0</v>
      </c>
    </row>
    <row r="25" spans="1:9" ht="15">
      <c r="A25" s="43" t="str">
        <f>HLOOKUP(INDICE!$F$2,Nombres!$C$3:$D$636,47,FALSE)</f>
        <v>Impuesto sobre beneficios</v>
      </c>
      <c r="B25" s="44">
        <v>-489.26299989999995</v>
      </c>
      <c r="C25" s="44">
        <v>-590.9263420500001</v>
      </c>
      <c r="D25" s="44">
        <v>-639.72900005</v>
      </c>
      <c r="E25" s="45">
        <v>-486.93899994000003</v>
      </c>
      <c r="F25" s="44">
        <v>-903.72300002</v>
      </c>
      <c r="G25" s="44">
        <v>-697.23378353</v>
      </c>
      <c r="H25" s="44">
        <v>-1004.3790000199999</v>
      </c>
      <c r="I25" s="44">
        <v>0</v>
      </c>
    </row>
    <row r="26" spans="1:9" ht="15">
      <c r="A26" s="41" t="str">
        <f>HLOOKUP(INDICE!$F$2,Nombres!$C$3:$D$636,48,FALSE)</f>
        <v>Resultado del ejercicio</v>
      </c>
      <c r="B26" s="50">
        <f aca="true" t="shared" si="3" ref="B26:I26">+B24+B25</f>
        <v>1269.5509998800003</v>
      </c>
      <c r="C26" s="50">
        <f t="shared" si="3"/>
        <v>1533.038798350001</v>
      </c>
      <c r="D26" s="50">
        <f t="shared" si="3"/>
        <v>1659.4429996299998</v>
      </c>
      <c r="E26" s="42">
        <f t="shared" si="3"/>
        <v>1571.4890002500001</v>
      </c>
      <c r="F26" s="50">
        <f t="shared" si="3"/>
        <v>1323.6549998999988</v>
      </c>
      <c r="G26" s="50">
        <f t="shared" si="3"/>
        <v>1996.5021699200015</v>
      </c>
      <c r="H26" s="50">
        <f t="shared" si="3"/>
        <v>1983.8450001199992</v>
      </c>
      <c r="I26" s="50">
        <f t="shared" si="3"/>
        <v>0</v>
      </c>
    </row>
    <row r="27" spans="1:9" ht="15">
      <c r="A27" s="43" t="str">
        <f>HLOOKUP(INDICE!$F$2,Nombres!$C$3:$D$636,49,FALSE)</f>
        <v>Minoritarios</v>
      </c>
      <c r="B27" s="44">
        <v>-236.81899999999996</v>
      </c>
      <c r="C27" s="44">
        <v>-238.87100001</v>
      </c>
      <c r="D27" s="44">
        <v>-259.04199998</v>
      </c>
      <c r="E27" s="45">
        <v>-230.09700001000002</v>
      </c>
      <c r="F27" s="44">
        <v>2.554000000000002</v>
      </c>
      <c r="G27" s="44">
        <v>-119.98999998999997</v>
      </c>
      <c r="H27" s="44">
        <v>-143.02300001</v>
      </c>
      <c r="I27" s="44">
        <v>0</v>
      </c>
    </row>
    <row r="28" spans="1:9" ht="15">
      <c r="A28" s="47" t="str">
        <f>HLOOKUP(INDICE!$F$2,Nombres!$C$3:$D$636,305,FALSE)</f>
        <v>Resultado atribuido excluyendo impactos no recurrentes</v>
      </c>
      <c r="B28" s="47">
        <f>+B26+B27</f>
        <v>1032.7319998800003</v>
      </c>
      <c r="C28" s="47">
        <f aca="true" t="shared" si="4" ref="C28:I28">+C26+C27</f>
        <v>1294.167798340001</v>
      </c>
      <c r="D28" s="47">
        <f t="shared" si="4"/>
        <v>1400.40099965</v>
      </c>
      <c r="E28" s="47">
        <f t="shared" si="4"/>
        <v>1341.39200024</v>
      </c>
      <c r="F28" s="47">
        <f t="shared" si="4"/>
        <v>1326.2089998999988</v>
      </c>
      <c r="G28" s="47">
        <f t="shared" si="4"/>
        <v>1876.5121699300016</v>
      </c>
      <c r="H28" s="47">
        <f t="shared" si="4"/>
        <v>1840.8220001099992</v>
      </c>
      <c r="I28" s="47">
        <f t="shared" si="4"/>
        <v>0</v>
      </c>
    </row>
    <row r="29" spans="1:16" ht="15">
      <c r="A29" s="43" t="str">
        <f>HLOOKUP(INDICE!$F$2,Nombres!$C$3:$D$636,315,FALSE)</f>
        <v>Resultado de operaciones interrumpidas y otros (1)</v>
      </c>
      <c r="B29" s="44">
        <v>177.04100000000003</v>
      </c>
      <c r="C29" s="44">
        <v>-593.00779802</v>
      </c>
      <c r="D29" s="44">
        <v>0</v>
      </c>
      <c r="E29" s="45">
        <v>0</v>
      </c>
      <c r="F29" s="44">
        <v>0</v>
      </c>
      <c r="G29" s="44">
        <v>-201.39716995</v>
      </c>
      <c r="H29" s="44">
        <v>0</v>
      </c>
      <c r="I29" s="44">
        <v>0</v>
      </c>
      <c r="M29" s="291"/>
      <c r="N29" s="291"/>
      <c r="O29" s="291"/>
      <c r="P29" s="291"/>
    </row>
    <row r="30" spans="1:9" ht="15">
      <c r="A30" s="47" t="str">
        <f>HLOOKUP(INDICE!$F$2,Nombres!$C$3:$D$636,50,FALSE)</f>
        <v>Resultado atribuido</v>
      </c>
      <c r="B30" s="47">
        <f>+B28+B29</f>
        <v>1209.7729998800003</v>
      </c>
      <c r="C30" s="47">
        <f aca="true" t="shared" si="5" ref="C30:I30">+C28+C29</f>
        <v>701.1600003200009</v>
      </c>
      <c r="D30" s="47">
        <f t="shared" si="5"/>
        <v>1400.40099965</v>
      </c>
      <c r="E30" s="47">
        <f t="shared" si="5"/>
        <v>1341.39200024</v>
      </c>
      <c r="F30" s="47">
        <f t="shared" si="5"/>
        <v>1326.2089998999988</v>
      </c>
      <c r="G30" s="47">
        <f t="shared" si="5"/>
        <v>1675.1149999800016</v>
      </c>
      <c r="H30" s="47">
        <f t="shared" si="5"/>
        <v>1840.8220001099992</v>
      </c>
      <c r="I30" s="47">
        <f t="shared" si="5"/>
        <v>0</v>
      </c>
    </row>
    <row r="31" spans="2:9" ht="15">
      <c r="B31" s="48">
        <v>0</v>
      </c>
      <c r="C31" s="48">
        <v>0</v>
      </c>
      <c r="D31" s="48">
        <v>0</v>
      </c>
      <c r="E31" s="48">
        <v>0</v>
      </c>
      <c r="F31" s="48">
        <v>0</v>
      </c>
      <c r="G31" s="48">
        <v>0</v>
      </c>
      <c r="H31" s="48">
        <v>0</v>
      </c>
      <c r="I31" s="48">
        <v>0</v>
      </c>
    </row>
    <row r="32" spans="1:9" ht="22.5" customHeight="1">
      <c r="A32" s="43"/>
      <c r="B32" s="48">
        <v>0</v>
      </c>
      <c r="C32" s="48">
        <v>0</v>
      </c>
      <c r="D32" s="48">
        <v>0</v>
      </c>
      <c r="E32" s="48">
        <v>0</v>
      </c>
      <c r="F32" s="48">
        <v>0</v>
      </c>
      <c r="G32" s="48">
        <v>0</v>
      </c>
      <c r="H32" s="48">
        <v>0</v>
      </c>
      <c r="I32" s="48">
        <v>0</v>
      </c>
    </row>
    <row r="33" spans="1:9" ht="26.25" customHeight="1">
      <c r="A33" s="312" t="str">
        <f>HLOOKUP(INDICE!$F$2,Nombres!$C$3:$D$636,316,FALSE)</f>
        <v>(1) Incluen los resultados generados por BBVA USA y el resto de sociedades de EEUU vendidas a PNC el 1 de junio de 2021, los costes netos asociados al proceso de reestructuración y el impacto neto de la compra de oficinas en España. (más detalle en las áreas de España y Centro Corporativo)</v>
      </c>
      <c r="B33" s="312"/>
      <c r="C33" s="312"/>
      <c r="D33" s="312"/>
      <c r="E33" s="312"/>
      <c r="F33" s="312"/>
      <c r="G33" s="312"/>
      <c r="H33" s="312"/>
      <c r="I33" s="312"/>
    </row>
    <row r="34" spans="1:9" ht="15" customHeight="1">
      <c r="A34" s="312"/>
      <c r="B34" s="312"/>
      <c r="C34" s="312"/>
      <c r="D34" s="312"/>
      <c r="E34" s="312"/>
      <c r="F34" s="312"/>
      <c r="G34" s="312"/>
      <c r="H34" s="312"/>
      <c r="I34" s="312"/>
    </row>
    <row r="35" spans="1:9" ht="15">
      <c r="A35" s="312"/>
      <c r="B35" s="312"/>
      <c r="C35" s="312"/>
      <c r="D35" s="312"/>
      <c r="E35" s="312"/>
      <c r="F35" s="312"/>
      <c r="G35" s="312"/>
      <c r="H35" s="312"/>
      <c r="I35" s="312"/>
    </row>
    <row r="36" spans="1:9" ht="15">
      <c r="A36" s="43"/>
      <c r="B36" s="49"/>
      <c r="C36" s="49"/>
      <c r="D36" s="49"/>
      <c r="E36" s="49"/>
      <c r="F36" s="285"/>
      <c r="G36" s="49"/>
      <c r="H36" s="49"/>
      <c r="I36" s="49"/>
    </row>
    <row r="37" spans="2:9" ht="15">
      <c r="B37" s="266"/>
      <c r="C37" s="266"/>
      <c r="D37" s="266"/>
      <c r="E37" s="266"/>
      <c r="F37" s="266"/>
      <c r="G37" s="266"/>
      <c r="H37" s="266"/>
      <c r="I37" s="266"/>
    </row>
    <row r="39" spans="1:9" ht="18">
      <c r="A39" s="33" t="str">
        <f>HLOOKUP(INDICE!$F$2,Nombres!$C$3:$D$636,31,FALSE)</f>
        <v>Cuenta de resultados  </v>
      </c>
      <c r="B39" s="34"/>
      <c r="C39" s="34"/>
      <c r="D39" s="34"/>
      <c r="E39" s="34"/>
      <c r="F39" s="34"/>
      <c r="G39" s="34"/>
      <c r="H39" s="34"/>
      <c r="I39" s="34"/>
    </row>
    <row r="40" spans="1:9" ht="15">
      <c r="A40" s="35" t="str">
        <f>HLOOKUP(INDICE!$F$2,Nombres!$C$3:$D$636,73,FALSE)</f>
        <v>(Millones de euros constantes)</v>
      </c>
      <c r="B40" s="30"/>
      <c r="C40" s="36"/>
      <c r="D40" s="36"/>
      <c r="E40" s="36"/>
      <c r="F40" s="30"/>
      <c r="G40" s="30"/>
      <c r="H40" s="30"/>
      <c r="I40" s="30"/>
    </row>
    <row r="41" spans="1:9" ht="15">
      <c r="A41" s="37"/>
      <c r="B41" s="30"/>
      <c r="C41" s="36"/>
      <c r="D41" s="36"/>
      <c r="E41" s="36"/>
      <c r="F41" s="30"/>
      <c r="G41" s="30"/>
      <c r="H41" s="30"/>
      <c r="I41" s="30"/>
    </row>
    <row r="42" spans="1:9" ht="15.75">
      <c r="A42" s="38"/>
      <c r="B42" s="313">
        <f>+España!B6</f>
        <v>2021</v>
      </c>
      <c r="C42" s="313"/>
      <c r="D42" s="313"/>
      <c r="E42" s="314"/>
      <c r="F42" s="315">
        <f>+España!F6</f>
        <v>2022</v>
      </c>
      <c r="G42" s="313"/>
      <c r="H42" s="313"/>
      <c r="I42" s="313"/>
    </row>
    <row r="43" spans="1:9" ht="15.75">
      <c r="A43" s="38"/>
      <c r="B43" s="39" t="str">
        <f>+España!B7</f>
        <v>1er Trim.</v>
      </c>
      <c r="C43" s="39" t="str">
        <f>+España!C7</f>
        <v>2º Trim.</v>
      </c>
      <c r="D43" s="39" t="str">
        <f>+España!D7</f>
        <v>3er Trim.</v>
      </c>
      <c r="E43" s="40" t="str">
        <f>+España!E7</f>
        <v>4º Trim.</v>
      </c>
      <c r="F43" s="39" t="str">
        <f>+España!F7</f>
        <v>1er Trim.</v>
      </c>
      <c r="G43" s="39" t="str">
        <f>+España!G7</f>
        <v>2º Trim.</v>
      </c>
      <c r="H43" s="39" t="str">
        <f>+España!H7</f>
        <v>3er Trim.</v>
      </c>
      <c r="I43" s="39" t="str">
        <f>+España!I7</f>
        <v>4º Trim.</v>
      </c>
    </row>
    <row r="44" spans="1:9" ht="15">
      <c r="A44" s="41" t="str">
        <f>HLOOKUP(INDICE!$F$2,Nombres!$C$3:$D$636,33,FALSE)</f>
        <v>Margen de intereses</v>
      </c>
      <c r="B44" s="41">
        <v>3342.9135530968197</v>
      </c>
      <c r="C44" s="41">
        <v>3451.302849177121</v>
      </c>
      <c r="D44" s="41">
        <v>3622.981352020415</v>
      </c>
      <c r="E44" s="42">
        <v>3904.993411272525</v>
      </c>
      <c r="F44" s="41">
        <v>3992.800831772114</v>
      </c>
      <c r="G44" s="50">
        <v>4559.682551512471</v>
      </c>
      <c r="H44" s="50">
        <v>5258.614616585416</v>
      </c>
      <c r="I44" s="50">
        <v>0</v>
      </c>
    </row>
    <row r="45" spans="1:9" ht="15">
      <c r="A45" s="43" t="str">
        <f>HLOOKUP(INDICE!$F$2,Nombres!$C$3:$D$636,34,FALSE)</f>
        <v>Comisiones netas</v>
      </c>
      <c r="B45" s="44">
        <v>1098.6800427054454</v>
      </c>
      <c r="C45" s="44">
        <v>1161.8183985015562</v>
      </c>
      <c r="D45" s="44">
        <v>1173.2531053911298</v>
      </c>
      <c r="E45" s="45">
        <v>1251.8825188333094</v>
      </c>
      <c r="F45" s="44">
        <v>1249.8640500784043</v>
      </c>
      <c r="G45" s="44">
        <v>1402.99171258315</v>
      </c>
      <c r="H45" s="44">
        <v>1377.6302374284458</v>
      </c>
      <c r="I45" s="44">
        <v>0</v>
      </c>
    </row>
    <row r="46" spans="1:9" ht="15">
      <c r="A46" s="43" t="str">
        <f>HLOOKUP(INDICE!$F$2,Nombres!$C$3:$D$636,35,FALSE)</f>
        <v>Resultados de operaciones financieras</v>
      </c>
      <c r="B46" s="44">
        <v>532.5924847657102</v>
      </c>
      <c r="C46" s="44">
        <v>509.8112985863264</v>
      </c>
      <c r="D46" s="44">
        <v>379.38877397231954</v>
      </c>
      <c r="E46" s="45">
        <v>386.95811221274283</v>
      </c>
      <c r="F46" s="44">
        <v>569.5779938049067</v>
      </c>
      <c r="G46" s="44">
        <v>513.1902679577016</v>
      </c>
      <c r="H46" s="44">
        <v>586.1957382373917</v>
      </c>
      <c r="I46" s="44">
        <v>0</v>
      </c>
    </row>
    <row r="47" spans="1:9" ht="15">
      <c r="A47" s="43" t="str">
        <f>HLOOKUP(INDICE!$F$2,Nombres!$C$3:$D$636,96,FALSE)</f>
        <v>Ingresos por dividendos</v>
      </c>
      <c r="B47" s="44">
        <v>5.654041024142754</v>
      </c>
      <c r="C47" s="44">
        <v>119.48643207715153</v>
      </c>
      <c r="D47" s="44">
        <v>3.739249606931451</v>
      </c>
      <c r="E47" s="45">
        <v>46.05902763600361</v>
      </c>
      <c r="F47" s="44">
        <v>3.724503887279917</v>
      </c>
      <c r="G47" s="44">
        <v>72.16188814418433</v>
      </c>
      <c r="H47" s="44">
        <v>3.146607968535754</v>
      </c>
      <c r="I47" s="44">
        <v>0</v>
      </c>
    </row>
    <row r="48" spans="1:9" ht="15">
      <c r="A48" s="43" t="str">
        <f>HLOOKUP(INDICE!$F$2,Nombres!$C$3:$D$636,97,FALSE)</f>
        <v>Part. gananc/pdas inversiones en dependientes, neg conjunt y asoc</v>
      </c>
      <c r="B48" s="44">
        <v>-5.513376834677178</v>
      </c>
      <c r="C48" s="44">
        <v>0.8371265681683342</v>
      </c>
      <c r="D48" s="44">
        <v>4.081865553128262</v>
      </c>
      <c r="E48" s="45">
        <v>3.1691938163898024</v>
      </c>
      <c r="F48" s="44">
        <v>5.256916528338396</v>
      </c>
      <c r="G48" s="44">
        <v>9.901333624654988</v>
      </c>
      <c r="H48" s="44">
        <v>0.274749847006615</v>
      </c>
      <c r="I48" s="44">
        <v>0</v>
      </c>
    </row>
    <row r="49" spans="1:9" ht="15">
      <c r="A49" s="43" t="str">
        <f>HLOOKUP(INDICE!$F$2,Nombres!$C$3:$D$636,98,FALSE)</f>
        <v>Otros productos/cargas de explotación</v>
      </c>
      <c r="B49" s="44">
        <v>-10.747490598288236</v>
      </c>
      <c r="C49" s="44">
        <v>-212.01935995104094</v>
      </c>
      <c r="D49" s="44">
        <v>-21.025719066142923</v>
      </c>
      <c r="E49" s="45">
        <v>-217.8818830316425</v>
      </c>
      <c r="F49" s="44">
        <v>-411.3331590301311</v>
      </c>
      <c r="G49" s="44">
        <v>-501.0573988825167</v>
      </c>
      <c r="H49" s="44">
        <v>-326.6604420973526</v>
      </c>
      <c r="I49" s="44">
        <v>0</v>
      </c>
    </row>
    <row r="50" spans="1:9" ht="15">
      <c r="A50" s="41" t="str">
        <f>HLOOKUP(INDICE!$F$2,Nombres!$C$3:$D$636,37,FALSE)</f>
        <v>Margen bruto</v>
      </c>
      <c r="B50" s="41">
        <f>+SUM(B44:B49)</f>
        <v>4963.579254159153</v>
      </c>
      <c r="C50" s="41">
        <f aca="true" t="shared" si="6" ref="C50:I50">+SUM(C44:C49)</f>
        <v>5031.236744959281</v>
      </c>
      <c r="D50" s="41">
        <f t="shared" si="6"/>
        <v>5162.418627477781</v>
      </c>
      <c r="E50" s="42">
        <f t="shared" si="6"/>
        <v>5375.180380739328</v>
      </c>
      <c r="F50" s="41">
        <f t="shared" si="6"/>
        <v>5409.891137040911</v>
      </c>
      <c r="G50" s="50">
        <f t="shared" si="6"/>
        <v>6056.870354939646</v>
      </c>
      <c r="H50" s="50">
        <f t="shared" si="6"/>
        <v>6899.201507969444</v>
      </c>
      <c r="I50" s="50">
        <f t="shared" si="6"/>
        <v>0</v>
      </c>
    </row>
    <row r="51" spans="1:9" ht="15">
      <c r="A51" s="43" t="str">
        <f>HLOOKUP(INDICE!$F$2,Nombres!$C$3:$D$636,38,FALSE)</f>
        <v>Gastos de explotación</v>
      </c>
      <c r="B51" s="44">
        <v>-2251.4487350031286</v>
      </c>
      <c r="C51" s="44">
        <v>-2280.237451363303</v>
      </c>
      <c r="D51" s="44">
        <v>-2342.7666073273667</v>
      </c>
      <c r="E51" s="45">
        <v>-2549.8143355783404</v>
      </c>
      <c r="F51" s="44">
        <v>-2446.0492254923356</v>
      </c>
      <c r="G51" s="44">
        <v>-2613.439268185519</v>
      </c>
      <c r="H51" s="44">
        <v>-2812.3655062721455</v>
      </c>
      <c r="I51" s="44">
        <v>0</v>
      </c>
    </row>
    <row r="52" spans="1:9" ht="15">
      <c r="A52" s="43" t="str">
        <f>HLOOKUP(INDICE!$F$2,Nombres!$C$3:$D$636,39,FALSE)</f>
        <v>  Gastos de administración</v>
      </c>
      <c r="B52" s="44">
        <v>-1948.2618270544472</v>
      </c>
      <c r="C52" s="44">
        <v>-1975.041601621666</v>
      </c>
      <c r="D52" s="44">
        <v>-2032.1408781654332</v>
      </c>
      <c r="E52" s="45">
        <v>-2240.0520312464023</v>
      </c>
      <c r="F52" s="44">
        <v>-2128.933514944511</v>
      </c>
      <c r="G52" s="44">
        <v>-2274.8726257348935</v>
      </c>
      <c r="H52" s="44">
        <v>-2477.6828593005957</v>
      </c>
      <c r="I52" s="44">
        <v>0</v>
      </c>
    </row>
    <row r="53" spans="1:9" ht="15">
      <c r="A53" s="46" t="str">
        <f>HLOOKUP(INDICE!$F$2,Nombres!$C$3:$D$636,40,FALSE)</f>
        <v>  Gastos de personal</v>
      </c>
      <c r="B53" s="44">
        <v>-1146.6166512265627</v>
      </c>
      <c r="C53" s="44">
        <v>-1163.2940231812322</v>
      </c>
      <c r="D53" s="44">
        <v>-1249.844006704438</v>
      </c>
      <c r="E53" s="45">
        <v>-1386.0543935094552</v>
      </c>
      <c r="F53" s="44">
        <v>-1247.882225830108</v>
      </c>
      <c r="G53" s="44">
        <v>-1337.9487309665617</v>
      </c>
      <c r="H53" s="44">
        <v>-1476.1680432733306</v>
      </c>
      <c r="I53" s="44">
        <v>0</v>
      </c>
    </row>
    <row r="54" spans="1:9" ht="15">
      <c r="A54" s="46" t="str">
        <f>HLOOKUP(INDICE!$F$2,Nombres!$C$3:$D$636,41,FALSE)</f>
        <v>  Otros gastos de administración</v>
      </c>
      <c r="B54" s="44">
        <v>-801.6451758278845</v>
      </c>
      <c r="C54" s="44">
        <v>-811.7475784404337</v>
      </c>
      <c r="D54" s="44">
        <v>-782.2968714609951</v>
      </c>
      <c r="E54" s="45">
        <v>-853.9976377369469</v>
      </c>
      <c r="F54" s="44">
        <v>-881.051289114403</v>
      </c>
      <c r="G54" s="44">
        <v>-936.9238947683317</v>
      </c>
      <c r="H54" s="44">
        <v>-1001.5148160272655</v>
      </c>
      <c r="I54" s="44">
        <v>0</v>
      </c>
    </row>
    <row r="55" spans="1:9" ht="15">
      <c r="A55" s="43" t="str">
        <f>HLOOKUP(INDICE!$F$2,Nombres!$C$3:$D$636,42,FALSE)</f>
        <v>  Amortización</v>
      </c>
      <c r="B55" s="44">
        <v>-303.18690794868104</v>
      </c>
      <c r="C55" s="44">
        <v>-305.19584974163746</v>
      </c>
      <c r="D55" s="44">
        <v>-310.62572916193335</v>
      </c>
      <c r="E55" s="45">
        <v>-309.76230433193825</v>
      </c>
      <c r="F55" s="44">
        <v>-317.11571054782496</v>
      </c>
      <c r="G55" s="44">
        <v>-338.5666424506255</v>
      </c>
      <c r="H55" s="44">
        <v>-334.68264697154956</v>
      </c>
      <c r="I55" s="44">
        <v>0</v>
      </c>
    </row>
    <row r="56" spans="1:9" ht="15">
      <c r="A56" s="41" t="str">
        <f>HLOOKUP(INDICE!$F$2,Nombres!$C$3:$D$636,43,FALSE)</f>
        <v>Margen neto</v>
      </c>
      <c r="B56" s="41">
        <f>+B50+B51</f>
        <v>2712.130519156024</v>
      </c>
      <c r="C56" s="41">
        <f aca="true" t="shared" si="7" ref="C56:I56">+C50+C51</f>
        <v>2750.999293595978</v>
      </c>
      <c r="D56" s="41">
        <f t="shared" si="7"/>
        <v>2819.6520201504145</v>
      </c>
      <c r="E56" s="42">
        <f t="shared" si="7"/>
        <v>2825.3660451609876</v>
      </c>
      <c r="F56" s="41">
        <f t="shared" si="7"/>
        <v>2963.841911548576</v>
      </c>
      <c r="G56" s="50">
        <f t="shared" si="7"/>
        <v>3443.431086754127</v>
      </c>
      <c r="H56" s="50">
        <f t="shared" si="7"/>
        <v>4086.8360016972983</v>
      </c>
      <c r="I56" s="50">
        <f t="shared" si="7"/>
        <v>0</v>
      </c>
    </row>
    <row r="57" spans="1:9" ht="15">
      <c r="A57" s="43" t="str">
        <f>HLOOKUP(INDICE!$F$2,Nombres!$C$3:$D$636,44,FALSE)</f>
        <v>Deterioro de activos financieros no valorados a valor razonable con cambios en resultados</v>
      </c>
      <c r="B57" s="44">
        <v>-923.2102392939245</v>
      </c>
      <c r="C57" s="44">
        <v>-677.1789970584567</v>
      </c>
      <c r="D57" s="44">
        <v>-636.2726876117501</v>
      </c>
      <c r="E57" s="45">
        <v>-775.358835215856</v>
      </c>
      <c r="F57" s="44">
        <v>-751.2668188297097</v>
      </c>
      <c r="G57" s="44">
        <v>-700.5266150929208</v>
      </c>
      <c r="H57" s="44">
        <v>-928.6705661173698</v>
      </c>
      <c r="I57" s="44">
        <v>0</v>
      </c>
    </row>
    <row r="58" spans="1:9" ht="15">
      <c r="A58" s="43" t="str">
        <f>HLOOKUP(INDICE!$F$2,Nombres!$C$3:$D$636,247,FALSE)</f>
        <v>Provisiones o reversión de provisiones</v>
      </c>
      <c r="B58" s="44">
        <v>-164.72495177599453</v>
      </c>
      <c r="C58" s="44">
        <v>-24.900812915475754</v>
      </c>
      <c r="D58" s="44">
        <v>-56.846565961538744</v>
      </c>
      <c r="E58" s="45">
        <v>-26.90875735517497</v>
      </c>
      <c r="F58" s="44">
        <v>-45.27288010372713</v>
      </c>
      <c r="G58" s="44">
        <v>-63.23692669762795</v>
      </c>
      <c r="H58" s="44">
        <v>-132.42419319864493</v>
      </c>
      <c r="I58" s="44">
        <v>0</v>
      </c>
    </row>
    <row r="59" spans="1:9" ht="15">
      <c r="A59" s="43" t="str">
        <f>HLOOKUP(INDICE!$F$2,Nombres!$C$3:$D$636,248,FALSE)</f>
        <v>Otros resultados</v>
      </c>
      <c r="B59" s="44">
        <v>-22.191549367555417</v>
      </c>
      <c r="C59" s="44">
        <v>-7.910758492427268</v>
      </c>
      <c r="D59" s="44">
        <v>18.92041259652657</v>
      </c>
      <c r="E59" s="45">
        <v>8.837655844480192</v>
      </c>
      <c r="F59" s="44">
        <v>19.704756863208935</v>
      </c>
      <c r="G59" s="44">
        <v>-2.711629219106758</v>
      </c>
      <c r="H59" s="44">
        <v>19.633825905897936</v>
      </c>
      <c r="I59" s="44">
        <v>0</v>
      </c>
    </row>
    <row r="60" spans="1:9" ht="15">
      <c r="A60" s="41" t="str">
        <f>HLOOKUP(INDICE!$F$2,Nombres!$C$3:$D$636,46,FALSE)</f>
        <v>Resultado antes de impuestos</v>
      </c>
      <c r="B60" s="50">
        <f aca="true" t="shared" si="8" ref="B60:I60">+B56+B57+B58+B59</f>
        <v>1602.0037787185497</v>
      </c>
      <c r="C60" s="50">
        <f t="shared" si="8"/>
        <v>2041.0087251296181</v>
      </c>
      <c r="D60" s="50">
        <f t="shared" si="8"/>
        <v>2145.453179173652</v>
      </c>
      <c r="E60" s="42">
        <f t="shared" si="8"/>
        <v>2031.936108434437</v>
      </c>
      <c r="F60" s="50">
        <f t="shared" si="8"/>
        <v>2187.006969478348</v>
      </c>
      <c r="G60" s="50">
        <f t="shared" si="8"/>
        <v>2676.9559157444714</v>
      </c>
      <c r="H60" s="50">
        <f t="shared" si="8"/>
        <v>3045.3750682871814</v>
      </c>
      <c r="I60" s="50">
        <f t="shared" si="8"/>
        <v>0</v>
      </c>
    </row>
    <row r="61" spans="1:9" ht="15">
      <c r="A61" s="43" t="str">
        <f>HLOOKUP(INDICE!$F$2,Nombres!$C$3:$D$636,47,FALSE)</f>
        <v>Impuesto sobre beneficios</v>
      </c>
      <c r="B61" s="44">
        <v>-464.56089052107916</v>
      </c>
      <c r="C61" s="44">
        <v>-594.9515320506715</v>
      </c>
      <c r="D61" s="44">
        <v>-596.3034485285257</v>
      </c>
      <c r="E61" s="45">
        <v>-465.01781564723274</v>
      </c>
      <c r="F61" s="44">
        <v>-891.8722584319104</v>
      </c>
      <c r="G61" s="44">
        <v>-694.106949629205</v>
      </c>
      <c r="H61" s="44">
        <v>-1019.3565755088846</v>
      </c>
      <c r="I61" s="44">
        <v>0</v>
      </c>
    </row>
    <row r="62" spans="1:9" ht="15">
      <c r="A62" s="41" t="str">
        <f>HLOOKUP(INDICE!$F$2,Nombres!$C$3:$D$636,48,FALSE)</f>
        <v>Resultado del ejercicio</v>
      </c>
      <c r="B62" s="50">
        <f aca="true" t="shared" si="9" ref="B62:I62">+B60+B61</f>
        <v>1137.4428881974704</v>
      </c>
      <c r="C62" s="50">
        <f t="shared" si="9"/>
        <v>1446.0571930789465</v>
      </c>
      <c r="D62" s="50">
        <f t="shared" si="9"/>
        <v>1549.1497306451265</v>
      </c>
      <c r="E62" s="42">
        <f t="shared" si="9"/>
        <v>1566.9182927872043</v>
      </c>
      <c r="F62" s="50">
        <f t="shared" si="9"/>
        <v>1295.1347110464376</v>
      </c>
      <c r="G62" s="50">
        <f t="shared" si="9"/>
        <v>1982.8489661152664</v>
      </c>
      <c r="H62" s="50">
        <f t="shared" si="9"/>
        <v>2026.0184927782968</v>
      </c>
      <c r="I62" s="50">
        <f t="shared" si="9"/>
        <v>0</v>
      </c>
    </row>
    <row r="63" spans="1:9" ht="15">
      <c r="A63" s="43" t="str">
        <f>HLOOKUP(INDICE!$F$2,Nombres!$C$3:$D$636,49,FALSE)</f>
        <v>Minoritarios</v>
      </c>
      <c r="B63" s="44">
        <v>-134.46244379290425</v>
      </c>
      <c r="C63" s="44">
        <v>-150.86771783631798</v>
      </c>
      <c r="D63" s="44">
        <v>-169.1938121216855</v>
      </c>
      <c r="E63" s="45">
        <v>-191.54787333998263</v>
      </c>
      <c r="F63" s="44">
        <v>43.01472305780209</v>
      </c>
      <c r="G63" s="44">
        <v>-125.66878053281097</v>
      </c>
      <c r="H63" s="44">
        <v>-177.80494252499108</v>
      </c>
      <c r="I63" s="44">
        <v>0</v>
      </c>
    </row>
    <row r="64" spans="1:9" ht="15">
      <c r="A64" s="47" t="str">
        <f>HLOOKUP(INDICE!$F$2,Nombres!$C$3:$D$636,305,FALSE)</f>
        <v>Resultado atribuido excluyendo impactos no recurrentes</v>
      </c>
      <c r="B64" s="47">
        <f>+B62+B63</f>
        <v>1002.9804444045662</v>
      </c>
      <c r="C64" s="47">
        <f aca="true" t="shared" si="10" ref="C64:I64">+C62+C63</f>
        <v>1295.1894752426285</v>
      </c>
      <c r="D64" s="47">
        <f t="shared" si="10"/>
        <v>1379.955918523441</v>
      </c>
      <c r="E64" s="47">
        <f t="shared" si="10"/>
        <v>1375.3704194472216</v>
      </c>
      <c r="F64" s="47">
        <f t="shared" si="10"/>
        <v>1338.1494341042396</v>
      </c>
      <c r="G64" s="47">
        <f t="shared" si="10"/>
        <v>1857.1801855824554</v>
      </c>
      <c r="H64" s="47">
        <f t="shared" si="10"/>
        <v>1848.2135502533058</v>
      </c>
      <c r="I64" s="47">
        <f t="shared" si="10"/>
        <v>0</v>
      </c>
    </row>
    <row r="65" spans="1:9" ht="15">
      <c r="A65" s="43" t="str">
        <f>HLOOKUP(INDICE!$F$2,Nombres!$C$3:$D$636,315,FALSE)</f>
        <v>Resultado de operaciones interrumpidas y otros (1)</v>
      </c>
      <c r="B65" s="44">
        <v>200.4825303804534</v>
      </c>
      <c r="C65" s="44">
        <v>-583.2585573435489</v>
      </c>
      <c r="D65" s="44">
        <v>-2.1388869386906957</v>
      </c>
      <c r="E65" s="45">
        <v>-3.161790153704218</v>
      </c>
      <c r="F65" s="44">
        <v>0</v>
      </c>
      <c r="G65" s="44">
        <v>-201.39716995</v>
      </c>
      <c r="H65" s="44">
        <v>0</v>
      </c>
      <c r="I65" s="44">
        <v>0</v>
      </c>
    </row>
    <row r="66" spans="1:9" ht="15">
      <c r="A66" s="47" t="str">
        <f>HLOOKUP(INDICE!$F$2,Nombres!$C$3:$D$636,50,FALSE)</f>
        <v>Resultado atribuido</v>
      </c>
      <c r="B66" s="47">
        <f>+B64+B65</f>
        <v>1203.4629747850197</v>
      </c>
      <c r="C66" s="47">
        <f aca="true" t="shared" si="11" ref="C66:I66">+C64+C65</f>
        <v>711.9309178990796</v>
      </c>
      <c r="D66" s="47">
        <f t="shared" si="11"/>
        <v>1377.81703158475</v>
      </c>
      <c r="E66" s="47">
        <f t="shared" si="11"/>
        <v>1372.2086292935173</v>
      </c>
      <c r="F66" s="47">
        <f t="shared" si="11"/>
        <v>1338.1494341042396</v>
      </c>
      <c r="G66" s="47">
        <f t="shared" si="11"/>
        <v>1655.7830156324553</v>
      </c>
      <c r="H66" s="47">
        <f t="shared" si="11"/>
        <v>1848.2135502533058</v>
      </c>
      <c r="I66" s="47">
        <f t="shared" si="11"/>
        <v>0</v>
      </c>
    </row>
    <row r="67" spans="1:9" ht="15">
      <c r="A67" s="43"/>
      <c r="B67" s="48">
        <v>1.1368683772161603E-12</v>
      </c>
      <c r="C67" s="48">
        <v>0</v>
      </c>
      <c r="D67" s="48">
        <v>0</v>
      </c>
      <c r="E67" s="48">
        <v>0</v>
      </c>
      <c r="F67" s="48">
        <v>0</v>
      </c>
      <c r="G67" s="48">
        <v>0</v>
      </c>
      <c r="H67" s="48">
        <v>0</v>
      </c>
      <c r="I67" s="48">
        <v>0</v>
      </c>
    </row>
    <row r="68" spans="1:9" ht="12.75" customHeight="1">
      <c r="A68" s="284"/>
      <c r="B68" s="48">
        <v>0</v>
      </c>
      <c r="C68" s="48">
        <v>0</v>
      </c>
      <c r="D68" s="48">
        <v>0</v>
      </c>
      <c r="E68" s="48">
        <v>0</v>
      </c>
      <c r="F68" s="48">
        <v>0</v>
      </c>
      <c r="G68" s="48">
        <v>0</v>
      </c>
      <c r="H68" s="48">
        <v>0</v>
      </c>
      <c r="I68" s="48">
        <v>0</v>
      </c>
    </row>
    <row r="69" spans="1:9" ht="24" customHeight="1">
      <c r="A69" s="312" t="str">
        <f>HLOOKUP(INDICE!$F$2,Nombres!$C$3:$D$636,316,FALSE)</f>
        <v>(1) Incluen los resultados generados por BBVA USA y el resto de sociedades de EEUU vendidas a PNC el 1 de junio de 2021, los costes netos asociados al proceso de reestructuración y el impacto neto de la compra de oficinas en España. (más detalle en las áreas de España y Centro Corporativo)</v>
      </c>
      <c r="B69" s="312"/>
      <c r="C69" s="312"/>
      <c r="D69" s="312"/>
      <c r="E69" s="312"/>
      <c r="F69" s="312"/>
      <c r="G69" s="312"/>
      <c r="H69" s="312"/>
      <c r="I69" s="312"/>
    </row>
    <row r="70" spans="1:9" ht="15" customHeight="1">
      <c r="A70" s="312"/>
      <c r="B70" s="312"/>
      <c r="C70" s="312"/>
      <c r="D70" s="312"/>
      <c r="E70" s="312"/>
      <c r="F70" s="312"/>
      <c r="G70" s="312"/>
      <c r="H70" s="312"/>
      <c r="I70" s="312"/>
    </row>
    <row r="71" spans="1:9" ht="15">
      <c r="A71" s="43"/>
      <c r="B71" s="265"/>
      <c r="C71" s="265"/>
      <c r="D71" s="265"/>
      <c r="E71" s="265"/>
      <c r="F71" s="265"/>
      <c r="G71" s="265"/>
      <c r="H71" s="265"/>
      <c r="I71" s="265"/>
    </row>
    <row r="72" spans="1:9" ht="15">
      <c r="A72"/>
      <c r="B72" s="265"/>
      <c r="C72" s="265"/>
      <c r="D72" s="265"/>
      <c r="E72" s="265"/>
      <c r="F72" s="265"/>
      <c r="G72" s="265"/>
      <c r="H72" s="265"/>
      <c r="I72" s="265"/>
    </row>
    <row r="73" spans="2:9" ht="15">
      <c r="B73" s="265"/>
      <c r="C73" s="265"/>
      <c r="D73" s="265"/>
      <c r="E73" s="265"/>
      <c r="F73" s="265"/>
      <c r="G73" s="265"/>
      <c r="H73" s="265"/>
      <c r="I73" s="265"/>
    </row>
    <row r="85" ht="15">
      <c r="A85"/>
    </row>
    <row r="999" ht="15">
      <c r="A999" s="31" t="s">
        <v>392</v>
      </c>
    </row>
  </sheetData>
  <sheetProtection/>
  <mergeCells count="9">
    <mergeCell ref="A34:I34"/>
    <mergeCell ref="B42:E42"/>
    <mergeCell ref="F42:I42"/>
    <mergeCell ref="A69:I69"/>
    <mergeCell ref="A70:I70"/>
    <mergeCell ref="B6:E6"/>
    <mergeCell ref="F6:I6"/>
    <mergeCell ref="A35:I35"/>
    <mergeCell ref="A33:I33"/>
  </mergeCells>
  <conditionalFormatting sqref="B36:I36">
    <cfRule type="cellIs" priority="44" dxfId="13" operator="notBetween">
      <formula>0.4</formula>
      <formula>-0.4</formula>
    </cfRule>
  </conditionalFormatting>
  <conditionalFormatting sqref="B37:I37">
    <cfRule type="cellIs" priority="43" dxfId="13" operator="notBetween">
      <formula>0.4</formula>
      <formula>-0.4</formula>
    </cfRule>
  </conditionalFormatting>
  <conditionalFormatting sqref="E31">
    <cfRule type="cellIs" priority="35" dxfId="131" operator="notBetween">
      <formula>0.5</formula>
      <formula>-0.5</formula>
    </cfRule>
  </conditionalFormatting>
  <conditionalFormatting sqref="C31">
    <cfRule type="cellIs" priority="33" dxfId="131" operator="notBetween">
      <formula>0.5</formula>
      <formula>-0.5</formula>
    </cfRule>
  </conditionalFormatting>
  <conditionalFormatting sqref="H31">
    <cfRule type="cellIs" priority="38" dxfId="131" operator="notBetween">
      <formula>0.5</formula>
      <formula>-0.5</formula>
    </cfRule>
  </conditionalFormatting>
  <conditionalFormatting sqref="I31">
    <cfRule type="cellIs" priority="42" dxfId="131" operator="notBetween">
      <formula>0.5</formula>
      <formula>-0.5</formula>
    </cfRule>
  </conditionalFormatting>
  <conditionalFormatting sqref="B71:G71">
    <cfRule type="cellIs" priority="41" dxfId="13" operator="notBetween">
      <formula>0.4</formula>
      <formula>-0.4</formula>
    </cfRule>
  </conditionalFormatting>
  <conditionalFormatting sqref="G31">
    <cfRule type="cellIs" priority="37" dxfId="131" operator="notBetween">
      <formula>0.5</formula>
      <formula>-0.5</formula>
    </cfRule>
  </conditionalFormatting>
  <conditionalFormatting sqref="H71">
    <cfRule type="cellIs" priority="40" dxfId="13" operator="notBetween">
      <formula>0.4</formula>
      <formula>-0.4</formula>
    </cfRule>
  </conditionalFormatting>
  <conditionalFormatting sqref="I71">
    <cfRule type="cellIs" priority="39" dxfId="13" operator="notBetween">
      <formula>0.4</formula>
      <formula>-0.4</formula>
    </cfRule>
  </conditionalFormatting>
  <conditionalFormatting sqref="F31">
    <cfRule type="cellIs" priority="36" dxfId="131" operator="notBetween">
      <formula>0.5</formula>
      <formula>-0.5</formula>
    </cfRule>
  </conditionalFormatting>
  <conditionalFormatting sqref="D31">
    <cfRule type="cellIs" priority="34" dxfId="131" operator="notBetween">
      <formula>0.5</formula>
      <formula>-0.5</formula>
    </cfRule>
  </conditionalFormatting>
  <conditionalFormatting sqref="D32">
    <cfRule type="cellIs" priority="30" dxfId="131" operator="notBetween">
      <formula>0.5</formula>
      <formula>-0.5</formula>
    </cfRule>
  </conditionalFormatting>
  <conditionalFormatting sqref="B31:I31">
    <cfRule type="cellIs" priority="32" dxfId="131" operator="notBetween">
      <formula>0.5</formula>
      <formula>-0.5</formula>
    </cfRule>
  </conditionalFormatting>
  <conditionalFormatting sqref="C32">
    <cfRule type="cellIs" priority="31" dxfId="131" operator="notBetween">
      <formula>0.5</formula>
      <formula>-0.5</formula>
    </cfRule>
  </conditionalFormatting>
  <conditionalFormatting sqref="B32:I32">
    <cfRule type="cellIs" priority="29" dxfId="131" operator="notBetween">
      <formula>0.5</formula>
      <formula>-0.5</formula>
    </cfRule>
  </conditionalFormatting>
  <conditionalFormatting sqref="F31">
    <cfRule type="cellIs" priority="28" dxfId="131" operator="notBetween">
      <formula>0.5</formula>
      <formula>-0.5</formula>
    </cfRule>
  </conditionalFormatting>
  <conditionalFormatting sqref="G31">
    <cfRule type="cellIs" priority="27" dxfId="131" operator="notBetween">
      <formula>0.5</formula>
      <formula>-0.5</formula>
    </cfRule>
  </conditionalFormatting>
  <conditionalFormatting sqref="H31">
    <cfRule type="cellIs" priority="26" dxfId="131" operator="notBetween">
      <formula>0.5</formula>
      <formula>-0.5</formula>
    </cfRule>
  </conditionalFormatting>
  <conditionalFormatting sqref="I31">
    <cfRule type="cellIs" priority="25" dxfId="131" operator="notBetween">
      <formula>0.5</formula>
      <formula>-0.5</formula>
    </cfRule>
  </conditionalFormatting>
  <conditionalFormatting sqref="D31">
    <cfRule type="cellIs" priority="24" dxfId="131" operator="notBetween">
      <formula>0.5</formula>
      <formula>-0.5</formula>
    </cfRule>
  </conditionalFormatting>
  <conditionalFormatting sqref="C31">
    <cfRule type="cellIs" priority="23" dxfId="131" operator="notBetween">
      <formula>0.5</formula>
      <formula>-0.5</formula>
    </cfRule>
  </conditionalFormatting>
  <conditionalFormatting sqref="B31">
    <cfRule type="cellIs" priority="22" dxfId="131" operator="notBetween">
      <formula>0.5</formula>
      <formula>-0.5</formula>
    </cfRule>
  </conditionalFormatting>
  <conditionalFormatting sqref="F32:I32">
    <cfRule type="cellIs" priority="21" dxfId="131" operator="notBetween">
      <formula>0.5</formula>
      <formula>-0.5</formula>
    </cfRule>
  </conditionalFormatting>
  <conditionalFormatting sqref="B72:G72">
    <cfRule type="cellIs" priority="20" dxfId="13" operator="notBetween">
      <formula>0.4</formula>
      <formula>-0.4</formula>
    </cfRule>
  </conditionalFormatting>
  <conditionalFormatting sqref="H72">
    <cfRule type="cellIs" priority="19" dxfId="13" operator="notBetween">
      <formula>0.4</formula>
      <formula>-0.4</formula>
    </cfRule>
  </conditionalFormatting>
  <conditionalFormatting sqref="I72">
    <cfRule type="cellIs" priority="18" dxfId="13" operator="notBetween">
      <formula>0.4</formula>
      <formula>-0.4</formula>
    </cfRule>
  </conditionalFormatting>
  <conditionalFormatting sqref="E67">
    <cfRule type="cellIs" priority="13" dxfId="131" operator="notBetween">
      <formula>0.5</formula>
      <formula>-0.5</formula>
    </cfRule>
  </conditionalFormatting>
  <conditionalFormatting sqref="C67">
    <cfRule type="cellIs" priority="11" dxfId="131" operator="notBetween">
      <formula>0.5</formula>
      <formula>-0.5</formula>
    </cfRule>
  </conditionalFormatting>
  <conditionalFormatting sqref="H67">
    <cfRule type="cellIs" priority="16" dxfId="131" operator="notBetween">
      <formula>0.5</formula>
      <formula>-0.5</formula>
    </cfRule>
  </conditionalFormatting>
  <conditionalFormatting sqref="I67">
    <cfRule type="cellIs" priority="17" dxfId="131" operator="notBetween">
      <formula>0.5</formula>
      <formula>-0.5</formula>
    </cfRule>
  </conditionalFormatting>
  <conditionalFormatting sqref="G67">
    <cfRule type="cellIs" priority="15" dxfId="131" operator="notBetween">
      <formula>0.5</formula>
      <formula>-0.5</formula>
    </cfRule>
  </conditionalFormatting>
  <conditionalFormatting sqref="F67">
    <cfRule type="cellIs" priority="14" dxfId="131" operator="notBetween">
      <formula>0.5</formula>
      <formula>-0.5</formula>
    </cfRule>
  </conditionalFormatting>
  <conditionalFormatting sqref="D67">
    <cfRule type="cellIs" priority="12" dxfId="131" operator="notBetween">
      <formula>0.5</formula>
      <formula>-0.5</formula>
    </cfRule>
  </conditionalFormatting>
  <conditionalFormatting sqref="B67:I67">
    <cfRule type="cellIs" priority="10" dxfId="131" operator="notBetween">
      <formula>0.5</formula>
      <formula>-0.5</formula>
    </cfRule>
  </conditionalFormatting>
  <conditionalFormatting sqref="F67">
    <cfRule type="cellIs" priority="9" dxfId="131" operator="notBetween">
      <formula>0.5</formula>
      <formula>-0.5</formula>
    </cfRule>
  </conditionalFormatting>
  <conditionalFormatting sqref="G67">
    <cfRule type="cellIs" priority="8" dxfId="131" operator="notBetween">
      <formula>0.5</formula>
      <formula>-0.5</formula>
    </cfRule>
  </conditionalFormatting>
  <conditionalFormatting sqref="H67">
    <cfRule type="cellIs" priority="7" dxfId="131" operator="notBetween">
      <formula>0.5</formula>
      <formula>-0.5</formula>
    </cfRule>
  </conditionalFormatting>
  <conditionalFormatting sqref="I67">
    <cfRule type="cellIs" priority="6" dxfId="131" operator="notBetween">
      <formula>0.5</formula>
      <formula>-0.5</formula>
    </cfRule>
  </conditionalFormatting>
  <conditionalFormatting sqref="D67">
    <cfRule type="cellIs" priority="5" dxfId="131" operator="notBetween">
      <formula>0.5</formula>
      <formula>-0.5</formula>
    </cfRule>
  </conditionalFormatting>
  <conditionalFormatting sqref="C67">
    <cfRule type="cellIs" priority="4" dxfId="131" operator="notBetween">
      <formula>0.5</formula>
      <formula>-0.5</formula>
    </cfRule>
  </conditionalFormatting>
  <conditionalFormatting sqref="B67:I67">
    <cfRule type="cellIs" priority="3" dxfId="131" operator="notBetween">
      <formula>0.5</formula>
      <formula>-0.5</formula>
    </cfRule>
  </conditionalFormatting>
  <conditionalFormatting sqref="B68:I68">
    <cfRule type="cellIs" priority="2" dxfId="131" operator="notBetween">
      <formula>0.5</formula>
      <formula>-0.5</formula>
    </cfRule>
  </conditionalFormatting>
  <conditionalFormatting sqref="B68:I68">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1000"/>
  <sheetViews>
    <sheetView showGridLines="0" zoomScale="90" zoomScaleNormal="90" zoomScalePageLayoutView="0" workbookViewId="0" topLeftCell="A1">
      <selection activeCell="A1" sqref="A1"/>
    </sheetView>
  </sheetViews>
  <sheetFormatPr defaultColWidth="11.421875" defaultRowHeight="15"/>
  <cols>
    <col min="1" max="1" width="86.421875" style="31" customWidth="1"/>
    <col min="2" max="2" width="10.421875" style="31" customWidth="1"/>
    <col min="3" max="8" width="11.421875" style="31" customWidth="1"/>
    <col min="9" max="9" width="0" style="31" hidden="1" customWidth="1"/>
    <col min="10" max="18" width="11.421875" style="31" customWidth="1"/>
  </cols>
  <sheetData>
    <row r="1" spans="1:9" ht="18">
      <c r="A1" s="29" t="str">
        <f>HLOOKUP(INDICE!$F$2,Nombres!$C$3:$D$636,104,FALSE)</f>
        <v>Grupo BBVA. Balances de situación consolidados</v>
      </c>
      <c r="B1" s="30"/>
      <c r="C1" s="30"/>
      <c r="D1" s="30"/>
      <c r="E1" s="30"/>
      <c r="F1" s="30"/>
      <c r="G1" s="30"/>
      <c r="H1" s="30"/>
      <c r="I1" s="30"/>
    </row>
    <row r="2" spans="1:9" ht="19.5">
      <c r="A2" s="32"/>
      <c r="B2" s="30"/>
      <c r="C2" s="30"/>
      <c r="D2" s="30"/>
      <c r="E2" s="30"/>
      <c r="F2" s="30"/>
      <c r="G2" s="30"/>
      <c r="H2" s="30"/>
      <c r="I2" s="30"/>
    </row>
    <row r="3" spans="1:9" ht="18">
      <c r="A3" s="33" t="str">
        <f>HLOOKUP(INDICE!$F$2,Nombres!$C$3:$D$636,51,FALSE)</f>
        <v>Balances</v>
      </c>
      <c r="B3" s="34"/>
      <c r="C3" s="34"/>
      <c r="D3" s="34"/>
      <c r="E3" s="34"/>
      <c r="F3" s="34"/>
      <c r="G3" s="34"/>
      <c r="H3" s="34"/>
      <c r="I3" s="34"/>
    </row>
    <row r="4" spans="1:9" ht="15">
      <c r="A4" s="35" t="str">
        <f>HLOOKUP(INDICE!$F$2,Nombres!$C$3:$D$636,32,FALSE)</f>
        <v>(Millones de euros)</v>
      </c>
      <c r="B4" s="30"/>
      <c r="C4" s="52"/>
      <c r="D4" s="52"/>
      <c r="E4" s="52"/>
      <c r="F4" s="30"/>
      <c r="G4" s="58"/>
      <c r="H4" s="58"/>
      <c r="I4" s="58"/>
    </row>
    <row r="5" spans="1:9" ht="15.75">
      <c r="A5" s="30"/>
      <c r="B5" s="53">
        <f>+España!B32</f>
        <v>44286</v>
      </c>
      <c r="C5" s="53">
        <f>+España!C32</f>
        <v>44377</v>
      </c>
      <c r="D5" s="53">
        <f>+España!D32</f>
        <v>44469</v>
      </c>
      <c r="E5" s="53">
        <f>+España!E32</f>
        <v>44561</v>
      </c>
      <c r="F5" s="53">
        <f>+España!F32</f>
        <v>44651</v>
      </c>
      <c r="G5" s="53">
        <f>+España!G32</f>
        <v>44742</v>
      </c>
      <c r="H5" s="53">
        <f>+España!H32</f>
        <v>44834</v>
      </c>
      <c r="I5" s="53">
        <f>+España!I32</f>
        <v>44926</v>
      </c>
    </row>
    <row r="6" spans="1:18" ht="15">
      <c r="A6" s="43" t="str">
        <f>HLOOKUP(INDICE!$F$2,Nombres!$C$3:$D$636,52,FALSE)</f>
        <v>Efectivo, saldos en efectivo en bancos centrales y otros depósitos a la vista</v>
      </c>
      <c r="B6" s="44">
        <v>54949.79</v>
      </c>
      <c r="C6" s="44">
        <v>61686.822</v>
      </c>
      <c r="D6" s="44">
        <v>63232.27</v>
      </c>
      <c r="E6" s="44">
        <v>67799.213</v>
      </c>
      <c r="F6" s="44">
        <v>70936.578</v>
      </c>
      <c r="G6" s="44">
        <v>81507.862</v>
      </c>
      <c r="H6" s="44">
        <v>88076.127</v>
      </c>
      <c r="I6" s="44">
        <v>0</v>
      </c>
      <c r="J6" s="54"/>
      <c r="K6" s="54"/>
      <c r="O6" s="54"/>
      <c r="P6" s="54"/>
      <c r="Q6" s="54"/>
      <c r="R6" s="54"/>
    </row>
    <row r="7" spans="1:18" ht="15">
      <c r="A7" s="43" t="str">
        <f>HLOOKUP(INDICE!$F$2,Nombres!$C$3:$D$636,131,FALSE)</f>
        <v>Activos financieros mantenidos para negociar</v>
      </c>
      <c r="B7" s="44">
        <v>98274.522</v>
      </c>
      <c r="C7" s="44">
        <v>102647.141</v>
      </c>
      <c r="D7" s="44">
        <v>106505.09</v>
      </c>
      <c r="E7" s="44">
        <v>123492.711</v>
      </c>
      <c r="F7" s="44">
        <v>112131.153</v>
      </c>
      <c r="G7" s="44">
        <v>120822.86</v>
      </c>
      <c r="H7" s="44">
        <v>119965.921</v>
      </c>
      <c r="I7" s="44">
        <v>0</v>
      </c>
      <c r="J7" s="54"/>
      <c r="K7" s="54"/>
      <c r="O7" s="54"/>
      <c r="P7" s="54"/>
      <c r="Q7" s="54"/>
      <c r="R7" s="54"/>
    </row>
    <row r="8" spans="1:18" ht="15">
      <c r="A8" s="43" t="str">
        <f>HLOOKUP(INDICE!$F$2,Nombres!$C$3:$D$636,132,FALSE)</f>
        <v>Activos financieros no destinados a negociación valorados obligatoriamente a valor razonable con cambios en resultados</v>
      </c>
      <c r="B8" s="44">
        <v>5488.333</v>
      </c>
      <c r="C8" s="44">
        <v>5742.114</v>
      </c>
      <c r="D8" s="44">
        <v>5873.735</v>
      </c>
      <c r="E8" s="44">
        <v>6085.755</v>
      </c>
      <c r="F8" s="44">
        <v>6624.612</v>
      </c>
      <c r="G8" s="44">
        <v>6774.555</v>
      </c>
      <c r="H8" s="44">
        <v>7290.057</v>
      </c>
      <c r="I8" s="44">
        <v>0</v>
      </c>
      <c r="J8" s="54"/>
      <c r="K8" s="54"/>
      <c r="O8" s="54"/>
      <c r="P8" s="54"/>
      <c r="Q8" s="54"/>
      <c r="R8" s="54"/>
    </row>
    <row r="9" spans="1:18" ht="15">
      <c r="A9" s="43" t="str">
        <f>HLOOKUP(INDICE!$F$2,Nombres!$C$3:$D$636,133,FALSE)</f>
        <v>Activos financieros designados a valor razonable con cambios en resultados</v>
      </c>
      <c r="B9" s="44">
        <v>1110.309</v>
      </c>
      <c r="C9" s="44">
        <v>1106.563</v>
      </c>
      <c r="D9" s="44">
        <v>1136.922</v>
      </c>
      <c r="E9" s="44">
        <v>1091.698</v>
      </c>
      <c r="F9" s="44">
        <v>1035.864</v>
      </c>
      <c r="G9" s="44">
        <v>1003.087</v>
      </c>
      <c r="H9" s="44">
        <v>977.632</v>
      </c>
      <c r="I9" s="44">
        <v>0</v>
      </c>
      <c r="J9" s="54"/>
      <c r="K9" s="54"/>
      <c r="O9" s="54"/>
      <c r="P9" s="54"/>
      <c r="Q9" s="54"/>
      <c r="R9" s="54"/>
    </row>
    <row r="10" spans="1:18" ht="15">
      <c r="A10" s="43" t="str">
        <f>HLOOKUP(INDICE!$F$2,Nombres!$C$3:$D$636,134,FALSE)</f>
        <v>Activos financieros designados a valor razonable con cambios en otro resultado global acumulado</v>
      </c>
      <c r="B10" s="44">
        <v>72771.319</v>
      </c>
      <c r="C10" s="44">
        <v>73185.632</v>
      </c>
      <c r="D10" s="44">
        <v>69962.881</v>
      </c>
      <c r="E10" s="44">
        <v>60421.173</v>
      </c>
      <c r="F10" s="44">
        <v>65103.1</v>
      </c>
      <c r="G10" s="44">
        <v>63222.847</v>
      </c>
      <c r="H10" s="44">
        <v>62523.762</v>
      </c>
      <c r="I10" s="44">
        <v>0</v>
      </c>
      <c r="J10" s="54"/>
      <c r="K10" s="54"/>
      <c r="O10" s="54"/>
      <c r="P10" s="54"/>
      <c r="Q10" s="54"/>
      <c r="R10" s="54"/>
    </row>
    <row r="11" spans="1:18" ht="15">
      <c r="A11" s="43" t="str">
        <f>HLOOKUP(INDICE!$F$2,Nombres!$C$3:$D$636,135,FALSE)</f>
        <v>Activos financieros a coste amortizado</v>
      </c>
      <c r="B11" s="44">
        <v>363753.935</v>
      </c>
      <c r="C11" s="44">
        <v>368025.67999999993</v>
      </c>
      <c r="D11" s="44">
        <v>370217.123</v>
      </c>
      <c r="E11" s="44">
        <v>372675.89300000004</v>
      </c>
      <c r="F11" s="44">
        <v>388412.92799999996</v>
      </c>
      <c r="G11" s="44">
        <v>408147.555</v>
      </c>
      <c r="H11" s="44">
        <v>425854.20199999993</v>
      </c>
      <c r="I11" s="44">
        <v>0</v>
      </c>
      <c r="J11" s="54"/>
      <c r="K11" s="54"/>
      <c r="O11" s="54"/>
      <c r="P11" s="54"/>
      <c r="Q11" s="54"/>
      <c r="R11" s="54"/>
    </row>
    <row r="12" spans="1:18" ht="15">
      <c r="A12" s="55" t="str">
        <f>HLOOKUP(INDICE!$F$2,Nombres!$C$3:$D$636,136,FALSE)</f>
        <v>. Préstamos y anticipos en bancos centrales  y entidades de crédito</v>
      </c>
      <c r="B12" s="56">
        <v>16963.208</v>
      </c>
      <c r="C12" s="56">
        <v>16946.555</v>
      </c>
      <c r="D12" s="56">
        <v>18237.243</v>
      </c>
      <c r="E12" s="56">
        <v>18956.595999999998</v>
      </c>
      <c r="F12" s="56">
        <v>16749.572</v>
      </c>
      <c r="G12" s="56">
        <v>19761.975</v>
      </c>
      <c r="H12" s="56">
        <v>22797.36</v>
      </c>
      <c r="I12" s="56">
        <v>0</v>
      </c>
      <c r="J12" s="54"/>
      <c r="K12" s="54"/>
      <c r="O12" s="54"/>
      <c r="P12" s="54"/>
      <c r="Q12" s="54"/>
      <c r="R12" s="54"/>
    </row>
    <row r="13" spans="1:18" ht="15">
      <c r="A13" s="55" t="str">
        <f>HLOOKUP(INDICE!$F$2,Nombres!$C$3:$D$636,137,FALSE)</f>
        <v>. Préstamos y anticipos a la clientela</v>
      </c>
      <c r="B13" s="56">
        <v>310683.014</v>
      </c>
      <c r="C13" s="56">
        <v>315751.932</v>
      </c>
      <c r="D13" s="56">
        <v>316499.159</v>
      </c>
      <c r="E13" s="56">
        <v>318938.684</v>
      </c>
      <c r="F13" s="56">
        <v>335016.241</v>
      </c>
      <c r="G13" s="56">
        <v>350109.576</v>
      </c>
      <c r="H13" s="56">
        <v>361730.513</v>
      </c>
      <c r="I13" s="56">
        <v>0</v>
      </c>
      <c r="J13" s="54"/>
      <c r="K13" s="54"/>
      <c r="O13" s="54"/>
      <c r="P13" s="54"/>
      <c r="Q13" s="54"/>
      <c r="R13" s="54"/>
    </row>
    <row r="14" spans="1:18" ht="15">
      <c r="A14" s="55" t="str">
        <f>HLOOKUP(INDICE!$F$2,Nombres!$C$3:$D$636,138,FALSE)</f>
        <v>. Valores representativos de deuda</v>
      </c>
      <c r="B14" s="56">
        <v>36107.713</v>
      </c>
      <c r="C14" s="56">
        <v>35327.193</v>
      </c>
      <c r="D14" s="56">
        <v>35480.721</v>
      </c>
      <c r="E14" s="56">
        <v>34780.613</v>
      </c>
      <c r="F14" s="56">
        <v>36647.115</v>
      </c>
      <c r="G14" s="56">
        <v>38276.004</v>
      </c>
      <c r="H14" s="56">
        <v>41326.329</v>
      </c>
      <c r="I14" s="56">
        <v>0</v>
      </c>
      <c r="J14" s="54"/>
      <c r="K14" s="54"/>
      <c r="O14" s="54"/>
      <c r="P14" s="54"/>
      <c r="Q14" s="54"/>
      <c r="R14" s="54"/>
    </row>
    <row r="15" spans="1:18" ht="15" customHeight="1" hidden="1">
      <c r="A15" s="43" t="str">
        <f>HLOOKUP(INDICE!$F$2,Nombres!$C$3:$D$636,139,FALSE)</f>
        <v>Inversiones mantenidas hasta el vencimiento</v>
      </c>
      <c r="B15" s="57"/>
      <c r="C15" s="57"/>
      <c r="D15" s="57"/>
      <c r="E15" s="57"/>
      <c r="F15" s="57"/>
      <c r="G15" s="57"/>
      <c r="H15" s="57"/>
      <c r="I15" s="57"/>
      <c r="J15" s="54"/>
      <c r="K15" s="54"/>
      <c r="O15" s="54"/>
      <c r="P15" s="54"/>
      <c r="Q15" s="54"/>
      <c r="R15" s="54"/>
    </row>
    <row r="16" spans="1:18" ht="15">
      <c r="A16" s="43" t="str">
        <f>HLOOKUP(INDICE!$F$2,Nombres!$C$3:$D$636,140,FALSE)</f>
        <v>Inversiones en negocios conjuntos y asociadas</v>
      </c>
      <c r="B16" s="44">
        <v>1416.136</v>
      </c>
      <c r="C16" s="44">
        <v>1399.922</v>
      </c>
      <c r="D16" s="44">
        <v>880.324</v>
      </c>
      <c r="E16" s="44">
        <v>900.377</v>
      </c>
      <c r="F16" s="44">
        <v>911.008</v>
      </c>
      <c r="G16" s="44">
        <v>894.393</v>
      </c>
      <c r="H16" s="44">
        <v>902.557</v>
      </c>
      <c r="I16" s="44">
        <v>0</v>
      </c>
      <c r="J16" s="54"/>
      <c r="K16" s="54"/>
      <c r="O16" s="54"/>
      <c r="P16" s="54"/>
      <c r="Q16" s="54"/>
      <c r="R16" s="54"/>
    </row>
    <row r="17" spans="1:18" ht="15">
      <c r="A17" s="43" t="str">
        <f>HLOOKUP(INDICE!$F$2,Nombres!$C$3:$D$636,56,FALSE)</f>
        <v>Activos tangibles</v>
      </c>
      <c r="B17" s="44">
        <v>7703.314</v>
      </c>
      <c r="C17" s="44">
        <v>7321.364</v>
      </c>
      <c r="D17" s="44">
        <v>7291.122</v>
      </c>
      <c r="E17" s="44">
        <v>7297.848</v>
      </c>
      <c r="F17" s="44">
        <v>7628.42</v>
      </c>
      <c r="G17" s="44">
        <v>8336.727</v>
      </c>
      <c r="H17" s="44">
        <v>8566.853</v>
      </c>
      <c r="I17" s="44">
        <v>0</v>
      </c>
      <c r="J17" s="54"/>
      <c r="K17" s="54"/>
      <c r="O17" s="54"/>
      <c r="P17" s="54"/>
      <c r="Q17" s="54"/>
      <c r="R17" s="54"/>
    </row>
    <row r="18" spans="1:18" ht="15">
      <c r="A18" s="43" t="str">
        <f>HLOOKUP(INDICE!$F$2,Nombres!$C$3:$D$636,141,FALSE)</f>
        <v>Activos Intangibles</v>
      </c>
      <c r="B18" s="44">
        <v>2297.155</v>
      </c>
      <c r="C18" s="44">
        <v>2303.017</v>
      </c>
      <c r="D18" s="44">
        <v>2270.716</v>
      </c>
      <c r="E18" s="44">
        <v>2197.305</v>
      </c>
      <c r="F18" s="44">
        <v>2055.793</v>
      </c>
      <c r="G18" s="44">
        <v>2139.492</v>
      </c>
      <c r="H18" s="44">
        <v>2210.858</v>
      </c>
      <c r="I18" s="44">
        <v>0</v>
      </c>
      <c r="J18" s="54"/>
      <c r="K18" s="54"/>
      <c r="O18" s="54"/>
      <c r="P18" s="54"/>
      <c r="Q18" s="54"/>
      <c r="R18" s="54"/>
    </row>
    <row r="19" spans="1:18" ht="15">
      <c r="A19" s="43" t="str">
        <f>HLOOKUP(INDICE!$F$2,Nombres!$C$3:$D$636,57,FALSE)</f>
        <v>Otros activos</v>
      </c>
      <c r="B19" s="44">
        <v>109164.539</v>
      </c>
      <c r="C19" s="44">
        <v>21874.225000000002</v>
      </c>
      <c r="D19" s="44">
        <v>21890.901</v>
      </c>
      <c r="E19" s="44">
        <v>20922.711</v>
      </c>
      <c r="F19" s="44">
        <v>21419.78</v>
      </c>
      <c r="G19" s="44">
        <v>22444.371</v>
      </c>
      <c r="H19" s="44">
        <v>22311.974</v>
      </c>
      <c r="I19" s="44">
        <v>0</v>
      </c>
      <c r="J19" s="54"/>
      <c r="K19" s="54"/>
      <c r="O19" s="54"/>
      <c r="P19" s="54"/>
      <c r="Q19" s="54"/>
      <c r="R19" s="54"/>
    </row>
    <row r="20" spans="1:18" ht="15">
      <c r="A20" s="47" t="str">
        <f>HLOOKUP(INDICE!$F$2,Nombres!$C$3:$D$636,58,FALSE)</f>
        <v>Total activo / pasivo</v>
      </c>
      <c r="B20" s="47">
        <f aca="true" t="shared" si="0" ref="B20:I20">+SUM(B6:B11,B16:B19)</f>
        <v>716929.3520000002</v>
      </c>
      <c r="C20" s="47">
        <f t="shared" si="0"/>
        <v>645292.4799999999</v>
      </c>
      <c r="D20" s="47">
        <f t="shared" si="0"/>
        <v>649261.0839999999</v>
      </c>
      <c r="E20" s="47">
        <f t="shared" si="0"/>
        <v>662884.6840000001</v>
      </c>
      <c r="F20" s="47">
        <f t="shared" si="0"/>
        <v>676259.236</v>
      </c>
      <c r="G20" s="47">
        <f t="shared" si="0"/>
        <v>715293.7490000001</v>
      </c>
      <c r="H20" s="47">
        <f t="shared" si="0"/>
        <v>738679.943</v>
      </c>
      <c r="I20" s="47">
        <f t="shared" si="0"/>
        <v>0</v>
      </c>
      <c r="J20" s="54"/>
      <c r="K20" s="54"/>
      <c r="O20" s="54"/>
      <c r="P20" s="54"/>
      <c r="Q20" s="54"/>
      <c r="R20" s="54"/>
    </row>
    <row r="21" spans="1:18" ht="15">
      <c r="A21" s="43" t="str">
        <f>HLOOKUP(INDICE!$F$2,Nombres!$C$3:$D$636,59,FALSE)</f>
        <v>Pasivos financieros mantenidos para negociar y designados a valor razonable con cambios en resultados</v>
      </c>
      <c r="B21" s="58">
        <v>78477.095</v>
      </c>
      <c r="C21" s="58">
        <v>79985.634</v>
      </c>
      <c r="D21" s="58">
        <v>80785.706</v>
      </c>
      <c r="E21" s="58">
        <v>91134.514</v>
      </c>
      <c r="F21" s="58">
        <v>85960.376</v>
      </c>
      <c r="G21" s="58">
        <v>102304.847</v>
      </c>
      <c r="H21" s="58">
        <v>104534.31</v>
      </c>
      <c r="I21" s="58">
        <v>0</v>
      </c>
      <c r="O21" s="54"/>
      <c r="P21" s="54"/>
      <c r="Q21" s="54"/>
      <c r="R21" s="54"/>
    </row>
    <row r="22" spans="1:18" ht="15">
      <c r="A22" s="43" t="str">
        <f>HLOOKUP(INDICE!$F$2,Nombres!$C$3:$D$636,142,FALSE)</f>
        <v>Pasivos financieros designados a valor razonable con cambios en resultados</v>
      </c>
      <c r="B22" s="58">
        <v>9713.58</v>
      </c>
      <c r="C22" s="58">
        <v>9811.104</v>
      </c>
      <c r="D22" s="58">
        <v>9725.514</v>
      </c>
      <c r="E22" s="58">
        <v>9683.471</v>
      </c>
      <c r="F22" s="58">
        <v>9761.475</v>
      </c>
      <c r="G22" s="58">
        <v>9878.266</v>
      </c>
      <c r="H22" s="58">
        <v>10677.657</v>
      </c>
      <c r="I22" s="58">
        <v>0</v>
      </c>
      <c r="J22" s="59"/>
      <c r="K22" s="59"/>
      <c r="L22" s="59"/>
      <c r="M22" s="59"/>
      <c r="N22" s="59"/>
      <c r="O22" s="54"/>
      <c r="P22" s="54"/>
      <c r="Q22" s="54"/>
      <c r="R22" s="54"/>
    </row>
    <row r="23" spans="1:18" ht="15">
      <c r="A23" s="43" t="str">
        <f>HLOOKUP(INDICE!$F$2,Nombres!$C$3:$D$636,143,FALSE)</f>
        <v>Pasivos financieros a coste amortizado</v>
      </c>
      <c r="B23" s="58">
        <v>475812.855</v>
      </c>
      <c r="C23" s="58">
        <v>479617.829</v>
      </c>
      <c r="D23" s="58">
        <v>481662.365</v>
      </c>
      <c r="E23" s="58">
        <v>487892.72</v>
      </c>
      <c r="F23" s="58">
        <v>504479.77</v>
      </c>
      <c r="G23" s="58">
        <v>527274.907</v>
      </c>
      <c r="H23" s="58">
        <v>544718.808</v>
      </c>
      <c r="I23" s="58">
        <v>0</v>
      </c>
      <c r="J23" s="59"/>
      <c r="K23" s="59"/>
      <c r="L23" s="59"/>
      <c r="M23" s="59"/>
      <c r="N23" s="59"/>
      <c r="O23" s="54"/>
      <c r="P23" s="54"/>
      <c r="Q23" s="54"/>
      <c r="R23" s="54"/>
    </row>
    <row r="24" spans="1:18" ht="15">
      <c r="A24" s="55" t="str">
        <f>HLOOKUP(INDICE!$F$2,Nombres!$C$3:$D$636,60,FALSE)</f>
        <v>Depósitos de bancos centrales y entidades de crédito</v>
      </c>
      <c r="B24" s="58">
        <v>74123.35800000001</v>
      </c>
      <c r="C24" s="58">
        <v>71644.65699999999</v>
      </c>
      <c r="D24" s="58">
        <v>71507.343</v>
      </c>
      <c r="E24" s="58">
        <v>67185.341</v>
      </c>
      <c r="F24" s="58">
        <v>73160.91500000001</v>
      </c>
      <c r="G24" s="58">
        <v>79126.674</v>
      </c>
      <c r="H24" s="58">
        <v>84196.282</v>
      </c>
      <c r="I24" s="58">
        <v>0</v>
      </c>
      <c r="O24" s="54"/>
      <c r="P24" s="54"/>
      <c r="Q24" s="54"/>
      <c r="R24" s="54"/>
    </row>
    <row r="25" spans="1:18" ht="15">
      <c r="A25" s="55" t="str">
        <f>HLOOKUP(INDICE!$F$2,Nombres!$C$3:$D$636,61,FALSE)</f>
        <v>Depósitos de la clientela</v>
      </c>
      <c r="B25" s="58">
        <v>331063.659</v>
      </c>
      <c r="C25" s="58">
        <v>338794.954</v>
      </c>
      <c r="D25" s="58">
        <v>340827.854</v>
      </c>
      <c r="E25" s="58">
        <v>349761.487</v>
      </c>
      <c r="F25" s="58">
        <v>360716.419</v>
      </c>
      <c r="G25" s="58">
        <v>376973.2</v>
      </c>
      <c r="H25" s="58">
        <v>389705.252</v>
      </c>
      <c r="I25" s="58">
        <v>0</v>
      </c>
      <c r="O25" s="54"/>
      <c r="P25" s="54"/>
      <c r="Q25" s="54"/>
      <c r="R25" s="54"/>
    </row>
    <row r="26" spans="1:18" ht="15">
      <c r="A26" s="55" t="str">
        <f>HLOOKUP(INDICE!$F$2,Nombres!$C$3:$D$636,62,FALSE)</f>
        <v>Valores representativos de deuda emitidos</v>
      </c>
      <c r="B26" s="58">
        <v>57417.941</v>
      </c>
      <c r="C26" s="58">
        <v>55046.618</v>
      </c>
      <c r="D26" s="58">
        <v>55396.81</v>
      </c>
      <c r="E26" s="58">
        <v>55763.274</v>
      </c>
      <c r="F26" s="58">
        <v>53539.702</v>
      </c>
      <c r="G26" s="58">
        <v>54757.069</v>
      </c>
      <c r="H26" s="58">
        <v>54811.115</v>
      </c>
      <c r="I26" s="58">
        <v>0</v>
      </c>
      <c r="O26" s="54"/>
      <c r="P26" s="54"/>
      <c r="Q26" s="54"/>
      <c r="R26" s="54"/>
    </row>
    <row r="27" spans="1:18" ht="15">
      <c r="A27" s="55" t="str">
        <f>HLOOKUP(INDICE!$F$2,Nombres!$C$3:$D$636,144,FALSE)</f>
        <v>. Otros pasivos financieros</v>
      </c>
      <c r="B27" s="58">
        <v>13207.897</v>
      </c>
      <c r="C27" s="58">
        <v>14131.6</v>
      </c>
      <c r="D27" s="58">
        <v>13930.358</v>
      </c>
      <c r="E27" s="58">
        <v>15182.618</v>
      </c>
      <c r="F27" s="58">
        <v>17062.734</v>
      </c>
      <c r="G27" s="58">
        <v>16417.964</v>
      </c>
      <c r="H27" s="58">
        <v>16006.159</v>
      </c>
      <c r="I27" s="58">
        <v>0</v>
      </c>
      <c r="O27" s="54"/>
      <c r="P27" s="54"/>
      <c r="Q27" s="54"/>
      <c r="R27" s="54"/>
    </row>
    <row r="28" spans="1:18" ht="15">
      <c r="A28" s="43" t="str">
        <f>HLOOKUP(INDICE!$F$2,Nombres!$C$3:$D$636,145,FALSE)</f>
        <v>Pasivos amparados por contratos de seguros o reaseguro</v>
      </c>
      <c r="B28" s="58">
        <v>10325.477</v>
      </c>
      <c r="C28" s="58">
        <v>10535.323</v>
      </c>
      <c r="D28" s="58">
        <v>10564.065</v>
      </c>
      <c r="E28" s="58">
        <v>10864.78</v>
      </c>
      <c r="F28" s="58">
        <v>11093.977</v>
      </c>
      <c r="G28" s="58">
        <v>11622.079</v>
      </c>
      <c r="H28" s="58">
        <v>12274.917</v>
      </c>
      <c r="I28" s="58">
        <v>0</v>
      </c>
      <c r="O28" s="54"/>
      <c r="P28" s="54"/>
      <c r="Q28" s="54"/>
      <c r="R28" s="54"/>
    </row>
    <row r="29" spans="1:18" ht="15">
      <c r="A29" s="43" t="str">
        <f>HLOOKUP(INDICE!$F$2,Nombres!$C$3:$D$636,63,FALSE)</f>
        <v>Otros pasivos</v>
      </c>
      <c r="B29" s="58">
        <v>91889.053</v>
      </c>
      <c r="C29" s="58">
        <v>15398.419999999998</v>
      </c>
      <c r="D29" s="58">
        <v>15956.514</v>
      </c>
      <c r="E29" s="58">
        <v>14549.081</v>
      </c>
      <c r="F29" s="58">
        <v>16338.436</v>
      </c>
      <c r="G29" s="58">
        <v>15420.692</v>
      </c>
      <c r="H29" s="58">
        <v>16577.662</v>
      </c>
      <c r="I29" s="58">
        <v>0</v>
      </c>
      <c r="O29" s="54"/>
      <c r="P29" s="54"/>
      <c r="Q29" s="54"/>
      <c r="R29" s="54"/>
    </row>
    <row r="30" spans="1:18" ht="15">
      <c r="A30" s="41" t="str">
        <f>HLOOKUP(INDICE!$F$2,Nombres!$C$3:$D$636,146,FALSE)</f>
        <v>Total pasivo</v>
      </c>
      <c r="B30" s="60">
        <f aca="true" t="shared" si="1" ref="B30:I30">+SUM(B21:B23,B28:B29)</f>
        <v>666218.0599999999</v>
      </c>
      <c r="C30" s="60">
        <f t="shared" si="1"/>
        <v>595348.31</v>
      </c>
      <c r="D30" s="60">
        <f t="shared" si="1"/>
        <v>598694.1639999999</v>
      </c>
      <c r="E30" s="60">
        <f t="shared" si="1"/>
        <v>614124.566</v>
      </c>
      <c r="F30" s="60">
        <f t="shared" si="1"/>
        <v>627634.034</v>
      </c>
      <c r="G30" s="60">
        <f t="shared" si="1"/>
        <v>666500.7910000001</v>
      </c>
      <c r="H30" s="60">
        <f t="shared" si="1"/>
        <v>688783.3539999999</v>
      </c>
      <c r="I30" s="60">
        <f t="shared" si="1"/>
        <v>0</v>
      </c>
      <c r="O30" s="54"/>
      <c r="P30" s="54"/>
      <c r="Q30" s="54"/>
      <c r="R30" s="54"/>
    </row>
    <row r="31" spans="1:18" ht="15" customHeight="1" hidden="1">
      <c r="A31" s="41"/>
      <c r="B31" s="60"/>
      <c r="C31" s="60"/>
      <c r="D31" s="60"/>
      <c r="E31" s="60"/>
      <c r="F31" s="60"/>
      <c r="G31" s="60"/>
      <c r="H31" s="60"/>
      <c r="I31" s="60"/>
      <c r="O31" s="54"/>
      <c r="P31" s="54"/>
      <c r="Q31" s="54"/>
      <c r="R31" s="54"/>
    </row>
    <row r="32" spans="1:18" ht="15" customHeight="1" hidden="1">
      <c r="A32" s="43" t="str">
        <f>HLOOKUP(INDICE!$F$2,Nombres!$C$3:$D$636,147,FALSE)</f>
        <v>Intereses minoritarios</v>
      </c>
      <c r="B32" s="58">
        <v>5395.961</v>
      </c>
      <c r="C32" s="58">
        <v>5428.254</v>
      </c>
      <c r="D32" s="58">
        <v>5628.132</v>
      </c>
      <c r="E32" s="58">
        <v>4853.013</v>
      </c>
      <c r="F32" s="58">
        <v>5513.72</v>
      </c>
      <c r="G32" s="58">
        <v>3350.523</v>
      </c>
      <c r="H32" s="58">
        <v>3654.23</v>
      </c>
      <c r="I32" s="58">
        <v>0</v>
      </c>
      <c r="O32" s="54"/>
      <c r="P32" s="54"/>
      <c r="Q32" s="54"/>
      <c r="R32" s="54"/>
    </row>
    <row r="33" spans="1:18" ht="15" customHeight="1" hidden="1">
      <c r="A33" s="43" t="str">
        <f>HLOOKUP(INDICE!$F$2,Nombres!$C$3:$D$636,148,FALSE)</f>
        <v>Otro resultado global acumulado</v>
      </c>
      <c r="B33" s="58">
        <v>-14718.02</v>
      </c>
      <c r="C33" s="58">
        <v>-15348.029</v>
      </c>
      <c r="D33" s="58">
        <v>-15683.671</v>
      </c>
      <c r="E33" s="58">
        <v>-16476.235</v>
      </c>
      <c r="F33" s="58">
        <v>-14158.546</v>
      </c>
      <c r="G33" s="58">
        <v>-16451.839</v>
      </c>
      <c r="H33" s="58">
        <v>-16648.541</v>
      </c>
      <c r="I33" s="58">
        <v>0</v>
      </c>
      <c r="O33" s="54"/>
      <c r="P33" s="54"/>
      <c r="Q33" s="54"/>
      <c r="R33" s="54"/>
    </row>
    <row r="34" spans="1:18" ht="15" customHeight="1" hidden="1">
      <c r="A34" s="43" t="str">
        <f>HLOOKUP(INDICE!$F$2,Nombres!$C$3:$D$636,149,FALSE)</f>
        <v>Fondos propios</v>
      </c>
      <c r="B34" s="58">
        <v>60033.351</v>
      </c>
      <c r="C34" s="58">
        <v>59863.941</v>
      </c>
      <c r="D34" s="58">
        <v>60622.46</v>
      </c>
      <c r="E34" s="58">
        <v>60383.344</v>
      </c>
      <c r="F34" s="58">
        <v>57270.026</v>
      </c>
      <c r="G34" s="58">
        <v>61894.274</v>
      </c>
      <c r="H34" s="58">
        <v>62890.9</v>
      </c>
      <c r="I34" s="58">
        <v>0</v>
      </c>
      <c r="O34" s="54"/>
      <c r="P34" s="54"/>
      <c r="Q34" s="54"/>
      <c r="R34" s="54"/>
    </row>
    <row r="35" spans="1:18" ht="15">
      <c r="A35" s="41" t="str">
        <f>HLOOKUP(INDICE!$F$2,Nombres!$C$3:$D$636,150,FALSE)</f>
        <v>Patrimonio neto</v>
      </c>
      <c r="B35" s="60">
        <f aca="true" t="shared" si="2" ref="B35:I35">+B32+B33+B34</f>
        <v>50711.292</v>
      </c>
      <c r="C35" s="60">
        <f t="shared" si="2"/>
        <v>49944.166</v>
      </c>
      <c r="D35" s="60">
        <f t="shared" si="2"/>
        <v>50566.921</v>
      </c>
      <c r="E35" s="60">
        <f t="shared" si="2"/>
        <v>48760.121999999996</v>
      </c>
      <c r="F35" s="60">
        <f t="shared" si="2"/>
        <v>48625.2</v>
      </c>
      <c r="G35" s="60">
        <f t="shared" si="2"/>
        <v>48792.958</v>
      </c>
      <c r="H35" s="60">
        <f t="shared" si="2"/>
        <v>49896.589</v>
      </c>
      <c r="I35" s="60">
        <f t="shared" si="2"/>
        <v>0</v>
      </c>
      <c r="O35" s="54"/>
      <c r="P35" s="54"/>
      <c r="Q35" s="54"/>
      <c r="R35" s="54"/>
    </row>
    <row r="36" spans="1:18" ht="15">
      <c r="A36" s="43"/>
      <c r="B36" s="58"/>
      <c r="C36" s="58"/>
      <c r="D36" s="58"/>
      <c r="E36" s="58"/>
      <c r="F36" s="58"/>
      <c r="G36" s="58"/>
      <c r="H36" s="58"/>
      <c r="I36" s="58"/>
      <c r="O36" s="54"/>
      <c r="P36" s="54"/>
      <c r="Q36" s="54"/>
      <c r="R36" s="54"/>
    </row>
    <row r="37" spans="1:18" ht="15">
      <c r="A37" s="47" t="str">
        <f>HLOOKUP(INDICE!$F$2,Nombres!$C$3:$D$636,151,FALSE)</f>
        <v>Total patrimonio neto y pasivo</v>
      </c>
      <c r="B37" s="47">
        <f>+B20</f>
        <v>716929.3520000002</v>
      </c>
      <c r="C37" s="47">
        <f aca="true" t="shared" si="3" ref="C37:I37">+C20</f>
        <v>645292.4799999999</v>
      </c>
      <c r="D37" s="47">
        <f t="shared" si="3"/>
        <v>649261.0839999999</v>
      </c>
      <c r="E37" s="47">
        <f t="shared" si="3"/>
        <v>662884.6840000001</v>
      </c>
      <c r="F37" s="47">
        <f t="shared" si="3"/>
        <v>676259.236</v>
      </c>
      <c r="G37" s="47">
        <f t="shared" si="3"/>
        <v>715293.7490000001</v>
      </c>
      <c r="H37" s="47">
        <f t="shared" si="3"/>
        <v>738679.943</v>
      </c>
      <c r="I37" s="47">
        <f t="shared" si="3"/>
        <v>0</v>
      </c>
      <c r="O37" s="54"/>
      <c r="P37" s="54"/>
      <c r="Q37" s="54"/>
      <c r="R37" s="54"/>
    </row>
    <row r="38" spans="1:9" ht="15">
      <c r="A38" s="43"/>
      <c r="B38" s="61">
        <f aca="true" t="shared" si="4" ref="B38:I38">+B37-B20</f>
        <v>0</v>
      </c>
      <c r="C38" s="61">
        <f t="shared" si="4"/>
        <v>0</v>
      </c>
      <c r="D38" s="61">
        <f t="shared" si="4"/>
        <v>0</v>
      </c>
      <c r="E38" s="61">
        <f t="shared" si="4"/>
        <v>0</v>
      </c>
      <c r="F38" s="61">
        <f t="shared" si="4"/>
        <v>0</v>
      </c>
      <c r="G38" s="61">
        <f t="shared" si="4"/>
        <v>0</v>
      </c>
      <c r="H38" s="61">
        <f t="shared" si="4"/>
        <v>0</v>
      </c>
      <c r="I38" s="61">
        <f t="shared" si="4"/>
        <v>0</v>
      </c>
    </row>
    <row r="39" spans="1:9" ht="15">
      <c r="A39" s="43"/>
      <c r="B39" s="61">
        <f aca="true" t="shared" si="5" ref="B39:I39">+B6+B7+B8+B9+B10+B11+B16+B17+B18+B19-B20</f>
        <v>0</v>
      </c>
      <c r="C39" s="61">
        <f t="shared" si="5"/>
        <v>0</v>
      </c>
      <c r="D39" s="61">
        <f t="shared" si="5"/>
        <v>0</v>
      </c>
      <c r="E39" s="61">
        <f t="shared" si="5"/>
        <v>0</v>
      </c>
      <c r="F39" s="61">
        <f t="shared" si="5"/>
        <v>0</v>
      </c>
      <c r="G39" s="61">
        <f t="shared" si="5"/>
        <v>0</v>
      </c>
      <c r="H39" s="61">
        <f t="shared" si="5"/>
        <v>0</v>
      </c>
      <c r="I39" s="61">
        <f t="shared" si="5"/>
        <v>0</v>
      </c>
    </row>
    <row r="40" spans="1:9" ht="66.75" customHeight="1">
      <c r="A40" s="312" t="str">
        <f>HLOOKUP(INDICE!$F$2,Nombres!$C$3:$D$636,297,FALSE)</f>
        <v>Nota general : Cifras considerando la clasificación de las sociedades incluidas en el acuerdo de venta suscrito con PNC como Activos y Pasivos No corrientes en Venta.</v>
      </c>
      <c r="B40" s="312"/>
      <c r="C40" s="312"/>
      <c r="D40" s="312"/>
      <c r="E40" s="312"/>
      <c r="F40" s="312"/>
      <c r="G40" s="312"/>
      <c r="H40" s="312"/>
      <c r="I40" s="312"/>
    </row>
    <row r="41" spans="1:9" ht="15">
      <c r="A41" s="62"/>
      <c r="B41" s="58"/>
      <c r="C41" s="58"/>
      <c r="D41" s="58"/>
      <c r="E41" s="58"/>
      <c r="F41" s="58"/>
      <c r="G41" s="58"/>
      <c r="H41" s="58"/>
      <c r="I41" s="58"/>
    </row>
    <row r="42" spans="1:9" ht="15">
      <c r="A42" s="43"/>
      <c r="B42" s="58"/>
      <c r="C42" s="58"/>
      <c r="D42" s="58"/>
      <c r="E42" s="58"/>
      <c r="F42" s="58"/>
      <c r="G42" s="58"/>
      <c r="H42" s="58"/>
      <c r="I42" s="58"/>
    </row>
    <row r="43" spans="1:9" ht="15">
      <c r="A43" s="62"/>
      <c r="B43" s="279">
        <v>5.0175003707408905E-08</v>
      </c>
      <c r="C43" s="279">
        <v>5.972106009721756E-08</v>
      </c>
      <c r="D43" s="279">
        <v>-6.007030606269836E-08</v>
      </c>
      <c r="E43" s="279">
        <v>-1.0989606380462646E-07</v>
      </c>
      <c r="F43" s="279">
        <v>-0.0010000496404245496</v>
      </c>
      <c r="G43" s="279">
        <v>-1.0011717677116394E-08</v>
      </c>
      <c r="H43" s="279">
        <v>3.9814040064811707E-08</v>
      </c>
      <c r="I43" s="279">
        <v>0</v>
      </c>
    </row>
    <row r="44" ht="15">
      <c r="B44" s="54"/>
    </row>
    <row r="46" ht="15">
      <c r="B46" s="54"/>
    </row>
    <row r="1000" ht="15">
      <c r="A1000" s="31" t="s">
        <v>392</v>
      </c>
    </row>
  </sheetData>
  <sheetProtection/>
  <mergeCells count="1">
    <mergeCell ref="A40:I40"/>
  </mergeCells>
  <conditionalFormatting sqref="F39:I39">
    <cfRule type="cellIs" priority="11" dxfId="131" operator="notBetween">
      <formula>0.5</formula>
      <formula>-0.5</formula>
    </cfRule>
  </conditionalFormatting>
  <conditionalFormatting sqref="I38">
    <cfRule type="cellIs" priority="10" dxfId="77" operator="notBetween">
      <formula>0.001</formula>
      <formula>-0.001</formula>
    </cfRule>
  </conditionalFormatting>
  <conditionalFormatting sqref="H38">
    <cfRule type="cellIs" priority="9" dxfId="77" operator="notBetween">
      <formula>0.001</formula>
      <formula>-0.001</formula>
    </cfRule>
  </conditionalFormatting>
  <conditionalFormatting sqref="G38">
    <cfRule type="cellIs" priority="8" dxfId="77" operator="notBetween">
      <formula>0.001</formula>
      <formula>-0.001</formula>
    </cfRule>
  </conditionalFormatting>
  <conditionalFormatting sqref="F38">
    <cfRule type="cellIs" priority="7" dxfId="77" operator="notBetween">
      <formula>0.001</formula>
      <formula>-0.001</formula>
    </cfRule>
  </conditionalFormatting>
  <conditionalFormatting sqref="B39:E39">
    <cfRule type="cellIs" priority="6" dxfId="131" operator="notBetween">
      <formula>0.5</formula>
      <formula>-0.5</formula>
    </cfRule>
  </conditionalFormatting>
  <conditionalFormatting sqref="E38">
    <cfRule type="cellIs" priority="5" dxfId="77" operator="notBetween">
      <formula>0.001</formula>
      <formula>-0.001</formula>
    </cfRule>
  </conditionalFormatting>
  <conditionalFormatting sqref="D38">
    <cfRule type="cellIs" priority="4" dxfId="77" operator="notBetween">
      <formula>0.001</formula>
      <formula>-0.001</formula>
    </cfRule>
  </conditionalFormatting>
  <conditionalFormatting sqref="C38">
    <cfRule type="cellIs" priority="3" dxfId="77" operator="notBetween">
      <formula>0.001</formula>
      <formula>-0.001</formula>
    </cfRule>
  </conditionalFormatting>
  <conditionalFormatting sqref="B38">
    <cfRule type="cellIs" priority="2" dxfId="77" operator="notBetween">
      <formula>0.001</formula>
      <formula>-0.001</formula>
    </cfRule>
  </conditionalFormatting>
  <conditionalFormatting sqref="B43:I43">
    <cfRule type="cellIs" priority="1" dxfId="131" operator="notBetween">
      <formula>0.1</formula>
      <formula>-0.1</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1002"/>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29" t="str">
        <f>HLOOKUP(INDICE!$F$2,Nombres!$C$3:$D$636,7,FALSE)</f>
        <v>España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13">
        <v>2021</v>
      </c>
      <c r="C6" s="313"/>
      <c r="D6" s="313"/>
      <c r="E6" s="314"/>
      <c r="F6" s="313">
        <v>2022</v>
      </c>
      <c r="G6" s="313"/>
      <c r="H6" s="313"/>
      <c r="I6" s="313"/>
    </row>
    <row r="7" spans="1:9" ht="15.75">
      <c r="A7" s="38"/>
      <c r="B7" s="39" t="str">
        <f>HLOOKUP(INDICE!$F$2,Nombres!$C$3:$D$636,167,FALSE)</f>
        <v>1er Trim.</v>
      </c>
      <c r="C7" s="39" t="str">
        <f>HLOOKUP(INDICE!$F$2,Nombres!$C$3:$D$636,168,FALSE)</f>
        <v>2º Trim.</v>
      </c>
      <c r="D7" s="39" t="str">
        <f>HLOOKUP(INDICE!$F$2,Nombres!$C$3:$D$636,169,FALSE)</f>
        <v>3er Trim.</v>
      </c>
      <c r="E7" s="40" t="str">
        <f>HLOOKUP(INDICE!$F$2,Nombres!$C$3:$D$636,170,FALSE)</f>
        <v>4º Trim.</v>
      </c>
      <c r="F7" s="39" t="str">
        <f>HLOOKUP(INDICE!$F$2,Nombres!$C$3:$D$636,167,FALSE)</f>
        <v>1er Trim.</v>
      </c>
      <c r="G7" s="39" t="str">
        <f>HLOOKUP(INDICE!$F$2,Nombres!$C$3:$D$636,168,FALSE)</f>
        <v>2º Trim.</v>
      </c>
      <c r="H7" s="39" t="str">
        <f>HLOOKUP(INDICE!$F$2,Nombres!$C$3:$D$636,169,FALSE)</f>
        <v>3er Trim.</v>
      </c>
      <c r="I7" s="39" t="str">
        <f>HLOOKUP(INDICE!$F$2,Nombres!$C$3:$D$636,170,FALSE)</f>
        <v>4º Trim.</v>
      </c>
    </row>
    <row r="8" spans="1:9" ht="15">
      <c r="A8" s="41" t="str">
        <f>HLOOKUP(INDICE!$F$2,Nombres!$C$3:$D$636,33,FALSE)</f>
        <v>Margen de intereses</v>
      </c>
      <c r="B8" s="41">
        <v>866.1733313800001</v>
      </c>
      <c r="C8" s="41">
        <v>894.9913202700002</v>
      </c>
      <c r="D8" s="41">
        <v>872.3806724699999</v>
      </c>
      <c r="E8" s="42">
        <v>867.0898095700002</v>
      </c>
      <c r="F8" s="50">
        <v>859.0991665799999</v>
      </c>
      <c r="G8" s="50">
        <v>904.0867053699999</v>
      </c>
      <c r="H8" s="50">
        <v>931.3667737999999</v>
      </c>
      <c r="I8" s="50">
        <v>0</v>
      </c>
    </row>
    <row r="9" spans="1:9" ht="15">
      <c r="A9" s="43" t="str">
        <f>HLOOKUP(INDICE!$F$2,Nombres!$C$3:$D$636,34,FALSE)</f>
        <v>Comisiones netas</v>
      </c>
      <c r="B9" s="44">
        <v>508.5603078900001</v>
      </c>
      <c r="C9" s="44">
        <v>552.2360509</v>
      </c>
      <c r="D9" s="44">
        <v>535.41188663</v>
      </c>
      <c r="E9" s="45">
        <v>598.4288345199999</v>
      </c>
      <c r="F9" s="44">
        <v>535.9141621699999</v>
      </c>
      <c r="G9" s="44">
        <v>573.70344127</v>
      </c>
      <c r="H9" s="44">
        <v>525.69729174</v>
      </c>
      <c r="I9" s="44">
        <v>0</v>
      </c>
    </row>
    <row r="10" spans="1:9" ht="15">
      <c r="A10" s="43" t="str">
        <f>HLOOKUP(INDICE!$F$2,Nombres!$C$3:$D$636,35,FALSE)</f>
        <v>Resultados de operaciones financieras</v>
      </c>
      <c r="B10" s="44">
        <v>187.42350033999998</v>
      </c>
      <c r="C10" s="44">
        <v>71.74822754</v>
      </c>
      <c r="D10" s="44">
        <v>6.268376649999986</v>
      </c>
      <c r="E10" s="45">
        <v>38.771783889999995</v>
      </c>
      <c r="F10" s="44">
        <v>189.81198705999998</v>
      </c>
      <c r="G10" s="44">
        <v>98.41779986</v>
      </c>
      <c r="H10" s="44">
        <v>40.902432300000015</v>
      </c>
      <c r="I10" s="44">
        <v>0</v>
      </c>
    </row>
    <row r="11" spans="1:9" ht="15">
      <c r="A11" s="43" t="str">
        <f>HLOOKUP(INDICE!$F$2,Nombres!$C$3:$D$636,36,FALSE)</f>
        <v>Otros ingresos y cargas de explotación</v>
      </c>
      <c r="B11" s="44">
        <v>70.82128579</v>
      </c>
      <c r="C11" s="44">
        <v>-117.29963506999995</v>
      </c>
      <c r="D11" s="44">
        <v>65.01331009999991</v>
      </c>
      <c r="E11" s="45">
        <v>-127.63029758999994</v>
      </c>
      <c r="F11" s="44">
        <v>78.52728025999998</v>
      </c>
      <c r="G11" s="44">
        <v>-170.95063194</v>
      </c>
      <c r="H11" s="44">
        <v>79.69922849000014</v>
      </c>
      <c r="I11" s="44">
        <v>0</v>
      </c>
    </row>
    <row r="12" spans="1:9" ht="15">
      <c r="A12" s="41" t="str">
        <f>HLOOKUP(INDICE!$F$2,Nombres!$C$3:$D$636,37,FALSE)</f>
        <v>Margen bruto</v>
      </c>
      <c r="B12" s="41">
        <f>+SUM(B8:B11)</f>
        <v>1632.9784254000003</v>
      </c>
      <c r="C12" s="41">
        <f aca="true" t="shared" si="0" ref="C12:I12">+SUM(C8:C11)</f>
        <v>1401.6759636400002</v>
      </c>
      <c r="D12" s="41">
        <f t="shared" si="0"/>
        <v>1479.0742458499997</v>
      </c>
      <c r="E12" s="42">
        <f t="shared" si="0"/>
        <v>1376.6601303900002</v>
      </c>
      <c r="F12" s="50">
        <f t="shared" si="0"/>
        <v>1663.3525960699997</v>
      </c>
      <c r="G12" s="50">
        <f t="shared" si="0"/>
        <v>1405.25731456</v>
      </c>
      <c r="H12" s="50">
        <f t="shared" si="0"/>
        <v>1577.66572633</v>
      </c>
      <c r="I12" s="50">
        <f t="shared" si="0"/>
        <v>0</v>
      </c>
    </row>
    <row r="13" spans="1:9" ht="15">
      <c r="A13" s="43" t="str">
        <f>HLOOKUP(INDICE!$F$2,Nombres!$C$3:$D$636,38,FALSE)</f>
        <v>Gastos de explotación</v>
      </c>
      <c r="B13" s="44">
        <v>-756.01776594</v>
      </c>
      <c r="C13" s="44">
        <v>-749.490817</v>
      </c>
      <c r="D13" s="44">
        <v>-748.9192592500001</v>
      </c>
      <c r="E13" s="45">
        <v>-788.5616905500001</v>
      </c>
      <c r="F13" s="44">
        <v>-713.5149379100001</v>
      </c>
      <c r="G13" s="44">
        <v>-720.4461926700001</v>
      </c>
      <c r="H13" s="44">
        <v>-723.12625897</v>
      </c>
      <c r="I13" s="44">
        <v>0</v>
      </c>
    </row>
    <row r="14" spans="1:9" ht="15">
      <c r="A14" s="43" t="str">
        <f>HLOOKUP(INDICE!$F$2,Nombres!$C$3:$D$636,39,FALSE)</f>
        <v>  Gastos de administración</v>
      </c>
      <c r="B14" s="44">
        <v>-645.9175883</v>
      </c>
      <c r="C14" s="44">
        <v>-640.0504873599999</v>
      </c>
      <c r="D14" s="44">
        <v>-641.95983161</v>
      </c>
      <c r="E14" s="45">
        <v>-684.2307109100001</v>
      </c>
      <c r="F14" s="44">
        <v>-608.89190927</v>
      </c>
      <c r="G14" s="44">
        <v>-616.31195703</v>
      </c>
      <c r="H14" s="44">
        <v>-624.78909533</v>
      </c>
      <c r="I14" s="44">
        <v>0</v>
      </c>
    </row>
    <row r="15" spans="1:9" ht="15">
      <c r="A15" s="46" t="str">
        <f>HLOOKUP(INDICE!$F$2,Nombres!$C$3:$D$636,40,FALSE)</f>
        <v>  Gastos de personal</v>
      </c>
      <c r="B15" s="44">
        <v>-427.62491108000006</v>
      </c>
      <c r="C15" s="44">
        <v>-423.71259944999997</v>
      </c>
      <c r="D15" s="44">
        <v>-428.12319434</v>
      </c>
      <c r="E15" s="45">
        <v>-458.05536249000005</v>
      </c>
      <c r="F15" s="44">
        <v>-382.61152745000004</v>
      </c>
      <c r="G15" s="44">
        <v>-385.73259383000004</v>
      </c>
      <c r="H15" s="44">
        <v>-400.77492499000004</v>
      </c>
      <c r="I15" s="44">
        <v>0</v>
      </c>
    </row>
    <row r="16" spans="1:9" ht="15">
      <c r="A16" s="46" t="str">
        <f>HLOOKUP(INDICE!$F$2,Nombres!$C$3:$D$636,41,FALSE)</f>
        <v>  Otros gastos de administración</v>
      </c>
      <c r="B16" s="44">
        <v>-218.29267722</v>
      </c>
      <c r="C16" s="44">
        <v>-216.33788791</v>
      </c>
      <c r="D16" s="44">
        <v>-213.83663726999998</v>
      </c>
      <c r="E16" s="45">
        <v>-226.17534842</v>
      </c>
      <c r="F16" s="44">
        <v>-226.28038182000003</v>
      </c>
      <c r="G16" s="44">
        <v>-230.57936320000005</v>
      </c>
      <c r="H16" s="44">
        <v>-224.01417034000002</v>
      </c>
      <c r="I16" s="44">
        <v>0</v>
      </c>
    </row>
    <row r="17" spans="1:9" ht="15">
      <c r="A17" s="43" t="str">
        <f>HLOOKUP(INDICE!$F$2,Nombres!$C$3:$D$636,42,FALSE)</f>
        <v>  Amortización</v>
      </c>
      <c r="B17" s="44">
        <v>-110.10017764</v>
      </c>
      <c r="C17" s="44">
        <v>-109.44032964000002</v>
      </c>
      <c r="D17" s="44">
        <v>-106.95942764000002</v>
      </c>
      <c r="E17" s="45">
        <v>-104.33097963999998</v>
      </c>
      <c r="F17" s="44">
        <v>-104.62302864</v>
      </c>
      <c r="G17" s="44">
        <v>-104.13423564</v>
      </c>
      <c r="H17" s="44">
        <v>-98.33716364</v>
      </c>
      <c r="I17" s="44">
        <v>0</v>
      </c>
    </row>
    <row r="18" spans="1:9" ht="15">
      <c r="A18" s="41" t="str">
        <f>HLOOKUP(INDICE!$F$2,Nombres!$C$3:$D$636,43,FALSE)</f>
        <v>Margen neto</v>
      </c>
      <c r="B18" s="41">
        <f>+B12+B13</f>
        <v>876.9606594600003</v>
      </c>
      <c r="C18" s="41">
        <f aca="true" t="shared" si="1" ref="C18:I18">+C12+C13</f>
        <v>652.1851466400002</v>
      </c>
      <c r="D18" s="41">
        <f t="shared" si="1"/>
        <v>730.1549865999996</v>
      </c>
      <c r="E18" s="42">
        <f t="shared" si="1"/>
        <v>588.0984398400001</v>
      </c>
      <c r="F18" s="50">
        <f t="shared" si="1"/>
        <v>949.8376581599996</v>
      </c>
      <c r="G18" s="50">
        <f t="shared" si="1"/>
        <v>684.8111218899999</v>
      </c>
      <c r="H18" s="50">
        <f t="shared" si="1"/>
        <v>854.5394673600001</v>
      </c>
      <c r="I18" s="50">
        <f t="shared" si="1"/>
        <v>0</v>
      </c>
    </row>
    <row r="19" spans="1:9" ht="15">
      <c r="A19" s="43" t="str">
        <f>HLOOKUP(INDICE!$F$2,Nombres!$C$3:$D$636,44,FALSE)</f>
        <v>Deterioro de activos financieros no valorados a valor razonable con cambios en resultados</v>
      </c>
      <c r="B19" s="44">
        <v>-185.07156827999998</v>
      </c>
      <c r="C19" s="44">
        <v>-157.79771086000002</v>
      </c>
      <c r="D19" s="44">
        <v>-58.88365385999998</v>
      </c>
      <c r="E19" s="45">
        <v>-100.76156113000005</v>
      </c>
      <c r="F19" s="44">
        <v>-89.41895372000002</v>
      </c>
      <c r="G19" s="44">
        <v>-103.64080966000006</v>
      </c>
      <c r="H19" s="44">
        <v>-139.18189950999997</v>
      </c>
      <c r="I19" s="44">
        <v>0</v>
      </c>
    </row>
    <row r="20" spans="1:9" ht="15">
      <c r="A20" s="43" t="str">
        <f>HLOOKUP(INDICE!$F$2,Nombres!$C$3:$D$636,45,FALSE)</f>
        <v>Provisiones o reversión de provisiones y otros resultados</v>
      </c>
      <c r="B20" s="44">
        <v>-185.51916521</v>
      </c>
      <c r="C20" s="44">
        <v>-16.201349169999986</v>
      </c>
      <c r="D20" s="44">
        <v>-40.184533</v>
      </c>
      <c r="E20" s="45">
        <v>-28.34556425999998</v>
      </c>
      <c r="F20" s="44">
        <v>-19.42208866</v>
      </c>
      <c r="G20" s="44">
        <v>-7.68210607999999</v>
      </c>
      <c r="H20" s="44">
        <v>-10.027560550000004</v>
      </c>
      <c r="I20" s="44">
        <v>0</v>
      </c>
    </row>
    <row r="21" spans="1:9" ht="15">
      <c r="A21" s="41" t="str">
        <f>HLOOKUP(INDICE!$F$2,Nombres!$C$3:$D$636,46,FALSE)</f>
        <v>Resultado antes de impuestos</v>
      </c>
      <c r="B21" s="41">
        <f>+B18+B19+B20</f>
        <v>506.3699259700004</v>
      </c>
      <c r="C21" s="41">
        <f aca="true" t="shared" si="2" ref="C21:I21">+C18+C19+C20</f>
        <v>478.1860866100002</v>
      </c>
      <c r="D21" s="41">
        <f t="shared" si="2"/>
        <v>631.0867997399996</v>
      </c>
      <c r="E21" s="42">
        <f t="shared" si="2"/>
        <v>458.99131445000006</v>
      </c>
      <c r="F21" s="50">
        <f t="shared" si="2"/>
        <v>840.9966157799996</v>
      </c>
      <c r="G21" s="50">
        <f t="shared" si="2"/>
        <v>573.4882061499998</v>
      </c>
      <c r="H21" s="50">
        <f t="shared" si="2"/>
        <v>705.3300073000001</v>
      </c>
      <c r="I21" s="50">
        <f t="shared" si="2"/>
        <v>0</v>
      </c>
    </row>
    <row r="22" spans="1:9" ht="15">
      <c r="A22" s="43" t="str">
        <f>HLOOKUP(INDICE!$F$2,Nombres!$C$3:$D$636,47,FALSE)</f>
        <v>Impuesto sobre beneficios</v>
      </c>
      <c r="B22" s="44">
        <v>-135.70944273</v>
      </c>
      <c r="C22" s="44">
        <v>-122.18198357999998</v>
      </c>
      <c r="D22" s="44">
        <v>-165.33251455999996</v>
      </c>
      <c r="E22" s="45">
        <v>-100.86645799000004</v>
      </c>
      <c r="F22" s="44">
        <v>-239.42309053999998</v>
      </c>
      <c r="G22" s="44">
        <v>-163.28002520999996</v>
      </c>
      <c r="H22" s="44">
        <v>-200.80905827000007</v>
      </c>
      <c r="I22" s="44">
        <v>0</v>
      </c>
    </row>
    <row r="23" spans="1:9" ht="15">
      <c r="A23" s="41" t="str">
        <f>HLOOKUP(INDICE!$F$2,Nombres!$C$3:$D$636,48,FALSE)</f>
        <v>Resultado del ejercicio</v>
      </c>
      <c r="B23" s="41">
        <f>+B21+B22</f>
        <v>370.6604832400004</v>
      </c>
      <c r="C23" s="41">
        <f aca="true" t="shared" si="3" ref="C23:I23">+C21+C22</f>
        <v>356.00410303000024</v>
      </c>
      <c r="D23" s="41">
        <f t="shared" si="3"/>
        <v>465.75428517999967</v>
      </c>
      <c r="E23" s="42">
        <f t="shared" si="3"/>
        <v>358.12485646000005</v>
      </c>
      <c r="F23" s="50">
        <f t="shared" si="3"/>
        <v>601.5735252399996</v>
      </c>
      <c r="G23" s="50">
        <f t="shared" si="3"/>
        <v>410.2081809399998</v>
      </c>
      <c r="H23" s="50">
        <f t="shared" si="3"/>
        <v>504.5209490300001</v>
      </c>
      <c r="I23" s="50">
        <f t="shared" si="3"/>
        <v>0</v>
      </c>
    </row>
    <row r="24" spans="1:9" ht="15">
      <c r="A24" s="43" t="str">
        <f>HLOOKUP(INDICE!$F$2,Nombres!$C$3:$D$636,49,FALSE)</f>
        <v>Minoritarios</v>
      </c>
      <c r="B24" s="44">
        <v>-0.6923230899999999</v>
      </c>
      <c r="C24" s="44">
        <v>-0.7216836099999999</v>
      </c>
      <c r="D24" s="44">
        <v>-0.4960173900000002</v>
      </c>
      <c r="E24" s="45">
        <v>-0.43946732999999993</v>
      </c>
      <c r="F24" s="44">
        <v>-0.9564782700000001</v>
      </c>
      <c r="G24" s="44">
        <v>-0.9767035999999999</v>
      </c>
      <c r="H24" s="44">
        <v>-0.65651427</v>
      </c>
      <c r="I24" s="44">
        <v>0</v>
      </c>
    </row>
    <row r="25" spans="1:9" ht="15">
      <c r="A25" s="47" t="str">
        <f>HLOOKUP(INDICE!$F$2,Nombres!$C$3:$D$636,305,FALSE)</f>
        <v>Resultado atribuido excluyendo impactos no recurrentes</v>
      </c>
      <c r="B25" s="47">
        <f>+B23+B24</f>
        <v>369.9681601500004</v>
      </c>
      <c r="C25" s="47">
        <f aca="true" t="shared" si="4" ref="C25:I25">+C23+C24</f>
        <v>355.2824194200002</v>
      </c>
      <c r="D25" s="47">
        <f t="shared" si="4"/>
        <v>465.25826778999965</v>
      </c>
      <c r="E25" s="70">
        <f t="shared" si="4"/>
        <v>357.68538913000003</v>
      </c>
      <c r="F25" s="51">
        <f t="shared" si="4"/>
        <v>600.6170469699996</v>
      </c>
      <c r="G25" s="51">
        <f t="shared" si="4"/>
        <v>409.2314773399998</v>
      </c>
      <c r="H25" s="51">
        <f t="shared" si="4"/>
        <v>503.8644347600001</v>
      </c>
      <c r="I25" s="51">
        <f t="shared" si="4"/>
        <v>0</v>
      </c>
    </row>
    <row r="26" spans="1:9" ht="15">
      <c r="A26" s="43" t="str">
        <f>HLOOKUP(INDICE!$F$2,Nombres!$C$3:$D$636,319,FALSE)</f>
        <v>Impacto neto de la compra de oficinas en España</v>
      </c>
      <c r="B26" s="44">
        <v>0</v>
      </c>
      <c r="C26" s="44">
        <v>0</v>
      </c>
      <c r="D26" s="44">
        <v>0</v>
      </c>
      <c r="E26" s="45">
        <v>0</v>
      </c>
      <c r="F26" s="44">
        <v>0</v>
      </c>
      <c r="G26" s="44">
        <v>-201.39716995</v>
      </c>
      <c r="H26" s="44">
        <v>0</v>
      </c>
      <c r="I26" s="44">
        <v>0</v>
      </c>
    </row>
    <row r="27" spans="1:9" ht="15">
      <c r="A27" s="47" t="str">
        <f>HLOOKUP(INDICE!$F$2,Nombres!$C$3:$D$636,50,FALSE)</f>
        <v>Resultado atribuido</v>
      </c>
      <c r="B27" s="47">
        <f>+B25+B26</f>
        <v>369.9681601500004</v>
      </c>
      <c r="C27" s="47">
        <f aca="true" t="shared" si="5" ref="C27:I27">+C25+C26</f>
        <v>355.2824194200002</v>
      </c>
      <c r="D27" s="47">
        <f t="shared" si="5"/>
        <v>465.25826778999965</v>
      </c>
      <c r="E27" s="70">
        <f t="shared" si="5"/>
        <v>357.68538913000003</v>
      </c>
      <c r="F27" s="47">
        <f t="shared" si="5"/>
        <v>600.6170469699996</v>
      </c>
      <c r="G27" s="47">
        <f t="shared" si="5"/>
        <v>207.8343073899998</v>
      </c>
      <c r="H27" s="47">
        <f t="shared" si="5"/>
        <v>503.8644347600001</v>
      </c>
      <c r="I27" s="47">
        <f t="shared" si="5"/>
        <v>0</v>
      </c>
    </row>
    <row r="28" spans="1:9" ht="15">
      <c r="A28" s="312"/>
      <c r="B28" s="312"/>
      <c r="C28" s="312"/>
      <c r="D28" s="312"/>
      <c r="E28" s="312"/>
      <c r="F28" s="312"/>
      <c r="G28" s="312"/>
      <c r="H28" s="312"/>
      <c r="I28" s="312"/>
    </row>
    <row r="29" spans="1:9" ht="15">
      <c r="A29" s="41"/>
      <c r="B29" s="41"/>
      <c r="C29" s="41"/>
      <c r="D29" s="41"/>
      <c r="E29" s="41"/>
      <c r="F29" s="41"/>
      <c r="G29" s="41"/>
      <c r="H29" s="41"/>
      <c r="I29" s="41"/>
    </row>
    <row r="30" spans="1:9" ht="18">
      <c r="A30" s="33" t="str">
        <f>HLOOKUP(INDICE!$F$2,Nombres!$C$3:$D$636,51,FALSE)</f>
        <v>Balances</v>
      </c>
      <c r="B30" s="34"/>
      <c r="C30" s="34"/>
      <c r="D30" s="34"/>
      <c r="E30" s="34"/>
      <c r="F30" s="34"/>
      <c r="G30" s="34"/>
      <c r="H30" s="34"/>
      <c r="I30" s="34"/>
    </row>
    <row r="31" spans="1:11" ht="15">
      <c r="A31" s="35" t="str">
        <f>HLOOKUP(INDICE!$F$2,Nombres!$C$3:$D$636,32,FALSE)</f>
        <v>(Millones de euros)</v>
      </c>
      <c r="B31" s="30"/>
      <c r="C31" s="52"/>
      <c r="D31" s="52"/>
      <c r="E31" s="52"/>
      <c r="F31" s="30"/>
      <c r="G31" s="58"/>
      <c r="H31" s="58"/>
      <c r="I31" s="58"/>
      <c r="K31" s="54"/>
    </row>
    <row r="32" spans="1:11" ht="15.75">
      <c r="A32" s="30"/>
      <c r="B32" s="53">
        <v>44286</v>
      </c>
      <c r="C32" s="53">
        <v>44377</v>
      </c>
      <c r="D32" s="53">
        <v>44469</v>
      </c>
      <c r="E32" s="53">
        <v>44561</v>
      </c>
      <c r="F32" s="53">
        <v>44651</v>
      </c>
      <c r="G32" s="53">
        <v>44742</v>
      </c>
      <c r="H32" s="53">
        <v>44834</v>
      </c>
      <c r="I32" s="53">
        <v>44926</v>
      </c>
      <c r="K32" s="54"/>
    </row>
    <row r="33" spans="1:11" ht="15">
      <c r="A33" s="43" t="str">
        <f>HLOOKUP(INDICE!$F$2,Nombres!$C$3:$D$636,52,FALSE)</f>
        <v>Efectivo, saldos en efectivo en bancos centrales y otros depósitos a la vista</v>
      </c>
      <c r="B33" s="44">
        <v>26118.438437</v>
      </c>
      <c r="C33" s="44">
        <v>22583.024074</v>
      </c>
      <c r="D33" s="44">
        <v>23137.774776000002</v>
      </c>
      <c r="E33" s="45">
        <v>26386.000189</v>
      </c>
      <c r="F33" s="44">
        <v>28567.499893</v>
      </c>
      <c r="G33" s="44">
        <v>37732.410629</v>
      </c>
      <c r="H33" s="44">
        <v>48898.329535</v>
      </c>
      <c r="I33" s="44">
        <v>0</v>
      </c>
      <c r="K33" s="54"/>
    </row>
    <row r="34" spans="1:11" ht="15">
      <c r="A34" s="43" t="str">
        <f>HLOOKUP(INDICE!$F$2,Nombres!$C$3:$D$636,53,FALSE)</f>
        <v>Activos financieros a valor razonable</v>
      </c>
      <c r="B34" s="58">
        <v>133138.23764593</v>
      </c>
      <c r="C34" s="58">
        <v>137229.11167526</v>
      </c>
      <c r="D34" s="58">
        <v>138939.90451837002</v>
      </c>
      <c r="E34" s="64">
        <v>145545.80849313</v>
      </c>
      <c r="F34" s="44">
        <v>136353.24551016</v>
      </c>
      <c r="G34" s="44">
        <v>140377.23086860002</v>
      </c>
      <c r="H34" s="44">
        <v>135010.53182518</v>
      </c>
      <c r="I34" s="44">
        <v>0</v>
      </c>
      <c r="K34" s="54"/>
    </row>
    <row r="35" spans="1:11" ht="15">
      <c r="A35" s="43" t="str">
        <f>HLOOKUP(INDICE!$F$2,Nombres!$C$3:$D$636,54,FALSE)</f>
        <v>Activos financieros a coste amortizado</v>
      </c>
      <c r="B35" s="44">
        <v>195608.45913719</v>
      </c>
      <c r="C35" s="44">
        <v>198897.14261369998</v>
      </c>
      <c r="D35" s="44">
        <v>197505.0617502</v>
      </c>
      <c r="E35" s="45">
        <v>199646.47363823</v>
      </c>
      <c r="F35" s="44">
        <v>199698.84029615996</v>
      </c>
      <c r="G35" s="44">
        <v>204749.47282411</v>
      </c>
      <c r="H35" s="44">
        <v>206925.08819379006</v>
      </c>
      <c r="I35" s="44">
        <v>0</v>
      </c>
      <c r="K35" s="54"/>
    </row>
    <row r="36" spans="1:11" ht="15">
      <c r="A36" s="43" t="str">
        <f>HLOOKUP(INDICE!$F$2,Nombres!$C$3:$D$636,55,FALSE)</f>
        <v>    de los que préstamos y anticipos a la clientela</v>
      </c>
      <c r="B36" s="44">
        <v>166080.40653619</v>
      </c>
      <c r="C36" s="44">
        <v>169916.61111769997</v>
      </c>
      <c r="D36" s="44">
        <v>168385.3284432</v>
      </c>
      <c r="E36" s="45">
        <v>171081.07912722998</v>
      </c>
      <c r="F36" s="44">
        <v>171949.96412115998</v>
      </c>
      <c r="G36" s="44">
        <v>176108.72322811</v>
      </c>
      <c r="H36" s="44">
        <v>176151.89635379</v>
      </c>
      <c r="I36" s="44">
        <v>0</v>
      </c>
      <c r="K36" s="54"/>
    </row>
    <row r="37" spans="1:11" ht="15">
      <c r="A37" s="43" t="str">
        <f>HLOOKUP(INDICE!$F$2,Nombres!$C$3:$D$636,121,FALSE)</f>
        <v>Posiciones inter-áreas activo</v>
      </c>
      <c r="B37" s="44">
        <v>28497.30744309991</v>
      </c>
      <c r="C37" s="44">
        <v>28861.87703562004</v>
      </c>
      <c r="D37" s="44">
        <v>30083.44213207008</v>
      </c>
      <c r="E37" s="45">
        <v>33971.89627377008</v>
      </c>
      <c r="F37" s="44">
        <v>37241.85153339</v>
      </c>
      <c r="G37" s="44">
        <v>39466.278595489915</v>
      </c>
      <c r="H37" s="44">
        <v>37725.85807774996</v>
      </c>
      <c r="I37" s="44">
        <v>0</v>
      </c>
      <c r="K37" s="54"/>
    </row>
    <row r="38" spans="1:11" ht="15">
      <c r="A38" s="43" t="str">
        <f>HLOOKUP(INDICE!$F$2,Nombres!$C$3:$D$636,56,FALSE)</f>
        <v>Activos tangibles</v>
      </c>
      <c r="B38" s="58">
        <v>2825.418143</v>
      </c>
      <c r="C38" s="58">
        <v>2499.116668</v>
      </c>
      <c r="D38" s="58">
        <v>2458.447295</v>
      </c>
      <c r="E38" s="64">
        <v>2533.746048</v>
      </c>
      <c r="F38" s="44">
        <v>2508.384579</v>
      </c>
      <c r="G38" s="44">
        <v>2972.7728279999997</v>
      </c>
      <c r="H38" s="44">
        <v>2941.4989960000003</v>
      </c>
      <c r="I38" s="44">
        <v>0</v>
      </c>
      <c r="K38" s="54"/>
    </row>
    <row r="39" spans="1:11" ht="15">
      <c r="A39" s="43" t="str">
        <f>HLOOKUP(INDICE!$F$2,Nombres!$C$3:$D$636,57,FALSE)</f>
        <v>Otros activos</v>
      </c>
      <c r="B39" s="58">
        <f aca="true" t="shared" si="6" ref="B39:I39">+B40-B38-B35-B34-B33-B37</f>
        <v>5926.097213200032</v>
      </c>
      <c r="C39" s="58">
        <f t="shared" si="6"/>
        <v>6205.514388499942</v>
      </c>
      <c r="D39" s="58">
        <f t="shared" si="6"/>
        <v>6105.163002499932</v>
      </c>
      <c r="E39" s="64">
        <f t="shared" si="6"/>
        <v>5345.920737759981</v>
      </c>
      <c r="F39" s="44">
        <f t="shared" si="6"/>
        <v>5675.292589749966</v>
      </c>
      <c r="G39" s="44">
        <f t="shared" si="6"/>
        <v>6714.101317719957</v>
      </c>
      <c r="H39" s="44">
        <f t="shared" si="6"/>
        <v>5952.6267668600485</v>
      </c>
      <c r="I39" s="44">
        <f t="shared" si="6"/>
        <v>0</v>
      </c>
      <c r="K39" s="54"/>
    </row>
    <row r="40" spans="1:11" ht="15">
      <c r="A40" s="47" t="str">
        <f>HLOOKUP(INDICE!$F$2,Nombres!$C$3:$D$636,58,FALSE)</f>
        <v>Total activo / pasivo</v>
      </c>
      <c r="B40" s="47">
        <v>392113.9580194199</v>
      </c>
      <c r="C40" s="47">
        <v>396275.78645508</v>
      </c>
      <c r="D40" s="47">
        <v>398229.79347414005</v>
      </c>
      <c r="E40" s="47">
        <v>413429.84537989006</v>
      </c>
      <c r="F40" s="51">
        <v>410045.1144014599</v>
      </c>
      <c r="G40" s="51">
        <v>432012.2670629199</v>
      </c>
      <c r="H40" s="51">
        <v>437453.93339458003</v>
      </c>
      <c r="I40" s="51">
        <v>0</v>
      </c>
      <c r="K40" s="54"/>
    </row>
    <row r="41" spans="1:11" ht="15.75" customHeight="1">
      <c r="A41" s="43" t="str">
        <f>HLOOKUP(INDICE!$F$2,Nombres!$C$3:$D$636,59,FALSE)</f>
        <v>Pasivos financieros mantenidos para negociar y designados a valor razonable con cambios en resultados</v>
      </c>
      <c r="B41" s="58">
        <v>68174.10991900001</v>
      </c>
      <c r="C41" s="58">
        <v>68217.13019400001</v>
      </c>
      <c r="D41" s="58">
        <v>70081.506403</v>
      </c>
      <c r="E41" s="64">
        <v>81375.588126</v>
      </c>
      <c r="F41" s="44">
        <v>75723.90047499997</v>
      </c>
      <c r="G41" s="44">
        <v>89118.859321</v>
      </c>
      <c r="H41" s="44">
        <v>87972.36668900002</v>
      </c>
      <c r="I41" s="44">
        <v>0</v>
      </c>
      <c r="K41" s="54"/>
    </row>
    <row r="42" spans="1:11" ht="15">
      <c r="A42" s="43" t="str">
        <f>HLOOKUP(INDICE!$F$2,Nombres!$C$3:$D$636,60,FALSE)</f>
        <v>Depósitos de bancos centrales y entidades de crédito</v>
      </c>
      <c r="B42" s="58">
        <v>59594.62790700001</v>
      </c>
      <c r="C42" s="58">
        <v>58397.536383</v>
      </c>
      <c r="D42" s="58">
        <v>58351.436717</v>
      </c>
      <c r="E42" s="64">
        <v>54759.088316</v>
      </c>
      <c r="F42" s="44">
        <v>59875.795284</v>
      </c>
      <c r="G42" s="44">
        <v>62815.157738</v>
      </c>
      <c r="H42" s="44">
        <v>67373.417516</v>
      </c>
      <c r="I42" s="44">
        <v>0</v>
      </c>
      <c r="K42" s="54"/>
    </row>
    <row r="43" spans="1:11" ht="15">
      <c r="A43" s="43" t="str">
        <f>HLOOKUP(INDICE!$F$2,Nombres!$C$3:$D$636,61,FALSE)</f>
        <v>Depósitos de la clientela</v>
      </c>
      <c r="B43" s="58">
        <v>196589.82502999998</v>
      </c>
      <c r="C43" s="58">
        <v>200196.62135399994</v>
      </c>
      <c r="D43" s="58">
        <v>200221.75234999997</v>
      </c>
      <c r="E43" s="64">
        <v>206662.599628</v>
      </c>
      <c r="F43" s="44">
        <v>206451.20086399995</v>
      </c>
      <c r="G43" s="44">
        <v>211023.38771599997</v>
      </c>
      <c r="H43" s="44">
        <v>212862.898358</v>
      </c>
      <c r="I43" s="44">
        <v>0</v>
      </c>
      <c r="K43" s="54"/>
    </row>
    <row r="44" spans="1:11" ht="15">
      <c r="A44" s="43" t="str">
        <f>HLOOKUP(INDICE!$F$2,Nombres!$C$3:$D$636,62,FALSE)</f>
        <v>Valores representativos de deuda emitidos</v>
      </c>
      <c r="B44" s="44">
        <v>37855.50019108</v>
      </c>
      <c r="C44" s="44">
        <v>36939.20894884</v>
      </c>
      <c r="D44" s="44">
        <v>37604.80932516</v>
      </c>
      <c r="E44" s="45">
        <v>38224.42574456</v>
      </c>
      <c r="F44" s="44">
        <v>36027.34682829</v>
      </c>
      <c r="G44" s="44">
        <v>36804.73515928</v>
      </c>
      <c r="H44" s="44">
        <v>38976.324485089994</v>
      </c>
      <c r="I44" s="44">
        <v>0</v>
      </c>
      <c r="K44" s="54"/>
    </row>
    <row r="45" spans="1:11" ht="15">
      <c r="A45" s="43" t="str">
        <f>HLOOKUP(INDICE!$F$2,Nombres!$C$3:$D$636,122,FALSE)</f>
        <v>Posiciones inter-áreas pasivo</v>
      </c>
      <c r="B45" s="44">
        <v>0</v>
      </c>
      <c r="C45" s="44">
        <v>0</v>
      </c>
      <c r="D45" s="44">
        <v>0</v>
      </c>
      <c r="E45" s="45">
        <v>0</v>
      </c>
      <c r="F45" s="44">
        <v>0</v>
      </c>
      <c r="G45" s="44">
        <v>0</v>
      </c>
      <c r="H45" s="44">
        <v>0</v>
      </c>
      <c r="I45" s="44">
        <v>0</v>
      </c>
      <c r="K45" s="54"/>
    </row>
    <row r="46" spans="1:9" ht="15">
      <c r="A46" s="43" t="str">
        <f>HLOOKUP(INDICE!$F$2,Nombres!$C$3:$D$636,63,FALSE)</f>
        <v>Otros pasivos</v>
      </c>
      <c r="B46" s="44">
        <f>+B40-B41-B42-B43-B44-B47-B45</f>
        <v>17240.302730739917</v>
      </c>
      <c r="C46" s="44">
        <f aca="true" t="shared" si="7" ref="C46:I46">+C40-C41-C42-C43-C44-C47-C45</f>
        <v>19348.15331624003</v>
      </c>
      <c r="D46" s="44">
        <f t="shared" si="7"/>
        <v>18449.931319000076</v>
      </c>
      <c r="E46" s="45">
        <f t="shared" si="7"/>
        <v>18405.911814720035</v>
      </c>
      <c r="F46" s="44">
        <f t="shared" si="7"/>
        <v>17622.15769804001</v>
      </c>
      <c r="G46" s="44">
        <f t="shared" si="7"/>
        <v>17744.713558699972</v>
      </c>
      <c r="H46" s="44">
        <f t="shared" si="7"/>
        <v>16302.400092970001</v>
      </c>
      <c r="I46" s="44">
        <f t="shared" si="7"/>
        <v>0</v>
      </c>
    </row>
    <row r="47" spans="1:9" ht="15">
      <c r="A47" s="43" t="str">
        <f>HLOOKUP(INDICE!$F$2,Nombres!$C$3:$D$636,282,FALSE)</f>
        <v>Dotación de capital regulatorio</v>
      </c>
      <c r="B47" s="44">
        <v>12659.592241600001</v>
      </c>
      <c r="C47" s="44">
        <v>13177.136259</v>
      </c>
      <c r="D47" s="44">
        <v>13520.357359980002</v>
      </c>
      <c r="E47" s="45">
        <v>14002.23175061</v>
      </c>
      <c r="F47" s="44">
        <v>14344.713252129997</v>
      </c>
      <c r="G47" s="44">
        <v>14505.41356994</v>
      </c>
      <c r="H47" s="44">
        <v>13966.526253519998</v>
      </c>
      <c r="I47" s="44">
        <v>0</v>
      </c>
    </row>
    <row r="48" spans="1:9" ht="15">
      <c r="A48" s="62"/>
      <c r="B48" s="58"/>
      <c r="C48" s="58"/>
      <c r="D48" s="58"/>
      <c r="E48" s="58"/>
      <c r="F48" s="58"/>
      <c r="G48" s="58"/>
      <c r="H48" s="58"/>
      <c r="I48" s="58"/>
    </row>
    <row r="49" spans="1:9" ht="15">
      <c r="A49" s="43"/>
      <c r="B49" s="58"/>
      <c r="C49" s="58"/>
      <c r="D49" s="58"/>
      <c r="E49" s="58"/>
      <c r="F49" s="58"/>
      <c r="G49" s="58"/>
      <c r="H49" s="58"/>
      <c r="I49" s="58"/>
    </row>
    <row r="50" spans="1:9" ht="18">
      <c r="A50" s="65" t="str">
        <f>HLOOKUP(INDICE!$F$2,Nombres!$C$3:$D$636,65,FALSE)</f>
        <v>Indicadores relevantes y de gestión</v>
      </c>
      <c r="B50" s="66"/>
      <c r="C50" s="66"/>
      <c r="D50" s="66"/>
      <c r="E50" s="66"/>
      <c r="F50" s="66"/>
      <c r="G50" s="66"/>
      <c r="H50" s="66"/>
      <c r="I50" s="66"/>
    </row>
    <row r="51" spans="1:9" ht="15">
      <c r="A51" s="35" t="str">
        <f>HLOOKUP(INDICE!$F$2,Nombres!$C$3:$D$636,32,FALSE)</f>
        <v>(Millones de euros)</v>
      </c>
      <c r="B51" s="30"/>
      <c r="C51" s="30"/>
      <c r="D51" s="30"/>
      <c r="E51" s="30"/>
      <c r="F51" s="30"/>
      <c r="G51" s="58"/>
      <c r="H51" s="58"/>
      <c r="I51" s="58"/>
    </row>
    <row r="52" spans="1:9" ht="15.75">
      <c r="A52" s="30"/>
      <c r="B52" s="53">
        <f aca="true" t="shared" si="8" ref="B52:I52">+B$32</f>
        <v>44286</v>
      </c>
      <c r="C52" s="53">
        <f t="shared" si="8"/>
        <v>44377</v>
      </c>
      <c r="D52" s="53">
        <f t="shared" si="8"/>
        <v>44469</v>
      </c>
      <c r="E52" s="67">
        <f t="shared" si="8"/>
        <v>44561</v>
      </c>
      <c r="F52" s="53">
        <f t="shared" si="8"/>
        <v>44651</v>
      </c>
      <c r="G52" s="53">
        <f t="shared" si="8"/>
        <v>44742</v>
      </c>
      <c r="H52" s="53">
        <f t="shared" si="8"/>
        <v>44834</v>
      </c>
      <c r="I52" s="53">
        <f t="shared" si="8"/>
        <v>44926</v>
      </c>
    </row>
    <row r="53" spans="1:9" ht="15">
      <c r="A53" s="43" t="str">
        <f>HLOOKUP(INDICE!$F$2,Nombres!$C$3:$D$636,66,FALSE)</f>
        <v>Préstamos y anticipos a la clientela bruto (*)</v>
      </c>
      <c r="B53" s="44">
        <v>171552.249247</v>
      </c>
      <c r="C53" s="44">
        <v>175059.77363900002</v>
      </c>
      <c r="D53" s="44">
        <v>173463.88169537002</v>
      </c>
      <c r="E53" s="45">
        <v>176132.589933</v>
      </c>
      <c r="F53" s="44">
        <v>176978.40858599998</v>
      </c>
      <c r="G53" s="44">
        <v>181107.749283</v>
      </c>
      <c r="H53" s="44">
        <v>181079.07291500003</v>
      </c>
      <c r="I53" s="44">
        <v>0</v>
      </c>
    </row>
    <row r="54" spans="1:9" ht="15">
      <c r="A54" s="43" t="str">
        <f>HLOOKUP(INDICE!$F$2,Nombres!$C$3:$D$636,67,FALSE)</f>
        <v>Depósitos de clientes en gestión (**)</v>
      </c>
      <c r="B54" s="44">
        <v>196004.84808</v>
      </c>
      <c r="C54" s="44">
        <v>199580.71829100003</v>
      </c>
      <c r="D54" s="44">
        <v>199599.51979</v>
      </c>
      <c r="E54" s="45">
        <v>205908.21971</v>
      </c>
      <c r="F54" s="44">
        <v>205926.96363399999</v>
      </c>
      <c r="G54" s="44">
        <v>210532.6971</v>
      </c>
      <c r="H54" s="44">
        <v>212298.719874</v>
      </c>
      <c r="I54" s="44">
        <v>0</v>
      </c>
    </row>
    <row r="55" spans="1:9" ht="15">
      <c r="A55" s="43" t="str">
        <f>HLOOKUP(INDICE!$F$2,Nombres!$C$3:$D$636,68,FALSE)</f>
        <v>Fondos de inversión y carteras gestionadas</v>
      </c>
      <c r="B55" s="44">
        <v>61372.16300718999</v>
      </c>
      <c r="C55" s="44">
        <v>64034.103564149984</v>
      </c>
      <c r="D55" s="44">
        <v>64957.206182949994</v>
      </c>
      <c r="E55" s="45">
        <v>68596.89542821</v>
      </c>
      <c r="F55" s="44">
        <v>66158.73053186998</v>
      </c>
      <c r="G55" s="44">
        <v>63270.89122094001</v>
      </c>
      <c r="H55" s="44">
        <v>62261.04950350999</v>
      </c>
      <c r="I55" s="44">
        <v>0</v>
      </c>
    </row>
    <row r="56" spans="1:9" ht="15">
      <c r="A56" s="43" t="str">
        <f>HLOOKUP(INDICE!$F$2,Nombres!$C$3:$D$636,69,FALSE)</f>
        <v>Fondos de pensiones</v>
      </c>
      <c r="B56" s="44">
        <v>24581.019303769997</v>
      </c>
      <c r="C56" s="44">
        <v>24953.45475065</v>
      </c>
      <c r="D56" s="44">
        <v>24964.93470501</v>
      </c>
      <c r="E56" s="45">
        <v>25498.115497730003</v>
      </c>
      <c r="F56" s="44">
        <v>24669.120722600004</v>
      </c>
      <c r="G56" s="44">
        <v>23557.51709119</v>
      </c>
      <c r="H56" s="44">
        <v>22919.576148710003</v>
      </c>
      <c r="I56" s="44">
        <v>0</v>
      </c>
    </row>
    <row r="57" spans="1:9" ht="15">
      <c r="A57" s="43" t="str">
        <f>HLOOKUP(INDICE!$F$2,Nombres!$C$3:$D$636,70,FALSE)</f>
        <v>Otros recursos fuera de balance</v>
      </c>
      <c r="B57" s="44">
        <v>0</v>
      </c>
      <c r="C57" s="44">
        <v>0</v>
      </c>
      <c r="D57" s="44">
        <v>0</v>
      </c>
      <c r="E57" s="45">
        <v>0</v>
      </c>
      <c r="F57" s="44">
        <v>0</v>
      </c>
      <c r="G57" s="44">
        <v>0</v>
      </c>
      <c r="H57" s="44">
        <v>0</v>
      </c>
      <c r="I57" s="44">
        <v>0</v>
      </c>
    </row>
    <row r="58" spans="1:9" ht="15">
      <c r="A58" s="62" t="str">
        <f>HLOOKUP(INDICE!$F$2,Nombres!$C$3:$D$636,71,FALSE)</f>
        <v>(*) No incluye las adquisiciones temporales de activos.</v>
      </c>
      <c r="B58" s="58"/>
      <c r="C58" s="58"/>
      <c r="D58" s="58"/>
      <c r="E58" s="58"/>
      <c r="F58" s="58"/>
      <c r="G58" s="58"/>
      <c r="H58" s="58"/>
      <c r="I58" s="58"/>
    </row>
    <row r="59" spans="1:9" ht="15">
      <c r="A59" s="62" t="str">
        <f>HLOOKUP(INDICE!$F$2,Nombres!$C$3:$D$636,72,FALSE)</f>
        <v>(**) No incluye las cesiones temporales de activos.</v>
      </c>
      <c r="B59" s="30"/>
      <c r="C59" s="30"/>
      <c r="D59" s="30"/>
      <c r="E59" s="30"/>
      <c r="F59" s="30"/>
      <c r="G59" s="30"/>
      <c r="H59" s="30"/>
      <c r="I59" s="30"/>
    </row>
    <row r="60" spans="1:9" ht="15">
      <c r="A60" s="62"/>
      <c r="B60" s="30"/>
      <c r="C60" s="30"/>
      <c r="D60" s="30"/>
      <c r="E60" s="30"/>
      <c r="F60" s="30"/>
      <c r="G60" s="30"/>
      <c r="H60" s="30"/>
      <c r="I60" s="30"/>
    </row>
    <row r="63" spans="2:9" ht="15">
      <c r="B63" s="54"/>
      <c r="C63" s="54"/>
      <c r="D63" s="54"/>
      <c r="E63" s="54"/>
      <c r="F63" s="54"/>
      <c r="G63" s="54"/>
      <c r="H63" s="54"/>
      <c r="I63" s="54"/>
    </row>
    <row r="1002" ht="15">
      <c r="A1002" s="31" t="s">
        <v>392</v>
      </c>
    </row>
  </sheetData>
  <sheetProtection/>
  <mergeCells count="3">
    <mergeCell ref="B6:E6"/>
    <mergeCell ref="F6:I6"/>
    <mergeCell ref="A28:I28"/>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L164" sqref="L164"/>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29" t="str">
        <f>HLOOKUP(INDICE!$F$2,Nombres!$C$3:$D$636,11,FALSE)</f>
        <v>México</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13">
        <f>+España!B6</f>
        <v>2021</v>
      </c>
      <c r="C6" s="313"/>
      <c r="D6" s="313"/>
      <c r="E6" s="314"/>
      <c r="F6" s="313">
        <f>+España!F6</f>
        <v>2022</v>
      </c>
      <c r="G6" s="313"/>
      <c r="H6" s="313"/>
      <c r="I6" s="313"/>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1366.2208904400004</v>
      </c>
      <c r="C8" s="41">
        <v>1404.86537968</v>
      </c>
      <c r="D8" s="41">
        <v>1508.9767515400004</v>
      </c>
      <c r="E8" s="42">
        <v>1556.1925747199998</v>
      </c>
      <c r="F8" s="50">
        <v>1746.27672984</v>
      </c>
      <c r="G8" s="50">
        <v>1937.7151103</v>
      </c>
      <c r="H8" s="50">
        <v>2237.2312695</v>
      </c>
      <c r="I8" s="50">
        <v>0</v>
      </c>
    </row>
    <row r="9" spans="1:9" ht="15">
      <c r="A9" s="43" t="str">
        <f>HLOOKUP(INDICE!$F$2,Nombres!$C$3:$D$636,34,FALSE)</f>
        <v>Comisiones netas</v>
      </c>
      <c r="B9" s="44">
        <v>281.56553275000005</v>
      </c>
      <c r="C9" s="44">
        <v>299.25340747000007</v>
      </c>
      <c r="D9" s="44">
        <v>317.05162781</v>
      </c>
      <c r="E9" s="45">
        <v>313.07270378</v>
      </c>
      <c r="F9" s="44">
        <v>342.73184430000003</v>
      </c>
      <c r="G9" s="44">
        <v>400.7794829999999</v>
      </c>
      <c r="H9" s="44">
        <v>430.27848954000007</v>
      </c>
      <c r="I9" s="44">
        <v>0</v>
      </c>
    </row>
    <row r="10" spans="1:9" ht="15">
      <c r="A10" s="43" t="str">
        <f>HLOOKUP(INDICE!$F$2,Nombres!$C$3:$D$636,35,FALSE)</f>
        <v>Resultados de operaciones financieras</v>
      </c>
      <c r="B10" s="44">
        <v>69.14014961999999</v>
      </c>
      <c r="C10" s="44">
        <v>95.77761064</v>
      </c>
      <c r="D10" s="44">
        <v>87.99758012</v>
      </c>
      <c r="E10" s="45">
        <v>113.48441278000001</v>
      </c>
      <c r="F10" s="44">
        <v>91.93280934999999</v>
      </c>
      <c r="G10" s="44">
        <v>135.35992679</v>
      </c>
      <c r="H10" s="44">
        <v>96.26793705</v>
      </c>
      <c r="I10" s="44">
        <v>0</v>
      </c>
    </row>
    <row r="11" spans="1:9" ht="15">
      <c r="A11" s="43" t="str">
        <f>HLOOKUP(INDICE!$F$2,Nombres!$C$3:$D$636,36,FALSE)</f>
        <v>Otros ingresos y cargas de explotación</v>
      </c>
      <c r="B11" s="44">
        <v>43.80699996999996</v>
      </c>
      <c r="C11" s="44">
        <v>43.580000020000156</v>
      </c>
      <c r="D11" s="44">
        <v>39.27400001999999</v>
      </c>
      <c r="E11" s="45">
        <v>63.059000019999765</v>
      </c>
      <c r="F11" s="44">
        <v>63.78499999999998</v>
      </c>
      <c r="G11" s="44">
        <v>168.39799999000007</v>
      </c>
      <c r="H11" s="44">
        <v>103.66899998999956</v>
      </c>
      <c r="I11" s="44">
        <v>0</v>
      </c>
    </row>
    <row r="12" spans="1:9" ht="15">
      <c r="A12" s="41" t="str">
        <f>HLOOKUP(INDICE!$F$2,Nombres!$C$3:$D$636,37,FALSE)</f>
        <v>Margen bruto</v>
      </c>
      <c r="B12" s="41">
        <f>+SUM(B8:B11)</f>
        <v>1760.7335727800003</v>
      </c>
      <c r="C12" s="41">
        <f aca="true" t="shared" si="0" ref="C12:I12">+SUM(C8:C11)</f>
        <v>1843.4763978100002</v>
      </c>
      <c r="D12" s="41">
        <f t="shared" si="0"/>
        <v>1953.2999594900002</v>
      </c>
      <c r="E12" s="42">
        <f t="shared" si="0"/>
        <v>2045.8086912999995</v>
      </c>
      <c r="F12" s="50">
        <f t="shared" si="0"/>
        <v>2244.7263834899995</v>
      </c>
      <c r="G12" s="50">
        <f t="shared" si="0"/>
        <v>2642.25252008</v>
      </c>
      <c r="H12" s="50">
        <f t="shared" si="0"/>
        <v>2867.4466960799996</v>
      </c>
      <c r="I12" s="50">
        <f t="shared" si="0"/>
        <v>0</v>
      </c>
    </row>
    <row r="13" spans="1:9" ht="15">
      <c r="A13" s="43" t="str">
        <f>HLOOKUP(INDICE!$F$2,Nombres!$C$3:$D$636,38,FALSE)</f>
        <v>Gastos de explotación</v>
      </c>
      <c r="B13" s="44">
        <v>-628.11218591</v>
      </c>
      <c r="C13" s="44">
        <v>-650.6963467599999</v>
      </c>
      <c r="D13" s="44">
        <v>-686.9838591500001</v>
      </c>
      <c r="E13" s="45">
        <v>-716.50771291</v>
      </c>
      <c r="F13" s="44">
        <v>-756.39848289</v>
      </c>
      <c r="G13" s="44">
        <v>-814.8303415300002</v>
      </c>
      <c r="H13" s="44">
        <v>-899.26300052</v>
      </c>
      <c r="I13" s="44">
        <v>0</v>
      </c>
    </row>
    <row r="14" spans="1:9" ht="15">
      <c r="A14" s="43" t="str">
        <f>HLOOKUP(INDICE!$F$2,Nombres!$C$3:$D$636,39,FALSE)</f>
        <v>  Gastos de administración</v>
      </c>
      <c r="B14" s="44">
        <v>-549.71538089</v>
      </c>
      <c r="C14" s="44">
        <v>-571.39577177</v>
      </c>
      <c r="D14" s="44">
        <v>-602.89568223</v>
      </c>
      <c r="E14" s="45">
        <v>-632.4380449199999</v>
      </c>
      <c r="F14" s="44">
        <v>-665.9002018599999</v>
      </c>
      <c r="G14" s="44">
        <v>-717.3522109700001</v>
      </c>
      <c r="H14" s="44">
        <v>-796.25096754</v>
      </c>
      <c r="I14" s="44">
        <v>0</v>
      </c>
    </row>
    <row r="15" spans="1:9" ht="15">
      <c r="A15" s="46" t="str">
        <f>HLOOKUP(INDICE!$F$2,Nombres!$C$3:$D$636,40,FALSE)</f>
        <v>  Gastos de personal</v>
      </c>
      <c r="B15" s="44">
        <v>-255.18485251</v>
      </c>
      <c r="C15" s="44">
        <v>-269.27963647</v>
      </c>
      <c r="D15" s="44">
        <v>-328.77337014000005</v>
      </c>
      <c r="E15" s="45">
        <v>-345.93384104999996</v>
      </c>
      <c r="F15" s="44">
        <v>-334.39717567</v>
      </c>
      <c r="G15" s="44">
        <v>-364.68165961000005</v>
      </c>
      <c r="H15" s="44">
        <v>-418.01823077999995</v>
      </c>
      <c r="I15" s="44">
        <v>0</v>
      </c>
    </row>
    <row r="16" spans="1:9" ht="15">
      <c r="A16" s="46" t="str">
        <f>HLOOKUP(INDICE!$F$2,Nombres!$C$3:$D$636,41,FALSE)</f>
        <v>  Otros gastos de administración</v>
      </c>
      <c r="B16" s="44">
        <v>-294.53052838</v>
      </c>
      <c r="C16" s="44">
        <v>-302.1161353</v>
      </c>
      <c r="D16" s="44">
        <v>-274.12231209</v>
      </c>
      <c r="E16" s="45">
        <v>-286.50420386999997</v>
      </c>
      <c r="F16" s="44">
        <v>-331.50302619</v>
      </c>
      <c r="G16" s="44">
        <v>-352.67055136</v>
      </c>
      <c r="H16" s="44">
        <v>-378.23273675999997</v>
      </c>
      <c r="I16" s="44">
        <v>0</v>
      </c>
    </row>
    <row r="17" spans="1:9" ht="15">
      <c r="A17" s="43" t="str">
        <f>HLOOKUP(INDICE!$F$2,Nombres!$C$3:$D$636,42,FALSE)</f>
        <v>  Amortización</v>
      </c>
      <c r="B17" s="44">
        <v>-78.39680502</v>
      </c>
      <c r="C17" s="44">
        <v>-79.30057498999999</v>
      </c>
      <c r="D17" s="44">
        <v>-84.08817692</v>
      </c>
      <c r="E17" s="45">
        <v>-84.06966799</v>
      </c>
      <c r="F17" s="44">
        <v>-90.49828102999999</v>
      </c>
      <c r="G17" s="44">
        <v>-97.47813055999998</v>
      </c>
      <c r="H17" s="44">
        <v>-103.01203298</v>
      </c>
      <c r="I17" s="44">
        <v>0</v>
      </c>
    </row>
    <row r="18" spans="1:9" ht="15">
      <c r="A18" s="41" t="str">
        <f>HLOOKUP(INDICE!$F$2,Nombres!$C$3:$D$636,43,FALSE)</f>
        <v>Margen neto</v>
      </c>
      <c r="B18" s="41">
        <f>+B12+B13</f>
        <v>1132.6213868700002</v>
      </c>
      <c r="C18" s="41">
        <f aca="true" t="shared" si="1" ref="C18:I18">+C12+C13</f>
        <v>1192.7800510500003</v>
      </c>
      <c r="D18" s="41">
        <f t="shared" si="1"/>
        <v>1266.31610034</v>
      </c>
      <c r="E18" s="42">
        <f t="shared" si="1"/>
        <v>1329.3009783899995</v>
      </c>
      <c r="F18" s="50">
        <f t="shared" si="1"/>
        <v>1488.3279005999996</v>
      </c>
      <c r="G18" s="50">
        <f t="shared" si="1"/>
        <v>1827.42217855</v>
      </c>
      <c r="H18" s="50">
        <f t="shared" si="1"/>
        <v>1968.1836955599997</v>
      </c>
      <c r="I18" s="50">
        <f t="shared" si="1"/>
        <v>0</v>
      </c>
    </row>
    <row r="19" spans="1:9" ht="15">
      <c r="A19" s="43" t="str">
        <f>HLOOKUP(INDICE!$F$2,Nombres!$C$3:$D$636,44,FALSE)</f>
        <v>Deterioro de activos financieros no valorados a valor razonable con cambios en resultados</v>
      </c>
      <c r="B19" s="44">
        <v>-457.89600006</v>
      </c>
      <c r="C19" s="44">
        <v>-283.35099992</v>
      </c>
      <c r="D19" s="44">
        <v>-334.22599998000004</v>
      </c>
      <c r="E19" s="45">
        <v>-365.00800002000005</v>
      </c>
      <c r="F19" s="44">
        <v>-418.7609999500001</v>
      </c>
      <c r="G19" s="44">
        <v>-386.5470000499996</v>
      </c>
      <c r="H19" s="44">
        <v>-471.44299999999953</v>
      </c>
      <c r="I19" s="44">
        <v>0</v>
      </c>
    </row>
    <row r="20" spans="1:9" ht="15">
      <c r="A20" s="43" t="str">
        <f>HLOOKUP(INDICE!$F$2,Nombres!$C$3:$D$636,45,FALSE)</f>
        <v>Provisiones o reversión de provisiones y otros resultados</v>
      </c>
      <c r="B20" s="44">
        <v>1.8089999800000047</v>
      </c>
      <c r="C20" s="44">
        <v>7.059000009999996</v>
      </c>
      <c r="D20" s="44">
        <v>8.894000000000005</v>
      </c>
      <c r="E20" s="45">
        <v>6.701999990000015</v>
      </c>
      <c r="F20" s="44">
        <v>-1.2699999999999996</v>
      </c>
      <c r="G20" s="44">
        <v>-7.59599998</v>
      </c>
      <c r="H20" s="44">
        <v>-36.347000019999996</v>
      </c>
      <c r="I20" s="44">
        <v>0</v>
      </c>
    </row>
    <row r="21" spans="1:9" ht="15">
      <c r="A21" s="41" t="str">
        <f>HLOOKUP(INDICE!$F$2,Nombres!$C$3:$D$636,46,FALSE)</f>
        <v>Resultado antes de impuestos</v>
      </c>
      <c r="B21" s="41">
        <f>+B18+B19+B20</f>
        <v>676.5343867900001</v>
      </c>
      <c r="C21" s="41">
        <f aca="true" t="shared" si="2" ref="C21:I21">+C18+C19+C20</f>
        <v>916.4880511400003</v>
      </c>
      <c r="D21" s="41">
        <f t="shared" si="2"/>
        <v>940.98410036</v>
      </c>
      <c r="E21" s="42">
        <f t="shared" si="2"/>
        <v>970.9949783599994</v>
      </c>
      <c r="F21" s="50">
        <f t="shared" si="2"/>
        <v>1068.2969006499995</v>
      </c>
      <c r="G21" s="50">
        <f t="shared" si="2"/>
        <v>1433.2791785200004</v>
      </c>
      <c r="H21" s="50">
        <f t="shared" si="2"/>
        <v>1460.3936955400002</v>
      </c>
      <c r="I21" s="50">
        <f t="shared" si="2"/>
        <v>0</v>
      </c>
    </row>
    <row r="22" spans="1:9" ht="15">
      <c r="A22" s="43" t="str">
        <f>HLOOKUP(INDICE!$F$2,Nombres!$C$3:$D$636,47,FALSE)</f>
        <v>Impuesto sobre beneficios</v>
      </c>
      <c r="B22" s="44">
        <v>-187.61025693999994</v>
      </c>
      <c r="C22" s="44">
        <v>-286.5987951000001</v>
      </c>
      <c r="D22" s="44">
        <v>-260.32351461</v>
      </c>
      <c r="E22" s="45">
        <v>-218.54690595</v>
      </c>
      <c r="F22" s="44">
        <v>-290.98884173999994</v>
      </c>
      <c r="G22" s="44">
        <v>-389.63307662</v>
      </c>
      <c r="H22" s="44">
        <v>-317.12326769000003</v>
      </c>
      <c r="I22" s="44">
        <v>0</v>
      </c>
    </row>
    <row r="23" spans="1:9" ht="15">
      <c r="A23" s="41" t="str">
        <f>HLOOKUP(INDICE!$F$2,Nombres!$C$3:$D$636,48,FALSE)</f>
        <v>Resultado del ejercicio</v>
      </c>
      <c r="B23" s="41">
        <f>+B21+B22</f>
        <v>488.92412985000016</v>
      </c>
      <c r="C23" s="41">
        <f aca="true" t="shared" si="3" ref="C23:I23">+C21+C22</f>
        <v>629.8892560400002</v>
      </c>
      <c r="D23" s="41">
        <f t="shared" si="3"/>
        <v>680.6605857499999</v>
      </c>
      <c r="E23" s="42">
        <f t="shared" si="3"/>
        <v>752.4480724099994</v>
      </c>
      <c r="F23" s="50">
        <f t="shared" si="3"/>
        <v>777.3080589099995</v>
      </c>
      <c r="G23" s="50">
        <f t="shared" si="3"/>
        <v>1043.6461019000003</v>
      </c>
      <c r="H23" s="50">
        <f t="shared" si="3"/>
        <v>1143.27042785</v>
      </c>
      <c r="I23" s="50">
        <f t="shared" si="3"/>
        <v>0</v>
      </c>
    </row>
    <row r="24" spans="1:9" ht="15">
      <c r="A24" s="43" t="str">
        <f>HLOOKUP(INDICE!$F$2,Nombres!$C$3:$D$636,49,FALSE)</f>
        <v>Minoritarios</v>
      </c>
      <c r="B24" s="44">
        <v>-0.085</v>
      </c>
      <c r="C24" s="44">
        <v>-0.121</v>
      </c>
      <c r="D24" s="44">
        <v>-0.123</v>
      </c>
      <c r="E24" s="45">
        <v>-0.14200000000000002</v>
      </c>
      <c r="F24" s="44">
        <v>-0.139</v>
      </c>
      <c r="G24" s="44">
        <v>-0.18500000000000003</v>
      </c>
      <c r="H24" s="44">
        <v>-0.21099999999999997</v>
      </c>
      <c r="I24" s="44">
        <v>0</v>
      </c>
    </row>
    <row r="25" spans="1:9" ht="15">
      <c r="A25" s="47" t="str">
        <f>HLOOKUP(INDICE!$F$2,Nombres!$C$3:$D$636,50,FALSE)</f>
        <v>Resultado atribuido</v>
      </c>
      <c r="B25" s="47">
        <f>+B23+B24</f>
        <v>488.8391298500002</v>
      </c>
      <c r="C25" s="47">
        <f aca="true" t="shared" si="4" ref="C25:I25">+C23+C24</f>
        <v>629.7682560400002</v>
      </c>
      <c r="D25" s="47">
        <f t="shared" si="4"/>
        <v>680.5375857499998</v>
      </c>
      <c r="E25" s="47">
        <f t="shared" si="4"/>
        <v>752.3060724099994</v>
      </c>
      <c r="F25" s="51">
        <f t="shared" si="4"/>
        <v>777.1690589099995</v>
      </c>
      <c r="G25" s="51">
        <f t="shared" si="4"/>
        <v>1043.4611019000004</v>
      </c>
      <c r="H25" s="51">
        <f t="shared" si="4"/>
        <v>1143.05942785</v>
      </c>
      <c r="I25" s="51">
        <f t="shared" si="4"/>
        <v>0</v>
      </c>
    </row>
    <row r="26" spans="1:9" ht="15">
      <c r="A26" s="62"/>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Efectivo, saldos en efectivo en bancos centrales y otros depósitos a la vista</v>
      </c>
      <c r="B31" s="44">
        <v>10641.473</v>
      </c>
      <c r="C31" s="44">
        <v>13097.19699999</v>
      </c>
      <c r="D31" s="44">
        <v>13776.94199999</v>
      </c>
      <c r="E31" s="45">
        <v>12984.86099999</v>
      </c>
      <c r="F31" s="44">
        <v>14926.70000001</v>
      </c>
      <c r="G31" s="44">
        <v>16588.829999989997</v>
      </c>
      <c r="H31" s="44">
        <v>16580.39899999</v>
      </c>
      <c r="I31" s="44">
        <v>0</v>
      </c>
    </row>
    <row r="32" spans="1:9" ht="15">
      <c r="A32" s="43" t="str">
        <f>HLOOKUP(INDICE!$F$2,Nombres!$C$3:$D$636,53,FALSE)</f>
        <v>Activos financieros a valor razonable</v>
      </c>
      <c r="B32" s="58">
        <v>33914.793000030004</v>
      </c>
      <c r="C32" s="58">
        <v>34697.42699999</v>
      </c>
      <c r="D32" s="58">
        <v>33472.055000019995</v>
      </c>
      <c r="E32" s="64">
        <v>35125.59400001</v>
      </c>
      <c r="F32" s="44">
        <v>37487.704</v>
      </c>
      <c r="G32" s="44">
        <v>39991.07999997</v>
      </c>
      <c r="H32" s="44">
        <v>44090.551999999996</v>
      </c>
      <c r="I32" s="44">
        <v>0</v>
      </c>
    </row>
    <row r="33" spans="1:9" ht="15">
      <c r="A33" s="43" t="str">
        <f>HLOOKUP(INDICE!$F$2,Nombres!$C$3:$D$636,54,FALSE)</f>
        <v>Activos financieros a coste amortizado</v>
      </c>
      <c r="B33" s="44">
        <v>60857.970999929996</v>
      </c>
      <c r="C33" s="44">
        <v>61847.353999880004</v>
      </c>
      <c r="D33" s="44">
        <v>62195.73199995</v>
      </c>
      <c r="E33" s="45">
        <v>65311.473000109996</v>
      </c>
      <c r="F33" s="44">
        <v>70951.68300008001</v>
      </c>
      <c r="G33" s="44">
        <v>78487.42600005</v>
      </c>
      <c r="H33" s="44">
        <v>85836.08699997</v>
      </c>
      <c r="I33" s="44">
        <v>0</v>
      </c>
    </row>
    <row r="34" spans="1:9" ht="15">
      <c r="A34" s="43" t="str">
        <f>HLOOKUP(INDICE!$F$2,Nombres!$C$3:$D$636,55,FALSE)</f>
        <v>    de los que préstamos y anticipos a la clientela</v>
      </c>
      <c r="B34" s="44">
        <v>51524.61899994</v>
      </c>
      <c r="C34" s="44">
        <v>52873.54899988</v>
      </c>
      <c r="D34" s="44">
        <v>53014.019999970005</v>
      </c>
      <c r="E34" s="45">
        <v>55808.891000100004</v>
      </c>
      <c r="F34" s="44">
        <v>60743.74800004</v>
      </c>
      <c r="G34" s="44">
        <v>67020.08700003</v>
      </c>
      <c r="H34" s="44">
        <v>73530.23399998999</v>
      </c>
      <c r="I34" s="44">
        <v>0</v>
      </c>
    </row>
    <row r="35" spans="1:9" ht="15" customHeight="1" hidden="1">
      <c r="A35" s="43"/>
      <c r="B35" s="44"/>
      <c r="C35" s="44"/>
      <c r="D35" s="44"/>
      <c r="E35" s="45"/>
      <c r="F35" s="44"/>
      <c r="G35" s="44"/>
      <c r="H35" s="44"/>
      <c r="I35" s="44"/>
    </row>
    <row r="36" spans="1:9" ht="15">
      <c r="A36" s="43" t="str">
        <f>HLOOKUP(INDICE!$F$2,Nombres!$C$3:$D$636,56,FALSE)</f>
        <v>Activos tangibles</v>
      </c>
      <c r="B36" s="44">
        <v>1643.95599999</v>
      </c>
      <c r="C36" s="44">
        <v>1661.2619999899998</v>
      </c>
      <c r="D36" s="44">
        <v>1643.6710000100002</v>
      </c>
      <c r="E36" s="45">
        <v>1731.02100002</v>
      </c>
      <c r="F36" s="44">
        <v>1770.6509999999998</v>
      </c>
      <c r="G36" s="44">
        <v>1853.8629999999998</v>
      </c>
      <c r="H36" s="44">
        <v>1993.324</v>
      </c>
      <c r="I36" s="44">
        <v>0</v>
      </c>
    </row>
    <row r="37" spans="1:9" ht="15">
      <c r="A37" s="43" t="str">
        <f>HLOOKUP(INDICE!$F$2,Nombres!$C$3:$D$636,57,FALSE)</f>
        <v>Otros activos</v>
      </c>
      <c r="B37" s="58">
        <f>+B38-B36-B33-B32-B31</f>
        <v>3354.1150824799897</v>
      </c>
      <c r="C37" s="58">
        <f aca="true" t="shared" si="5" ref="C37:I37">+C38-C36-C33-C32-C31</f>
        <v>3197.313482180016</v>
      </c>
      <c r="D37" s="58">
        <f t="shared" si="5"/>
        <v>2866.143132019997</v>
      </c>
      <c r="E37" s="64">
        <f t="shared" si="5"/>
        <v>2952.7950398300018</v>
      </c>
      <c r="F37" s="44">
        <f t="shared" si="5"/>
        <v>3084.5814611400074</v>
      </c>
      <c r="G37" s="44">
        <f t="shared" si="5"/>
        <v>3438.695897040001</v>
      </c>
      <c r="H37" s="44">
        <f t="shared" si="5"/>
        <v>3595.5422239900145</v>
      </c>
      <c r="I37" s="44">
        <f t="shared" si="5"/>
        <v>0</v>
      </c>
    </row>
    <row r="38" spans="1:9" ht="15">
      <c r="A38" s="47" t="str">
        <f>HLOOKUP(INDICE!$F$2,Nombres!$C$3:$D$636,58,FALSE)</f>
        <v>Total activo / pasivo</v>
      </c>
      <c r="B38" s="47">
        <v>110412.30808242998</v>
      </c>
      <c r="C38" s="47">
        <v>114500.55348203002</v>
      </c>
      <c r="D38" s="47">
        <v>113954.54313199</v>
      </c>
      <c r="E38" s="70">
        <v>118105.74403996</v>
      </c>
      <c r="F38" s="47">
        <v>128221.31946123001</v>
      </c>
      <c r="G38" s="51">
        <v>140359.89489705002</v>
      </c>
      <c r="H38" s="51">
        <v>152095.90422395</v>
      </c>
      <c r="I38" s="51">
        <v>0</v>
      </c>
    </row>
    <row r="39" spans="1:9" ht="15">
      <c r="A39" s="43" t="str">
        <f>HLOOKUP(INDICE!$F$2,Nombres!$C$3:$D$636,59,FALSE)</f>
        <v>Pasivos financieros mantenidos para negociar y designados a valor razonable con cambios en resultados</v>
      </c>
      <c r="B39" s="58">
        <v>21138.311000000005</v>
      </c>
      <c r="C39" s="58">
        <v>22387.819</v>
      </c>
      <c r="D39" s="58">
        <v>21232.270999999997</v>
      </c>
      <c r="E39" s="64">
        <v>19843.148</v>
      </c>
      <c r="F39" s="44">
        <v>22773.464000000004</v>
      </c>
      <c r="G39" s="44">
        <v>26796.22899999</v>
      </c>
      <c r="H39" s="44">
        <v>30800.799</v>
      </c>
      <c r="I39" s="44">
        <v>0</v>
      </c>
    </row>
    <row r="40" spans="1:9" ht="15.75" customHeight="1">
      <c r="A40" s="43" t="str">
        <f>HLOOKUP(INDICE!$F$2,Nombres!$C$3:$D$636,60,FALSE)</f>
        <v>Depósitos de bancos centrales y entidades de crédito</v>
      </c>
      <c r="B40" s="58">
        <v>5023.461999990001</v>
      </c>
      <c r="C40" s="58">
        <v>5348.857</v>
      </c>
      <c r="D40" s="58">
        <v>5509.04000001</v>
      </c>
      <c r="E40" s="64">
        <v>3267.822</v>
      </c>
      <c r="F40" s="44">
        <v>2797.4640000100003</v>
      </c>
      <c r="G40" s="44">
        <v>5140.61300001</v>
      </c>
      <c r="H40" s="44">
        <v>7319.008999979999</v>
      </c>
      <c r="I40" s="44">
        <v>0</v>
      </c>
    </row>
    <row r="41" spans="1:9" ht="15">
      <c r="A41" s="43" t="str">
        <f>HLOOKUP(INDICE!$F$2,Nombres!$C$3:$D$636,61,FALSE)</f>
        <v>Depósitos de la clientela</v>
      </c>
      <c r="B41" s="58">
        <v>56832.47199999</v>
      </c>
      <c r="C41" s="58">
        <v>58727.88499998</v>
      </c>
      <c r="D41" s="58">
        <v>58440.05500003</v>
      </c>
      <c r="E41" s="64">
        <v>64003.282999970004</v>
      </c>
      <c r="F41" s="44">
        <v>69536.84699998</v>
      </c>
      <c r="G41" s="44">
        <v>72691.78799998</v>
      </c>
      <c r="H41" s="44">
        <v>76623.00800001</v>
      </c>
      <c r="I41" s="44">
        <v>0</v>
      </c>
    </row>
    <row r="42" spans="1:9" ht="15">
      <c r="A42" s="43" t="str">
        <f>HLOOKUP(INDICE!$F$2,Nombres!$C$3:$D$636,62,FALSE)</f>
        <v>Valores representativos de deuda emitidos</v>
      </c>
      <c r="B42" s="44">
        <v>7575.2311366700005</v>
      </c>
      <c r="C42" s="44">
        <v>7896.9549924</v>
      </c>
      <c r="D42" s="44">
        <v>7810.507309169999</v>
      </c>
      <c r="E42" s="45">
        <v>7983.72892324</v>
      </c>
      <c r="F42" s="44">
        <v>8285.599972</v>
      </c>
      <c r="G42" s="44">
        <v>9353.47107761</v>
      </c>
      <c r="H42" s="44">
        <v>8510.65974108</v>
      </c>
      <c r="I42" s="44">
        <v>0</v>
      </c>
    </row>
    <row r="43" spans="1:9" ht="15" customHeight="1" hidden="1">
      <c r="A43" s="43"/>
      <c r="B43" s="44"/>
      <c r="C43" s="44"/>
      <c r="D43" s="44"/>
      <c r="E43" s="45"/>
      <c r="F43" s="44"/>
      <c r="G43" s="44"/>
      <c r="H43" s="44"/>
      <c r="I43" s="44"/>
    </row>
    <row r="44" spans="1:9" ht="15">
      <c r="A44" s="43" t="str">
        <f>HLOOKUP(INDICE!$F$2,Nombres!$C$3:$D$636,63,FALSE)</f>
        <v>Otros pasivos</v>
      </c>
      <c r="B44" s="58">
        <f>+B38-B39-B40-B41-B42-B45</f>
        <v>12742.700482829983</v>
      </c>
      <c r="C44" s="58">
        <f aca="true" t="shared" si="6" ref="C44:I44">+C38-C39-C40-C41-C42-C45</f>
        <v>12923.637425000012</v>
      </c>
      <c r="D44" s="58">
        <f t="shared" si="6"/>
        <v>13623.665553149996</v>
      </c>
      <c r="E44" s="64">
        <f t="shared" si="6"/>
        <v>15779.165142289998</v>
      </c>
      <c r="F44" s="44">
        <f t="shared" si="6"/>
        <v>16986.916416210002</v>
      </c>
      <c r="G44" s="44">
        <f t="shared" si="6"/>
        <v>17428.650425560023</v>
      </c>
      <c r="H44" s="44">
        <f t="shared" si="6"/>
        <v>19205.854862440003</v>
      </c>
      <c r="I44" s="44">
        <f t="shared" si="6"/>
        <v>0</v>
      </c>
    </row>
    <row r="45" spans="1:9" ht="15">
      <c r="A45" s="43" t="str">
        <f>HLOOKUP(INDICE!$F$2,Nombres!$C$3:$D$636,282,FALSE)</f>
        <v>Dotación de capital regulatorio</v>
      </c>
      <c r="B45" s="44">
        <v>7100.131462949998</v>
      </c>
      <c r="C45" s="44">
        <v>7215.400064650003</v>
      </c>
      <c r="D45" s="44">
        <v>7339.004269630001</v>
      </c>
      <c r="E45" s="44">
        <v>7228.596974459999</v>
      </c>
      <c r="F45" s="44">
        <v>7841.02807303</v>
      </c>
      <c r="G45" s="44">
        <v>8949.143393900002</v>
      </c>
      <c r="H45" s="44">
        <v>9636.573620439998</v>
      </c>
      <c r="I45" s="44">
        <v>0</v>
      </c>
    </row>
    <row r="46" spans="1:9" ht="15">
      <c r="A46" s="62"/>
      <c r="B46" s="58"/>
      <c r="C46" s="58"/>
      <c r="D46" s="58"/>
      <c r="E46" s="58"/>
      <c r="F46" s="76"/>
      <c r="G46" s="76"/>
      <c r="H46" s="76"/>
      <c r="I46" s="76"/>
    </row>
    <row r="47" spans="1:9" ht="15">
      <c r="A47" s="43"/>
      <c r="B47" s="58"/>
      <c r="C47" s="58"/>
      <c r="D47" s="58"/>
      <c r="E47" s="58"/>
      <c r="F47" s="76"/>
      <c r="G47" s="76"/>
      <c r="H47" s="76"/>
      <c r="I47" s="76"/>
    </row>
    <row r="48" spans="1:9" ht="18">
      <c r="A48" s="65" t="str">
        <f>HLOOKUP(INDICE!$F$2,Nombres!$C$3:$D$636,65,FALSE)</f>
        <v>Indicadores relevantes y de gestión</v>
      </c>
      <c r="B48" s="66"/>
      <c r="C48" s="66"/>
      <c r="D48" s="66"/>
      <c r="E48" s="66"/>
      <c r="F48" s="77"/>
      <c r="G48" s="77"/>
      <c r="H48" s="77"/>
      <c r="I48" s="77"/>
    </row>
    <row r="49" spans="1:9" ht="15">
      <c r="A49" s="35" t="str">
        <f>HLOOKUP(INDICE!$F$2,Nombres!$C$3:$D$636,32,FALSE)</f>
        <v>(Millones de euros)</v>
      </c>
      <c r="B49" s="30"/>
      <c r="C49" s="30"/>
      <c r="D49" s="30"/>
      <c r="E49" s="30"/>
      <c r="F49" s="78"/>
      <c r="G49" s="76"/>
      <c r="H49" s="76"/>
      <c r="I49" s="76"/>
    </row>
    <row r="50" spans="1:9" ht="15.75">
      <c r="A50" s="30"/>
      <c r="B50" s="53">
        <f aca="true" t="shared" si="7" ref="B50:I50">+B$30</f>
        <v>44286</v>
      </c>
      <c r="C50" s="53">
        <f t="shared" si="7"/>
        <v>44377</v>
      </c>
      <c r="D50" s="53">
        <f t="shared" si="7"/>
        <v>44469</v>
      </c>
      <c r="E50" s="67">
        <f t="shared" si="7"/>
        <v>44561</v>
      </c>
      <c r="F50" s="75">
        <f t="shared" si="7"/>
        <v>44651</v>
      </c>
      <c r="G50" s="75">
        <f t="shared" si="7"/>
        <v>44742</v>
      </c>
      <c r="H50" s="75">
        <f t="shared" si="7"/>
        <v>44834</v>
      </c>
      <c r="I50" s="75">
        <f t="shared" si="7"/>
        <v>44926</v>
      </c>
    </row>
    <row r="51" spans="1:9" ht="15">
      <c r="A51" s="43" t="str">
        <f>HLOOKUP(INDICE!$F$2,Nombres!$C$3:$D$636,66,FALSE)</f>
        <v>Préstamos y anticipos a la clientela bruto (*)</v>
      </c>
      <c r="B51" s="44">
        <v>53660.75163941001</v>
      </c>
      <c r="C51" s="44">
        <v>54930.873690910004</v>
      </c>
      <c r="D51" s="44">
        <v>54922.70150473</v>
      </c>
      <c r="E51" s="45">
        <v>57846.47314939001</v>
      </c>
      <c r="F51" s="44">
        <v>62982.134498679996</v>
      </c>
      <c r="G51" s="44">
        <v>69442.47632366998</v>
      </c>
      <c r="H51" s="44">
        <v>75485.20312314999</v>
      </c>
      <c r="I51" s="44">
        <v>0</v>
      </c>
    </row>
    <row r="52" spans="1:9" ht="15">
      <c r="A52" s="43" t="str">
        <f>HLOOKUP(INDICE!$F$2,Nombres!$C$3:$D$636,67,FALSE)</f>
        <v>Depósitos de clientes en gestión (**)</v>
      </c>
      <c r="B52" s="44">
        <v>56488.99468851</v>
      </c>
      <c r="C52" s="44">
        <v>57410.62207279001</v>
      </c>
      <c r="D52" s="44">
        <v>57893.08033935</v>
      </c>
      <c r="E52" s="45">
        <v>63348.80836991</v>
      </c>
      <c r="F52" s="44">
        <v>69088.75408645002</v>
      </c>
      <c r="G52" s="44">
        <v>72038.34278516001</v>
      </c>
      <c r="H52" s="44">
        <v>75529.62383208</v>
      </c>
      <c r="I52" s="44">
        <v>0</v>
      </c>
    </row>
    <row r="53" spans="1:9" ht="15">
      <c r="A53" s="43" t="str">
        <f>HLOOKUP(INDICE!$F$2,Nombres!$C$3:$D$636,68,FALSE)</f>
        <v>Fondos de inversión y carteras gestionadas</v>
      </c>
      <c r="B53" s="44">
        <v>27614.32512653</v>
      </c>
      <c r="C53" s="44">
        <v>28698.502462099998</v>
      </c>
      <c r="D53" s="44">
        <v>28985.397012190002</v>
      </c>
      <c r="E53" s="45">
        <v>30185.21800207</v>
      </c>
      <c r="F53" s="44">
        <v>31973.31093321</v>
      </c>
      <c r="G53" s="44">
        <v>33942.19299997</v>
      </c>
      <c r="H53" s="44">
        <v>37239.87531460999</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1898.5095293499999</v>
      </c>
      <c r="C55" s="44">
        <v>2074.3120314</v>
      </c>
      <c r="D55" s="44">
        <v>2036.87402643</v>
      </c>
      <c r="E55" s="45">
        <v>2194.56725774</v>
      </c>
      <c r="F55" s="44">
        <v>2461.04517101</v>
      </c>
      <c r="G55" s="44">
        <v>2965.88928613</v>
      </c>
      <c r="H55" s="44">
        <v>3011.4003447799996</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13">
        <f>+B$6</f>
        <v>2021</v>
      </c>
      <c r="C62" s="313"/>
      <c r="D62" s="313"/>
      <c r="E62" s="314"/>
      <c r="F62" s="313">
        <f>+F$6</f>
        <v>2022</v>
      </c>
      <c r="G62" s="313"/>
      <c r="H62" s="313"/>
      <c r="I62" s="313"/>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1554.6034404033335</v>
      </c>
      <c r="C64" s="41">
        <v>1572.3843600587934</v>
      </c>
      <c r="D64" s="41">
        <v>1653.6812660634791</v>
      </c>
      <c r="E64" s="42">
        <v>1713.2844408765259</v>
      </c>
      <c r="F64" s="50">
        <v>1862.6778899814883</v>
      </c>
      <c r="G64" s="50">
        <v>1925.0079751923158</v>
      </c>
      <c r="H64" s="50">
        <v>2133.5372444661957</v>
      </c>
      <c r="I64" s="50">
        <v>0</v>
      </c>
    </row>
    <row r="65" spans="1:9" ht="15">
      <c r="A65" s="43" t="str">
        <f>HLOOKUP(INDICE!$F$2,Nombres!$C$3:$D$636,34,FALSE)</f>
        <v>Comisiones netas</v>
      </c>
      <c r="B65" s="44">
        <v>320.38943993249586</v>
      </c>
      <c r="C65" s="44">
        <v>335.0263657495956</v>
      </c>
      <c r="D65" s="44">
        <v>347.47177531899456</v>
      </c>
      <c r="E65" s="45">
        <v>344.5190185510611</v>
      </c>
      <c r="F65" s="44">
        <v>365.5772408011647</v>
      </c>
      <c r="G65" s="44">
        <v>398.861842457989</v>
      </c>
      <c r="H65" s="44">
        <v>409.3507335808464</v>
      </c>
      <c r="I65" s="44">
        <v>0</v>
      </c>
    </row>
    <row r="66" spans="1:9" ht="15">
      <c r="A66" s="43" t="str">
        <f>HLOOKUP(INDICE!$F$2,Nombres!$C$3:$D$636,35,FALSE)</f>
        <v>Resultados de operaciones financieras</v>
      </c>
      <c r="B66" s="44">
        <v>78.6735989922075</v>
      </c>
      <c r="C66" s="44">
        <v>107.42519914814267</v>
      </c>
      <c r="D66" s="44">
        <v>96.39810391122651</v>
      </c>
      <c r="E66" s="45">
        <v>125.19308390799907</v>
      </c>
      <c r="F66" s="44">
        <v>98.06075315211821</v>
      </c>
      <c r="G66" s="44">
        <v>135.62963523414936</v>
      </c>
      <c r="H66" s="44">
        <v>89.87028480373246</v>
      </c>
      <c r="I66" s="44">
        <v>0</v>
      </c>
    </row>
    <row r="67" spans="1:9" ht="15">
      <c r="A67" s="43" t="str">
        <f>HLOOKUP(INDICE!$F$2,Nombres!$C$3:$D$636,36,FALSE)</f>
        <v>Otros ingresos y cargas de explotación</v>
      </c>
      <c r="B67" s="44">
        <v>49.84736607648985</v>
      </c>
      <c r="C67" s="44">
        <v>48.763090708704766</v>
      </c>
      <c r="D67" s="44">
        <v>42.86510598541092</v>
      </c>
      <c r="E67" s="45">
        <v>69.62431784177352</v>
      </c>
      <c r="F67" s="44">
        <v>68.0367018481401</v>
      </c>
      <c r="G67" s="44">
        <v>170.6815975828253</v>
      </c>
      <c r="H67" s="44">
        <v>97.13370054903422</v>
      </c>
      <c r="I67" s="44">
        <v>0</v>
      </c>
    </row>
    <row r="68" spans="1:9" ht="15">
      <c r="A68" s="41" t="str">
        <f>HLOOKUP(INDICE!$F$2,Nombres!$C$3:$D$636,37,FALSE)</f>
        <v>Margen bruto</v>
      </c>
      <c r="B68" s="41">
        <f>+SUM(B64:B67)</f>
        <v>2003.5138454045266</v>
      </c>
      <c r="C68" s="41">
        <f aca="true" t="shared" si="9" ref="C68:I68">+SUM(C64:C67)</f>
        <v>2063.5990156652365</v>
      </c>
      <c r="D68" s="41">
        <f t="shared" si="9"/>
        <v>2140.4162512791113</v>
      </c>
      <c r="E68" s="42">
        <f t="shared" si="9"/>
        <v>2252.6208611773595</v>
      </c>
      <c r="F68" s="50">
        <f t="shared" si="9"/>
        <v>2394.3525857829113</v>
      </c>
      <c r="G68" s="50">
        <f t="shared" si="9"/>
        <v>2630.1810504672794</v>
      </c>
      <c r="H68" s="50">
        <f t="shared" si="9"/>
        <v>2729.8919633998084</v>
      </c>
      <c r="I68" s="50">
        <f t="shared" si="9"/>
        <v>0</v>
      </c>
    </row>
    <row r="69" spans="1:9" ht="15">
      <c r="A69" s="43" t="str">
        <f>HLOOKUP(INDICE!$F$2,Nombres!$C$3:$D$636,38,FALSE)</f>
        <v>Gastos de explotación</v>
      </c>
      <c r="B69" s="44">
        <v>-714.7199783048752</v>
      </c>
      <c r="C69" s="44">
        <v>-728.33097391712</v>
      </c>
      <c r="D69" s="44">
        <v>-752.6650527120557</v>
      </c>
      <c r="E69" s="45">
        <v>-788.8572176336249</v>
      </c>
      <c r="F69" s="44">
        <v>-806.8175599086377</v>
      </c>
      <c r="G69" s="44">
        <v>-808.6369436450736</v>
      </c>
      <c r="H69" s="44">
        <v>-855.0373213862887</v>
      </c>
      <c r="I69" s="44">
        <v>0</v>
      </c>
    </row>
    <row r="70" spans="1:9" ht="15">
      <c r="A70" s="43" t="str">
        <f>HLOOKUP(INDICE!$F$2,Nombres!$C$3:$D$636,39,FALSE)</f>
        <v>  Gastos de administración</v>
      </c>
      <c r="B70" s="44">
        <v>-625.5133619710623</v>
      </c>
      <c r="C70" s="44">
        <v>-639.5865142511386</v>
      </c>
      <c r="D70" s="44">
        <v>-660.5507752583374</v>
      </c>
      <c r="E70" s="45">
        <v>-696.3461475858998</v>
      </c>
      <c r="F70" s="44">
        <v>-710.2869560957146</v>
      </c>
      <c r="G70" s="44">
        <v>-711.9001277509872</v>
      </c>
      <c r="H70" s="44">
        <v>-757.3162965232984</v>
      </c>
      <c r="I70" s="44">
        <v>0</v>
      </c>
    </row>
    <row r="71" spans="1:9" ht="15">
      <c r="A71" s="46" t="str">
        <f>HLOOKUP(INDICE!$F$2,Nombres!$C$3:$D$636,40,FALSE)</f>
        <v>  Gastos de personal</v>
      </c>
      <c r="B71" s="44">
        <v>-290.3712367647224</v>
      </c>
      <c r="C71" s="44">
        <v>-301.4522934153915</v>
      </c>
      <c r="D71" s="44">
        <v>-361.2109973118385</v>
      </c>
      <c r="E71" s="45">
        <v>-381.2739413020712</v>
      </c>
      <c r="F71" s="44">
        <v>-356.68701011084</v>
      </c>
      <c r="G71" s="44">
        <v>-362.06893125183046</v>
      </c>
      <c r="H71" s="44">
        <v>-398.34112469732963</v>
      </c>
      <c r="I71" s="44">
        <v>0</v>
      </c>
    </row>
    <row r="72" spans="1:9" ht="15">
      <c r="A72" s="46" t="str">
        <f>HLOOKUP(INDICE!$F$2,Nombres!$C$3:$D$636,41,FALSE)</f>
        <v>  Otros gastos de administración</v>
      </c>
      <c r="B72" s="44">
        <v>-335.14212520633987</v>
      </c>
      <c r="C72" s="44">
        <v>-338.1342208357472</v>
      </c>
      <c r="D72" s="44">
        <v>-299.33977794649877</v>
      </c>
      <c r="E72" s="45">
        <v>-315.0722062838285</v>
      </c>
      <c r="F72" s="44">
        <v>-353.59994598487447</v>
      </c>
      <c r="G72" s="44">
        <v>-349.8311964991567</v>
      </c>
      <c r="H72" s="44">
        <v>-358.9751718259688</v>
      </c>
      <c r="I72" s="44">
        <v>0</v>
      </c>
    </row>
    <row r="73" spans="1:9" ht="15">
      <c r="A73" s="43" t="str">
        <f>HLOOKUP(INDICE!$F$2,Nombres!$C$3:$D$636,42,FALSE)</f>
        <v>  Amortización</v>
      </c>
      <c r="B73" s="44">
        <v>-89.20661633381292</v>
      </c>
      <c r="C73" s="44">
        <v>-88.74445966598118</v>
      </c>
      <c r="D73" s="44">
        <v>-92.11427745371846</v>
      </c>
      <c r="E73" s="45">
        <v>-92.51107004772535</v>
      </c>
      <c r="F73" s="44">
        <v>-96.5306038129232</v>
      </c>
      <c r="G73" s="44">
        <v>-96.73681589408645</v>
      </c>
      <c r="H73" s="44">
        <v>-97.72102486299033</v>
      </c>
      <c r="I73" s="44">
        <v>0</v>
      </c>
    </row>
    <row r="74" spans="1:9" ht="15">
      <c r="A74" s="41" t="str">
        <f>HLOOKUP(INDICE!$F$2,Nombres!$C$3:$D$636,43,FALSE)</f>
        <v>Margen neto</v>
      </c>
      <c r="B74" s="41">
        <f>+B68+B69</f>
        <v>1288.7938670996514</v>
      </c>
      <c r="C74" s="41">
        <f aca="true" t="shared" si="10" ref="C74:I74">+C68+C69</f>
        <v>1335.2680417481165</v>
      </c>
      <c r="D74" s="41">
        <f t="shared" si="10"/>
        <v>1387.7511985670556</v>
      </c>
      <c r="E74" s="42">
        <f t="shared" si="10"/>
        <v>1463.7636435437346</v>
      </c>
      <c r="F74" s="50">
        <f t="shared" si="10"/>
        <v>1587.5350258742737</v>
      </c>
      <c r="G74" s="50">
        <f t="shared" si="10"/>
        <v>1821.5441068222058</v>
      </c>
      <c r="H74" s="50">
        <f t="shared" si="10"/>
        <v>1874.8546420135199</v>
      </c>
      <c r="I74" s="50">
        <f t="shared" si="10"/>
        <v>0</v>
      </c>
    </row>
    <row r="75" spans="1:9" ht="15">
      <c r="A75" s="43" t="str">
        <f>HLOOKUP(INDICE!$F$2,Nombres!$C$3:$D$636,44,FALSE)</f>
        <v>Deterioro de activos financieros no valorados a valor razonable con cambios en resultados</v>
      </c>
      <c r="B75" s="44">
        <v>-521.0333863442435</v>
      </c>
      <c r="C75" s="44">
        <v>-315.4148870493654</v>
      </c>
      <c r="D75" s="44">
        <v>-364.81452969431615</v>
      </c>
      <c r="E75" s="45">
        <v>-401.5485350529934</v>
      </c>
      <c r="F75" s="44">
        <v>-446.67425412286866</v>
      </c>
      <c r="G75" s="44">
        <v>-381.3009046373829</v>
      </c>
      <c r="H75" s="44">
        <v>-448.7758412397486</v>
      </c>
      <c r="I75" s="44">
        <v>0</v>
      </c>
    </row>
    <row r="76" spans="1:9" ht="15">
      <c r="A76" s="43" t="str">
        <f>HLOOKUP(INDICE!$F$2,Nombres!$C$3:$D$636,45,FALSE)</f>
        <v>Provisiones o reversión de provisiones y otros resultados</v>
      </c>
      <c r="B76" s="44">
        <v>2.058435507959361</v>
      </c>
      <c r="C76" s="44">
        <v>7.948516668967057</v>
      </c>
      <c r="D76" s="44">
        <v>9.83253230778744</v>
      </c>
      <c r="E76" s="45">
        <v>7.381406693141045</v>
      </c>
      <c r="F76" s="44">
        <v>-1.354654093394025</v>
      </c>
      <c r="G76" s="44">
        <v>-7.76089888883002</v>
      </c>
      <c r="H76" s="44">
        <v>-36.09744701777595</v>
      </c>
      <c r="I76" s="44">
        <v>0</v>
      </c>
    </row>
    <row r="77" spans="1:9" ht="15">
      <c r="A77" s="41" t="str">
        <f>HLOOKUP(INDICE!$F$2,Nombres!$C$3:$D$636,46,FALSE)</f>
        <v>Resultado antes de impuestos</v>
      </c>
      <c r="B77" s="41">
        <f>+B74+B75+B76</f>
        <v>769.8189162633673</v>
      </c>
      <c r="C77" s="41">
        <f aca="true" t="shared" si="11" ref="C77:I77">+C74+C75+C76</f>
        <v>1027.8016713677182</v>
      </c>
      <c r="D77" s="41">
        <f t="shared" si="11"/>
        <v>1032.7692011805268</v>
      </c>
      <c r="E77" s="42">
        <f t="shared" si="11"/>
        <v>1069.5965151838823</v>
      </c>
      <c r="F77" s="50">
        <f t="shared" si="11"/>
        <v>1139.5061176580111</v>
      </c>
      <c r="G77" s="50">
        <f t="shared" si="11"/>
        <v>1432.4823032959928</v>
      </c>
      <c r="H77" s="50">
        <f t="shared" si="11"/>
        <v>1389.9813537559953</v>
      </c>
      <c r="I77" s="50">
        <f t="shared" si="11"/>
        <v>0</v>
      </c>
    </row>
    <row r="78" spans="1:9" ht="15">
      <c r="A78" s="43" t="str">
        <f>HLOOKUP(INDICE!$F$2,Nombres!$C$3:$D$636,47,FALSE)</f>
        <v>Impuesto sobre beneficios</v>
      </c>
      <c r="B78" s="44">
        <v>-213.47905959771012</v>
      </c>
      <c r="C78" s="44">
        <v>-321.634529822794</v>
      </c>
      <c r="D78" s="44">
        <v>-285.33160074806835</v>
      </c>
      <c r="E78" s="45">
        <v>-240.03848497456153</v>
      </c>
      <c r="F78" s="44">
        <v>-310.38521700399804</v>
      </c>
      <c r="G78" s="44">
        <v>-389.39429705748853</v>
      </c>
      <c r="H78" s="44">
        <v>-297.96567198851346</v>
      </c>
      <c r="I78" s="44">
        <v>0</v>
      </c>
    </row>
    <row r="79" spans="1:9" ht="15">
      <c r="A79" s="41" t="str">
        <f>HLOOKUP(INDICE!$F$2,Nombres!$C$3:$D$636,48,FALSE)</f>
        <v>Resultado del ejercicio</v>
      </c>
      <c r="B79" s="41">
        <f>+B77+B78</f>
        <v>556.3398566656572</v>
      </c>
      <c r="C79" s="41">
        <f aca="true" t="shared" si="12" ref="C79:I79">+C77+C78</f>
        <v>706.1671415449242</v>
      </c>
      <c r="D79" s="41">
        <f t="shared" si="12"/>
        <v>747.4376004324585</v>
      </c>
      <c r="E79" s="42">
        <f t="shared" si="12"/>
        <v>829.5580302093208</v>
      </c>
      <c r="F79" s="50">
        <f t="shared" si="12"/>
        <v>829.1209006540131</v>
      </c>
      <c r="G79" s="50">
        <f t="shared" si="12"/>
        <v>1043.0880062385042</v>
      </c>
      <c r="H79" s="50">
        <f t="shared" si="12"/>
        <v>1092.015681767482</v>
      </c>
      <c r="I79" s="50">
        <f t="shared" si="12"/>
        <v>0</v>
      </c>
    </row>
    <row r="80" spans="1:9" ht="15">
      <c r="A80" s="43" t="str">
        <f>HLOOKUP(INDICE!$F$2,Nombres!$C$3:$D$636,49,FALSE)</f>
        <v>Minoritarios</v>
      </c>
      <c r="B80" s="44">
        <v>-0.09672029856879615</v>
      </c>
      <c r="C80" s="44">
        <v>-0.1357370932637949</v>
      </c>
      <c r="D80" s="44">
        <v>-0.13502320715095067</v>
      </c>
      <c r="E80" s="45">
        <v>-0.15659721965818568</v>
      </c>
      <c r="F80" s="44">
        <v>-0.14826529053682652</v>
      </c>
      <c r="G80" s="44">
        <v>-0.1848543996169052</v>
      </c>
      <c r="H80" s="44">
        <v>-0.2018803098462683</v>
      </c>
      <c r="I80" s="44">
        <v>0</v>
      </c>
    </row>
    <row r="81" spans="1:9" ht="15">
      <c r="A81" s="47" t="str">
        <f>HLOOKUP(INDICE!$F$2,Nombres!$C$3:$D$636,50,FALSE)</f>
        <v>Resultado atribuido</v>
      </c>
      <c r="B81" s="47">
        <f>+B79+B80</f>
        <v>556.2431363670884</v>
      </c>
      <c r="C81" s="47">
        <f aca="true" t="shared" si="13" ref="C81:I81">+C79+C80</f>
        <v>706.0314044516605</v>
      </c>
      <c r="D81" s="47">
        <f t="shared" si="13"/>
        <v>747.3025772253075</v>
      </c>
      <c r="E81" s="47">
        <f t="shared" si="13"/>
        <v>829.4014329896626</v>
      </c>
      <c r="F81" s="51">
        <f t="shared" si="13"/>
        <v>828.9726353634762</v>
      </c>
      <c r="G81" s="51">
        <f t="shared" si="13"/>
        <v>1042.9031518388874</v>
      </c>
      <c r="H81" s="51">
        <f t="shared" si="13"/>
        <v>1091.8138014576357</v>
      </c>
      <c r="I81" s="51">
        <f t="shared" si="13"/>
        <v>0</v>
      </c>
    </row>
    <row r="82" spans="1:9" ht="15">
      <c r="A82" s="62"/>
      <c r="B82" s="63">
        <v>9.094947017729282E-13</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Efectivo, saldos en efectivo en bancos centrales y otros depósitos a la vista</v>
      </c>
      <c r="B87" s="44">
        <v>13031.717552639155</v>
      </c>
      <c r="C87" s="44">
        <v>15724.13221152821</v>
      </c>
      <c r="D87" s="44">
        <v>16656.313267163285</v>
      </c>
      <c r="E87" s="45">
        <v>15301.921453704857</v>
      </c>
      <c r="F87" s="44">
        <v>16789.563834230314</v>
      </c>
      <c r="G87" s="44">
        <v>17707.855728176484</v>
      </c>
      <c r="H87" s="44">
        <v>16580.39899999</v>
      </c>
      <c r="I87" s="44">
        <v>0</v>
      </c>
    </row>
    <row r="88" spans="1:9" ht="15">
      <c r="A88" s="43" t="str">
        <f>HLOOKUP(INDICE!$F$2,Nombres!$C$3:$D$636,53,FALSE)</f>
        <v>Activos financieros a valor razonable</v>
      </c>
      <c r="B88" s="58">
        <v>41532.596402078416</v>
      </c>
      <c r="C88" s="58">
        <v>41656.770494336146</v>
      </c>
      <c r="D88" s="58">
        <v>40467.69114484601</v>
      </c>
      <c r="E88" s="64">
        <v>41393.51822120341</v>
      </c>
      <c r="F88" s="44">
        <v>42166.19877845132</v>
      </c>
      <c r="G88" s="44">
        <v>42688.741463614955</v>
      </c>
      <c r="H88" s="44">
        <v>44090.551999999996</v>
      </c>
      <c r="I88" s="44">
        <v>0</v>
      </c>
    </row>
    <row r="89" spans="1:9" ht="15">
      <c r="A89" s="43" t="str">
        <f>HLOOKUP(INDICE!$F$2,Nombres!$C$3:$D$636,54,FALSE)</f>
        <v>Activos financieros a coste amortizado</v>
      </c>
      <c r="B89" s="44">
        <v>74527.64188733953</v>
      </c>
      <c r="C89" s="44">
        <v>74252.22138966403</v>
      </c>
      <c r="D89" s="44">
        <v>75194.596600062</v>
      </c>
      <c r="E89" s="45">
        <v>76965.86277467415</v>
      </c>
      <c r="F89" s="44">
        <v>79806.50853002464</v>
      </c>
      <c r="G89" s="44">
        <v>83781.91928458193</v>
      </c>
      <c r="H89" s="44">
        <v>85836.08699997</v>
      </c>
      <c r="I89" s="44">
        <v>0</v>
      </c>
    </row>
    <row r="90" spans="1:9" ht="15">
      <c r="A90" s="43" t="str">
        <f>HLOOKUP(INDICE!$F$2,Nombres!$C$3:$D$636,55,FALSE)</f>
        <v>    de los que préstamos y anticipos a la clientela</v>
      </c>
      <c r="B90" s="44">
        <v>63097.87017404105</v>
      </c>
      <c r="C90" s="44">
        <v>63478.51948531147</v>
      </c>
      <c r="D90" s="44">
        <v>64093.91319726839</v>
      </c>
      <c r="E90" s="45">
        <v>65767.60941087962</v>
      </c>
      <c r="F90" s="44">
        <v>68324.61525832153</v>
      </c>
      <c r="G90" s="44">
        <v>71541.03282070423</v>
      </c>
      <c r="H90" s="44">
        <v>73530.23399998999</v>
      </c>
      <c r="I90" s="44">
        <v>0</v>
      </c>
    </row>
    <row r="91" spans="1:9" ht="15" customHeight="1" hidden="1">
      <c r="A91" s="43"/>
      <c r="B91" s="44"/>
      <c r="C91" s="44"/>
      <c r="D91" s="44"/>
      <c r="E91" s="45"/>
      <c r="F91" s="44"/>
      <c r="G91" s="44"/>
      <c r="H91" s="44"/>
      <c r="I91" s="44"/>
    </row>
    <row r="92" spans="1:9" ht="15">
      <c r="A92" s="43" t="str">
        <f>HLOOKUP(INDICE!$F$2,Nombres!$C$3:$D$636,56,FALSE)</f>
        <v>Activos tangibles</v>
      </c>
      <c r="B92" s="44">
        <v>2013.2147364219352</v>
      </c>
      <c r="C92" s="44">
        <v>1994.4651764687114</v>
      </c>
      <c r="D92" s="44">
        <v>1987.1970923836348</v>
      </c>
      <c r="E92" s="45">
        <v>2039.909967233386</v>
      </c>
      <c r="F92" s="44">
        <v>1991.6296296317214</v>
      </c>
      <c r="G92" s="44">
        <v>1978.9182566717623</v>
      </c>
      <c r="H92" s="44">
        <v>1993.324</v>
      </c>
      <c r="I92" s="44">
        <v>0</v>
      </c>
    </row>
    <row r="93" spans="1:9" ht="15">
      <c r="A93" s="43" t="str">
        <f>HLOOKUP(INDICE!$F$2,Nombres!$C$3:$D$636,57,FALSE)</f>
        <v>Otros activos</v>
      </c>
      <c r="B93" s="58">
        <f>+B94-B92-B89-B88-B87</f>
        <v>4107.50282352135</v>
      </c>
      <c r="C93" s="58">
        <f aca="true" t="shared" si="15" ref="C93:I93">+C94-C92-C89-C88-C87</f>
        <v>3838.6060708668083</v>
      </c>
      <c r="D93" s="58">
        <f t="shared" si="15"/>
        <v>3465.1650471844914</v>
      </c>
      <c r="E93" s="64">
        <f t="shared" si="15"/>
        <v>3479.701305112376</v>
      </c>
      <c r="F93" s="44">
        <f t="shared" si="15"/>
        <v>3469.5396399511665</v>
      </c>
      <c r="G93" s="44">
        <f t="shared" si="15"/>
        <v>3670.6585598799757</v>
      </c>
      <c r="H93" s="44">
        <f t="shared" si="15"/>
        <v>3595.5422239900145</v>
      </c>
      <c r="I93" s="44">
        <f t="shared" si="15"/>
        <v>0</v>
      </c>
    </row>
    <row r="94" spans="1:9" ht="15">
      <c r="A94" s="47" t="str">
        <f>HLOOKUP(INDICE!$F$2,Nombres!$C$3:$D$636,58,FALSE)</f>
        <v>Total activo / pasivo</v>
      </c>
      <c r="B94" s="47">
        <v>135212.6734020004</v>
      </c>
      <c r="C94" s="47">
        <v>137466.1953428639</v>
      </c>
      <c r="D94" s="47">
        <v>137770.96315163941</v>
      </c>
      <c r="E94" s="47">
        <v>139180.9137219282</v>
      </c>
      <c r="F94" s="51">
        <v>144223.44041228917</v>
      </c>
      <c r="G94" s="51">
        <v>149828.0932929251</v>
      </c>
      <c r="H94" s="51">
        <v>152095.90422395</v>
      </c>
      <c r="I94" s="51">
        <v>0</v>
      </c>
    </row>
    <row r="95" spans="1:9" ht="15">
      <c r="A95" s="43" t="str">
        <f>HLOOKUP(INDICE!$F$2,Nombres!$C$3:$D$636,59,FALSE)</f>
        <v>Pasivos financieros mantenidos para negociar y designados a valor razonable con cambios en resultados</v>
      </c>
      <c r="B95" s="58">
        <v>25886.312777549254</v>
      </c>
      <c r="C95" s="58">
        <v>26878.1958371728</v>
      </c>
      <c r="D95" s="58">
        <v>25669.800827321695</v>
      </c>
      <c r="E95" s="64">
        <v>23384.02329377838</v>
      </c>
      <c r="F95" s="44">
        <v>25615.610118397894</v>
      </c>
      <c r="G95" s="44">
        <v>28603.81094937303</v>
      </c>
      <c r="H95" s="44">
        <v>30800.799</v>
      </c>
      <c r="I95" s="44">
        <v>0</v>
      </c>
    </row>
    <row r="96" spans="1:9" ht="15">
      <c r="A96" s="43" t="str">
        <f>HLOOKUP(INDICE!$F$2,Nombres!$C$3:$D$636,60,FALSE)</f>
        <v>Depósitos de bancos centrales y entidades de crédito</v>
      </c>
      <c r="B96" s="58">
        <v>6151.811682488458</v>
      </c>
      <c r="C96" s="58">
        <v>6421.689667538967</v>
      </c>
      <c r="D96" s="58">
        <v>6660.425516893838</v>
      </c>
      <c r="E96" s="64">
        <v>3850.9426915488134</v>
      </c>
      <c r="F96" s="44">
        <v>3146.5896951166496</v>
      </c>
      <c r="G96" s="44">
        <v>5487.381169052938</v>
      </c>
      <c r="H96" s="44">
        <v>7319.008999979999</v>
      </c>
      <c r="I96" s="44">
        <v>0</v>
      </c>
    </row>
    <row r="97" spans="1:9" ht="15">
      <c r="A97" s="43" t="str">
        <f>HLOOKUP(INDICE!$F$2,Nombres!$C$3:$D$636,61,FALSE)</f>
        <v>Depósitos de la clientela</v>
      </c>
      <c r="B97" s="58">
        <v>69597.95161084778</v>
      </c>
      <c r="C97" s="58">
        <v>70507.07324962853</v>
      </c>
      <c r="D97" s="58">
        <v>70653.98572712715</v>
      </c>
      <c r="E97" s="64">
        <v>75424.23513394088</v>
      </c>
      <c r="F97" s="44">
        <v>78215.09989056445</v>
      </c>
      <c r="G97" s="44">
        <v>77595.32736953796</v>
      </c>
      <c r="H97" s="44">
        <v>76623.00800001</v>
      </c>
      <c r="I97" s="44">
        <v>0</v>
      </c>
    </row>
    <row r="98" spans="1:9" ht="15">
      <c r="A98" s="43" t="str">
        <f>HLOOKUP(INDICE!$F$2,Nombres!$C$3:$D$636,62,FALSE)</f>
        <v>Valores representativos de deuda emitidos</v>
      </c>
      <c r="B98" s="44">
        <v>9276.748864470277</v>
      </c>
      <c r="C98" s="44">
        <v>9480.865590483229</v>
      </c>
      <c r="D98" s="44">
        <v>9442.89788815969</v>
      </c>
      <c r="E98" s="45">
        <v>9408.371247962086</v>
      </c>
      <c r="F98" s="44">
        <v>9319.649328699423</v>
      </c>
      <c r="G98" s="44">
        <v>9984.42424210081</v>
      </c>
      <c r="H98" s="44">
        <v>8510.65974108</v>
      </c>
      <c r="I98" s="44">
        <v>0</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15604.914239797343</v>
      </c>
      <c r="C100" s="58">
        <f aca="true" t="shared" si="16" ref="C100:I100">+C94-C95-C96-C97-C98-C101</f>
        <v>15515.761389609475</v>
      </c>
      <c r="D100" s="58">
        <f t="shared" si="16"/>
        <v>16471.002149859665</v>
      </c>
      <c r="E100" s="64">
        <f t="shared" si="16"/>
        <v>18594.85023463439</v>
      </c>
      <c r="F100" s="44">
        <f t="shared" si="16"/>
        <v>19106.896870473873</v>
      </c>
      <c r="G100" s="44">
        <f t="shared" si="16"/>
        <v>18604.32756697274</v>
      </c>
      <c r="H100" s="44">
        <f t="shared" si="16"/>
        <v>19205.854862440003</v>
      </c>
      <c r="I100" s="44">
        <f t="shared" si="16"/>
        <v>0</v>
      </c>
    </row>
    <row r="101" spans="1:9" ht="15">
      <c r="A101" s="43" t="str">
        <f>HLOOKUP(INDICE!$F$2,Nombres!$C$3:$D$636,282,FALSE)</f>
        <v>Dotación de capital regulatorio</v>
      </c>
      <c r="B101" s="44">
        <v>8694.934226847266</v>
      </c>
      <c r="C101" s="44">
        <v>8662.609608430905</v>
      </c>
      <c r="D101" s="44">
        <v>8872.851042277372</v>
      </c>
      <c r="E101" s="44">
        <v>8518.491120063642</v>
      </c>
      <c r="F101" s="44">
        <v>8819.594509036886</v>
      </c>
      <c r="G101" s="44">
        <v>9552.821995887618</v>
      </c>
      <c r="H101" s="44">
        <v>9636.573620439998</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65" t="str">
        <f>HLOOKUP(INDICE!$F$2,Nombres!$C$3:$D$636,65,FALSE)</f>
        <v>Indicadores relevantes y de gestión</v>
      </c>
      <c r="B104" s="66"/>
      <c r="C104" s="66"/>
      <c r="D104" s="66"/>
      <c r="E104" s="66"/>
      <c r="F104" s="71"/>
      <c r="G104" s="71"/>
      <c r="H104" s="71"/>
      <c r="I104" s="71"/>
    </row>
    <row r="105" spans="1:9" ht="15">
      <c r="A105" s="35" t="str">
        <f>HLOOKUP(INDICE!$F$2,Nombres!$C$3:$D$636,73,FALSE)</f>
        <v>(Millones de euros constantes)</v>
      </c>
      <c r="B105" s="30"/>
      <c r="C105" s="30"/>
      <c r="D105" s="30"/>
      <c r="E105" s="30"/>
      <c r="F105" s="69"/>
      <c r="G105" s="69"/>
      <c r="H105" s="69"/>
      <c r="I105" s="69"/>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Préstamos y anticipos a la clientela bruto (*)</v>
      </c>
      <c r="B107" s="44">
        <v>65713.81227270978</v>
      </c>
      <c r="C107" s="44">
        <v>65948.48656634583</v>
      </c>
      <c r="D107" s="44">
        <v>66401.50780502286</v>
      </c>
      <c r="E107" s="45">
        <v>68168.78428706278</v>
      </c>
      <c r="F107" s="44">
        <v>70842.35414264094</v>
      </c>
      <c r="G107" s="44">
        <v>74126.82824211237</v>
      </c>
      <c r="H107" s="44">
        <v>75485.20312314999</v>
      </c>
      <c r="I107" s="44">
        <v>0</v>
      </c>
    </row>
    <row r="108" spans="1:9" ht="15">
      <c r="A108" s="43" t="str">
        <f>HLOOKUP(INDICE!$F$2,Nombres!$C$3:$D$636,67,FALSE)</f>
        <v>Depósitos de clientes en gestión (**)</v>
      </c>
      <c r="B108" s="44">
        <v>69177.32381721928</v>
      </c>
      <c r="C108" s="44">
        <v>68925.60383869303</v>
      </c>
      <c r="D108" s="44">
        <v>69992.69374393574</v>
      </c>
      <c r="E108" s="45">
        <v>74652.97394118506</v>
      </c>
      <c r="F108" s="44">
        <v>77711.08463097106</v>
      </c>
      <c r="G108" s="44">
        <v>76897.80297569542</v>
      </c>
      <c r="H108" s="44">
        <v>75529.62383208</v>
      </c>
      <c r="I108" s="44">
        <v>0</v>
      </c>
    </row>
    <row r="109" spans="1:9" ht="15">
      <c r="A109" s="43" t="str">
        <f>HLOOKUP(INDICE!$F$2,Nombres!$C$3:$D$636,68,FALSE)</f>
        <v>Fondos de inversión y carteras gestionadas</v>
      </c>
      <c r="B109" s="44">
        <v>33816.94296040459</v>
      </c>
      <c r="C109" s="44">
        <v>34454.62773349693</v>
      </c>
      <c r="D109" s="44">
        <v>35043.324767461876</v>
      </c>
      <c r="E109" s="45">
        <v>35571.565604821546</v>
      </c>
      <c r="F109" s="44">
        <v>35963.60514410175</v>
      </c>
      <c r="G109" s="44">
        <v>36231.81723736712</v>
      </c>
      <c r="H109" s="44">
        <v>37239.87531460999</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2324.9450482544194</v>
      </c>
      <c r="C111" s="44">
        <v>2490.3616117037986</v>
      </c>
      <c r="D111" s="44">
        <v>2462.579277026131</v>
      </c>
      <c r="E111" s="45">
        <v>2586.1729134286306</v>
      </c>
      <c r="F111" s="44">
        <v>2768.1855331432243</v>
      </c>
      <c r="G111" s="44">
        <v>3165.9580322762995</v>
      </c>
      <c r="H111" s="44">
        <v>3011.4003447799996</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HLOOKUP(INDICE!$F$2,Nombres!$C$3:$D$636,74,FALSE)</f>
        <v>(Millones de pesos mexicanos)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13">
        <f>+B$6</f>
        <v>2021</v>
      </c>
      <c r="C118" s="313"/>
      <c r="D118" s="313"/>
      <c r="E118" s="314"/>
      <c r="F118" s="313">
        <f>+F$6</f>
        <v>2022</v>
      </c>
      <c r="G118" s="313"/>
      <c r="H118" s="313"/>
      <c r="I118" s="313"/>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33509.60308059932</v>
      </c>
      <c r="C120" s="41">
        <v>33892.87224402525</v>
      </c>
      <c r="D120" s="41">
        <v>35645.2336379966</v>
      </c>
      <c r="E120" s="42">
        <v>36929.98489894235</v>
      </c>
      <c r="F120" s="50">
        <v>40150.17279525254</v>
      </c>
      <c r="G120" s="50">
        <v>41493.70283070188</v>
      </c>
      <c r="H120" s="50">
        <v>45988.56812074795</v>
      </c>
      <c r="I120" s="50">
        <v>0</v>
      </c>
    </row>
    <row r="121" spans="1:9" ht="15">
      <c r="A121" s="43" t="str">
        <f>HLOOKUP(INDICE!$F$2,Nombres!$C$3:$D$636,34,FALSE)</f>
        <v>Comisiones netas</v>
      </c>
      <c r="B121" s="44">
        <v>6906.020329253886</v>
      </c>
      <c r="C121" s="44">
        <v>7221.520450830826</v>
      </c>
      <c r="D121" s="44">
        <v>7489.782262176015</v>
      </c>
      <c r="E121" s="45">
        <v>7426.1353508702405</v>
      </c>
      <c r="F121" s="44">
        <v>7880.047037184879</v>
      </c>
      <c r="G121" s="44">
        <v>8597.499321946752</v>
      </c>
      <c r="H121" s="44">
        <v>8823.588219698959</v>
      </c>
      <c r="I121" s="44">
        <v>0</v>
      </c>
    </row>
    <row r="122" spans="1:9" ht="15">
      <c r="A122" s="43" t="str">
        <f>HLOOKUP(INDICE!$F$2,Nombres!$C$3:$D$636,35,FALSE)</f>
        <v>Resultados de operaciones financieras</v>
      </c>
      <c r="B122" s="44">
        <v>1695.8157988297858</v>
      </c>
      <c r="C122" s="44">
        <v>2315.558869067377</v>
      </c>
      <c r="D122" s="44">
        <v>2077.868938042165</v>
      </c>
      <c r="E122" s="45">
        <v>2698.547064262767</v>
      </c>
      <c r="F122" s="44">
        <v>2113.707477103988</v>
      </c>
      <c r="G122" s="44">
        <v>2923.5077734574324</v>
      </c>
      <c r="H122" s="44">
        <v>1937.1612684275092</v>
      </c>
      <c r="I122" s="44">
        <v>0</v>
      </c>
    </row>
    <row r="123" spans="1:9" ht="15">
      <c r="A123" s="43" t="str">
        <f>HLOOKUP(INDICE!$F$2,Nombres!$C$3:$D$636,36,FALSE)</f>
        <v>Otros ingresos y cargas de explotación</v>
      </c>
      <c r="B123" s="44">
        <v>1074.464013409838</v>
      </c>
      <c r="C123" s="44">
        <v>1051.0923700310425</v>
      </c>
      <c r="D123" s="44">
        <v>923.9608315843525</v>
      </c>
      <c r="E123" s="45">
        <v>1500.7578106414214</v>
      </c>
      <c r="F123" s="44">
        <v>1466.536619301929</v>
      </c>
      <c r="G123" s="44">
        <v>3679.055661088182</v>
      </c>
      <c r="H123" s="44">
        <v>2093.7247831533646</v>
      </c>
      <c r="I123" s="44">
        <v>0</v>
      </c>
    </row>
    <row r="124" spans="1:9" ht="15">
      <c r="A124" s="41" t="str">
        <f>HLOOKUP(INDICE!$F$2,Nombres!$C$3:$D$636,37,FALSE)</f>
        <v>Margen bruto</v>
      </c>
      <c r="B124" s="41">
        <f>+SUM(B120:B123)</f>
        <v>43185.90322209283</v>
      </c>
      <c r="C124" s="41">
        <f aca="true" t="shared" si="19" ref="C124:I124">+SUM(C120:C123)</f>
        <v>44481.0439339545</v>
      </c>
      <c r="D124" s="41">
        <f t="shared" si="19"/>
        <v>46136.84566979913</v>
      </c>
      <c r="E124" s="42">
        <f t="shared" si="19"/>
        <v>48555.42512471678</v>
      </c>
      <c r="F124" s="50">
        <f t="shared" si="19"/>
        <v>51610.46392884334</v>
      </c>
      <c r="G124" s="50">
        <f t="shared" si="19"/>
        <v>56693.76558719424</v>
      </c>
      <c r="H124" s="50">
        <f t="shared" si="19"/>
        <v>58843.04239202778</v>
      </c>
      <c r="I124" s="50">
        <f t="shared" si="19"/>
        <v>0</v>
      </c>
    </row>
    <row r="125" spans="1:9" ht="15">
      <c r="A125" s="43" t="str">
        <f>HLOOKUP(INDICE!$F$2,Nombres!$C$3:$D$636,38,FALSE)</f>
        <v>Gastos de explotación</v>
      </c>
      <c r="B125" s="44">
        <v>-15405.8470246002</v>
      </c>
      <c r="C125" s="44">
        <v>-15699.233137511255</v>
      </c>
      <c r="D125" s="44">
        <v>-16223.756176993777</v>
      </c>
      <c r="E125" s="45">
        <v>-17003.881223439526</v>
      </c>
      <c r="F125" s="44">
        <v>-17391.017855963146</v>
      </c>
      <c r="G125" s="44">
        <v>-17430.234819771904</v>
      </c>
      <c r="H125" s="44">
        <v>-18430.398720409226</v>
      </c>
      <c r="I125" s="44">
        <v>0</v>
      </c>
    </row>
    <row r="126" spans="1:9" ht="15">
      <c r="A126" s="43" t="str">
        <f>HLOOKUP(INDICE!$F$2,Nombres!$C$3:$D$636,39,FALSE)</f>
        <v>  Gastos de administración</v>
      </c>
      <c r="B126" s="44">
        <v>-13482.991183798877</v>
      </c>
      <c r="C126" s="44">
        <v>-13786.339121119687</v>
      </c>
      <c r="D126" s="44">
        <v>-14238.225465232661</v>
      </c>
      <c r="E126" s="45">
        <v>-15009.797615174439</v>
      </c>
      <c r="F126" s="44">
        <v>-15310.292871807433</v>
      </c>
      <c r="G126" s="44">
        <v>-15345.064917503558</v>
      </c>
      <c r="H126" s="44">
        <v>-16324.014114095342</v>
      </c>
      <c r="I126" s="44">
        <v>0</v>
      </c>
    </row>
    <row r="127" spans="1:9" ht="15">
      <c r="A127" s="46" t="str">
        <f>HLOOKUP(INDICE!$F$2,Nombres!$C$3:$D$636,40,FALSE)</f>
        <v>  Gastos de personal</v>
      </c>
      <c r="B127" s="44">
        <v>-6258.97552850142</v>
      </c>
      <c r="C127" s="44">
        <v>-6497.828602170945</v>
      </c>
      <c r="D127" s="44">
        <v>-7785.932305107218</v>
      </c>
      <c r="E127" s="45">
        <v>-8218.39068791291</v>
      </c>
      <c r="F127" s="44">
        <v>-7688.417394547235</v>
      </c>
      <c r="G127" s="44">
        <v>-7804.425140676298</v>
      </c>
      <c r="H127" s="44">
        <v>-8586.27520843766</v>
      </c>
      <c r="I127" s="44">
        <v>0</v>
      </c>
    </row>
    <row r="128" spans="1:9" ht="15">
      <c r="A128" s="46" t="str">
        <f>HLOOKUP(INDICE!$F$2,Nombres!$C$3:$D$636,41,FALSE)</f>
        <v>  Otros gastos de administración</v>
      </c>
      <c r="B128" s="44">
        <v>-7224.015655297459</v>
      </c>
      <c r="C128" s="44">
        <v>-7288.510518948745</v>
      </c>
      <c r="D128" s="44">
        <v>-6452.293160125444</v>
      </c>
      <c r="E128" s="45">
        <v>-6791.406927261529</v>
      </c>
      <c r="F128" s="44">
        <v>-7621.875477260197</v>
      </c>
      <c r="G128" s="44">
        <v>-7540.639776827262</v>
      </c>
      <c r="H128" s="44">
        <v>-7737.738905657681</v>
      </c>
      <c r="I128" s="44">
        <v>0</v>
      </c>
    </row>
    <row r="129" spans="1:9" ht="15">
      <c r="A129" s="43" t="str">
        <f>HLOOKUP(INDICE!$F$2,Nombres!$C$3:$D$636,42,FALSE)</f>
        <v>  Amortización</v>
      </c>
      <c r="B129" s="44">
        <v>-1922.8558408013214</v>
      </c>
      <c r="C129" s="44">
        <v>-1912.894016391569</v>
      </c>
      <c r="D129" s="44">
        <v>-1985.5307117611126</v>
      </c>
      <c r="E129" s="45">
        <v>-1994.0836082650867</v>
      </c>
      <c r="F129" s="44">
        <v>-2080.724984155713</v>
      </c>
      <c r="G129" s="44">
        <v>-2085.1699022683433</v>
      </c>
      <c r="H129" s="44">
        <v>-2106.3846063138835</v>
      </c>
      <c r="I129" s="44">
        <v>0</v>
      </c>
    </row>
    <row r="130" spans="1:9" ht="15">
      <c r="A130" s="41" t="str">
        <f>HLOOKUP(INDICE!$F$2,Nombres!$C$3:$D$636,43,FALSE)</f>
        <v>Margen neto</v>
      </c>
      <c r="B130" s="41">
        <f>+B124+B125</f>
        <v>27780.056197492628</v>
      </c>
      <c r="C130" s="41">
        <f aca="true" t="shared" si="20" ref="C130:I130">+C124+C125</f>
        <v>28781.810796443242</v>
      </c>
      <c r="D130" s="41">
        <f t="shared" si="20"/>
        <v>29913.089492805353</v>
      </c>
      <c r="E130" s="42">
        <f t="shared" si="20"/>
        <v>31551.54390127725</v>
      </c>
      <c r="F130" s="50">
        <f t="shared" si="20"/>
        <v>34219.44607288019</v>
      </c>
      <c r="G130" s="50">
        <f t="shared" si="20"/>
        <v>39263.53076742234</v>
      </c>
      <c r="H130" s="50">
        <f t="shared" si="20"/>
        <v>40412.643671618556</v>
      </c>
      <c r="I130" s="50">
        <f t="shared" si="20"/>
        <v>0</v>
      </c>
    </row>
    <row r="131" spans="1:9" ht="15">
      <c r="A131" s="43" t="str">
        <f>HLOOKUP(INDICE!$F$2,Nombres!$C$3:$D$636,44,FALSE)</f>
        <v>Deterioro de activos financieros no valorados a valor razonable con cambios en resultados</v>
      </c>
      <c r="B131" s="44">
        <v>-11230.916846296415</v>
      </c>
      <c r="C131" s="44">
        <v>-6798.793438919782</v>
      </c>
      <c r="D131" s="44">
        <v>-7863.606737497242</v>
      </c>
      <c r="E131" s="45">
        <v>-8655.411198453878</v>
      </c>
      <c r="F131" s="44">
        <v>-9628.09972818325</v>
      </c>
      <c r="G131" s="44">
        <v>-8218.971884789578</v>
      </c>
      <c r="H131" s="44">
        <v>-9673.399608715932</v>
      </c>
      <c r="I131" s="44">
        <v>0</v>
      </c>
    </row>
    <row r="132" spans="1:9" ht="15">
      <c r="A132" s="43" t="str">
        <f>HLOOKUP(INDICE!$F$2,Nombres!$C$3:$D$636,45,FALSE)</f>
        <v>Provisiones o reversión de provisiones y otros resultados</v>
      </c>
      <c r="B132" s="44">
        <v>44.36974410711076</v>
      </c>
      <c r="C132" s="44">
        <v>171.33092062854925</v>
      </c>
      <c r="D132" s="44">
        <v>211.9410303283798</v>
      </c>
      <c r="E132" s="45">
        <v>159.10681916377524</v>
      </c>
      <c r="F132" s="44">
        <v>-29.199678709938837</v>
      </c>
      <c r="G132" s="44">
        <v>-167.28680418067648</v>
      </c>
      <c r="H132" s="44">
        <v>-778.0833943573473</v>
      </c>
      <c r="I132" s="44">
        <v>0</v>
      </c>
    </row>
    <row r="133" spans="1:9" ht="15">
      <c r="A133" s="41" t="str">
        <f>HLOOKUP(INDICE!$F$2,Nombres!$C$3:$D$636,46,FALSE)</f>
        <v>Resultado antes de impuestos</v>
      </c>
      <c r="B133" s="41">
        <f>+B130+B131+B132</f>
        <v>16593.50909530332</v>
      </c>
      <c r="C133" s="41">
        <f aca="true" t="shared" si="21" ref="C133:I133">+C130+C131+C132</f>
        <v>22154.348278152007</v>
      </c>
      <c r="D133" s="41">
        <f t="shared" si="21"/>
        <v>22261.423785636493</v>
      </c>
      <c r="E133" s="42">
        <f t="shared" si="21"/>
        <v>23055.239521987147</v>
      </c>
      <c r="F133" s="50">
        <f t="shared" si="21"/>
        <v>24562.146665987006</v>
      </c>
      <c r="G133" s="50">
        <f t="shared" si="21"/>
        <v>30877.272078452082</v>
      </c>
      <c r="H133" s="50">
        <f t="shared" si="21"/>
        <v>29961.160668545275</v>
      </c>
      <c r="I133" s="50">
        <f t="shared" si="21"/>
        <v>0</v>
      </c>
    </row>
    <row r="134" spans="1:9" ht="15">
      <c r="A134" s="43" t="str">
        <f>HLOOKUP(INDICE!$F$2,Nombres!$C$3:$D$636,47,FALSE)</f>
        <v>Impuesto sobre beneficios</v>
      </c>
      <c r="B134" s="44">
        <v>-4601.558421408685</v>
      </c>
      <c r="C134" s="44">
        <v>-6932.858342691405</v>
      </c>
      <c r="D134" s="44">
        <v>-6150.345765952483</v>
      </c>
      <c r="E134" s="45">
        <v>-5174.048986717215</v>
      </c>
      <c r="F134" s="44">
        <v>-6690.378493689175</v>
      </c>
      <c r="G134" s="44">
        <v>-8393.425613968842</v>
      </c>
      <c r="H134" s="44">
        <v>-6422.67419489864</v>
      </c>
      <c r="I134" s="44">
        <v>0</v>
      </c>
    </row>
    <row r="135" spans="1:9" ht="15">
      <c r="A135" s="41" t="str">
        <f>HLOOKUP(INDICE!$F$2,Nombres!$C$3:$D$636,48,FALSE)</f>
        <v>Resultado del ejercicio</v>
      </c>
      <c r="B135" s="41">
        <f>+B133+B134</f>
        <v>11991.950673894637</v>
      </c>
      <c r="C135" s="41">
        <f aca="true" t="shared" si="22" ref="C135:I135">+C133+C134</f>
        <v>15221.489935460602</v>
      </c>
      <c r="D135" s="41">
        <f t="shared" si="22"/>
        <v>16111.07801968401</v>
      </c>
      <c r="E135" s="42">
        <f t="shared" si="22"/>
        <v>17881.190535269932</v>
      </c>
      <c r="F135" s="50">
        <f t="shared" si="22"/>
        <v>17871.76817229783</v>
      </c>
      <c r="G135" s="50">
        <f t="shared" si="22"/>
        <v>22483.846464483242</v>
      </c>
      <c r="H135" s="50">
        <f t="shared" si="22"/>
        <v>23538.486473646633</v>
      </c>
      <c r="I135" s="50">
        <f t="shared" si="22"/>
        <v>0</v>
      </c>
    </row>
    <row r="136" spans="1:9" ht="15">
      <c r="A136" s="43" t="str">
        <f>HLOOKUP(INDICE!$F$2,Nombres!$C$3:$D$636,49,FALSE)</f>
        <v>Minoritarios</v>
      </c>
      <c r="B136" s="44">
        <v>-2.084813869983809</v>
      </c>
      <c r="C136" s="44">
        <v>-2.9258240399905304</v>
      </c>
      <c r="D136" s="44">
        <v>-2.9104361670034775</v>
      </c>
      <c r="E136" s="45">
        <v>-3.3754657540895385</v>
      </c>
      <c r="F136" s="44">
        <v>-3.19587034699331</v>
      </c>
      <c r="G136" s="44">
        <v>-3.9845515569281647</v>
      </c>
      <c r="H136" s="44">
        <v>-4.351546431018919</v>
      </c>
      <c r="I136" s="44">
        <v>0</v>
      </c>
    </row>
    <row r="137" spans="1:9" ht="15">
      <c r="A137" s="47" t="str">
        <f>HLOOKUP(INDICE!$F$2,Nombres!$C$3:$D$636,50,FALSE)</f>
        <v>Resultado atribuido</v>
      </c>
      <c r="B137" s="47">
        <f>+B135+B136</f>
        <v>11989.865860024653</v>
      </c>
      <c r="C137" s="47">
        <f aca="true" t="shared" si="23" ref="C137:I137">+C135+C136</f>
        <v>15218.564111420612</v>
      </c>
      <c r="D137" s="47">
        <f t="shared" si="23"/>
        <v>16108.167583517006</v>
      </c>
      <c r="E137" s="47">
        <f t="shared" si="23"/>
        <v>17877.815069515844</v>
      </c>
      <c r="F137" s="51">
        <f t="shared" si="23"/>
        <v>17868.572301950837</v>
      </c>
      <c r="G137" s="51">
        <f t="shared" si="23"/>
        <v>22479.861912926313</v>
      </c>
      <c r="H137" s="51">
        <f t="shared" si="23"/>
        <v>23534.134927215615</v>
      </c>
      <c r="I137" s="51">
        <f t="shared" si="23"/>
        <v>0</v>
      </c>
    </row>
    <row r="138" spans="1:9" ht="15">
      <c r="A138" s="62"/>
      <c r="B138" s="63">
        <v>-1.4551915228366852E-11</v>
      </c>
      <c r="C138" s="63">
        <v>0</v>
      </c>
      <c r="D138" s="63">
        <v>0</v>
      </c>
      <c r="E138" s="63">
        <v>0</v>
      </c>
      <c r="F138" s="63">
        <v>0</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HLOOKUP(INDICE!$F$2,Nombres!$C$3:$D$636,74,FALSE)</f>
        <v>(Millones de pesos mexicanos)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Efectivo, saldos en efectivo en bancos centrales y otros depósitos a la vista</v>
      </c>
      <c r="B143" s="44">
        <v>255933.81053383587</v>
      </c>
      <c r="C143" s="44">
        <v>308810.9497446287</v>
      </c>
      <c r="D143" s="44">
        <v>327118.33315072645</v>
      </c>
      <c r="E143" s="45">
        <v>300519.02600843436</v>
      </c>
      <c r="F143" s="44">
        <v>329735.28101254924</v>
      </c>
      <c r="G143" s="44">
        <v>347769.8910054877</v>
      </c>
      <c r="H143" s="44">
        <v>325627.43008341675</v>
      </c>
      <c r="I143" s="44">
        <v>0</v>
      </c>
    </row>
    <row r="144" spans="1:9" ht="15">
      <c r="A144" s="43" t="str">
        <f>HLOOKUP(INDICE!$F$2,Nombres!$C$3:$D$636,53,FALSE)</f>
        <v>Activos financieros a valor razonable</v>
      </c>
      <c r="B144" s="58">
        <v>815671.120526636</v>
      </c>
      <c r="C144" s="58">
        <v>818109.812776735</v>
      </c>
      <c r="D144" s="58">
        <v>794757.1267080844</v>
      </c>
      <c r="E144" s="64">
        <v>812939.722408953</v>
      </c>
      <c r="F144" s="44">
        <v>828114.6276770476</v>
      </c>
      <c r="G144" s="44">
        <v>838377.0002338736</v>
      </c>
      <c r="H144" s="44">
        <v>865907.5779013468</v>
      </c>
      <c r="I144" s="44">
        <v>0</v>
      </c>
    </row>
    <row r="145" spans="1:9" ht="15">
      <c r="A145" s="43" t="str">
        <f>HLOOKUP(INDICE!$F$2,Nombres!$C$3:$D$636,54,FALSE)</f>
        <v>Activos financieros a coste amortizado</v>
      </c>
      <c r="B145" s="44">
        <v>1463670.7173311217</v>
      </c>
      <c r="C145" s="44">
        <v>1458261.6515510753</v>
      </c>
      <c r="D145" s="44">
        <v>1476769.2410208094</v>
      </c>
      <c r="E145" s="45">
        <v>1511555.6688041815</v>
      </c>
      <c r="F145" s="44">
        <v>1567343.962987735</v>
      </c>
      <c r="G145" s="44">
        <v>1645418.2474204104</v>
      </c>
      <c r="H145" s="44">
        <v>1685760.6634335923</v>
      </c>
      <c r="I145" s="44">
        <v>0</v>
      </c>
    </row>
    <row r="146" spans="1:9" ht="15">
      <c r="A146" s="43" t="str">
        <f>HLOOKUP(INDICE!$F$2,Nombres!$C$3:$D$636,55,FALSE)</f>
        <v>    de los que préstamos y anticipos a la clientela</v>
      </c>
      <c r="B146" s="44">
        <v>1239198.001720131</v>
      </c>
      <c r="C146" s="44">
        <v>1246673.687739031</v>
      </c>
      <c r="D146" s="44">
        <v>1258759.5894663744</v>
      </c>
      <c r="E146" s="45">
        <v>1291629.8115146435</v>
      </c>
      <c r="F146" s="44">
        <v>1341847.616454759</v>
      </c>
      <c r="G146" s="44">
        <v>1405015.8058882265</v>
      </c>
      <c r="H146" s="44">
        <v>1444082.324608923</v>
      </c>
      <c r="I146" s="44">
        <v>0</v>
      </c>
    </row>
    <row r="147" spans="1:9" ht="15" customHeight="1" hidden="1">
      <c r="A147" s="43"/>
      <c r="B147" s="44"/>
      <c r="C147" s="44"/>
      <c r="D147" s="44"/>
      <c r="E147" s="45"/>
      <c r="F147" s="44"/>
      <c r="G147" s="44"/>
      <c r="H147" s="44"/>
      <c r="I147" s="44"/>
    </row>
    <row r="148" spans="1:9" ht="15">
      <c r="A148" s="43" t="str">
        <f>HLOOKUP(INDICE!$F$2,Nombres!$C$3:$D$636,56,FALSE)</f>
        <v>Activos tangibles</v>
      </c>
      <c r="B148" s="44">
        <v>39538.12817336504</v>
      </c>
      <c r="C148" s="44">
        <v>39169.899940572395</v>
      </c>
      <c r="D148" s="44">
        <v>39027.15985679908</v>
      </c>
      <c r="E148" s="45">
        <v>40062.40381984506</v>
      </c>
      <c r="F148" s="44">
        <v>39114.211785576204</v>
      </c>
      <c r="G148" s="44">
        <v>38864.56931860144</v>
      </c>
      <c r="H148" s="44">
        <v>39147.488033550224</v>
      </c>
      <c r="I148" s="44">
        <v>0</v>
      </c>
    </row>
    <row r="149" spans="1:9" ht="15">
      <c r="A149" s="43" t="str">
        <f>HLOOKUP(INDICE!$F$2,Nombres!$C$3:$D$636,57,FALSE)</f>
        <v>Otros activos</v>
      </c>
      <c r="B149" s="58">
        <f>+B150-B148-B145-B144-B143</f>
        <v>80668.48020270574</v>
      </c>
      <c r="C149" s="58">
        <f aca="true" t="shared" si="25" ref="C149:I149">+C150-C148-C145-C144-C143</f>
        <v>75387.53620824876</v>
      </c>
      <c r="D149" s="58">
        <f t="shared" si="25"/>
        <v>68053.41591177945</v>
      </c>
      <c r="E149" s="64">
        <f t="shared" si="25"/>
        <v>68338.8978421042</v>
      </c>
      <c r="F149" s="44">
        <f t="shared" si="25"/>
        <v>68139.32985150191</v>
      </c>
      <c r="G149" s="44">
        <f t="shared" si="25"/>
        <v>72089.1646556955</v>
      </c>
      <c r="H149" s="44">
        <f t="shared" si="25"/>
        <v>70613.93240023858</v>
      </c>
      <c r="I149" s="44">
        <f t="shared" si="25"/>
        <v>0</v>
      </c>
    </row>
    <row r="150" spans="1:9" ht="15">
      <c r="A150" s="47" t="str">
        <f>HLOOKUP(INDICE!$F$2,Nombres!$C$3:$D$636,58,FALSE)</f>
        <v>Total activo / pasivo</v>
      </c>
      <c r="B150" s="47">
        <v>2655482.2567676646</v>
      </c>
      <c r="C150" s="47">
        <v>2699739.85022126</v>
      </c>
      <c r="D150" s="47">
        <v>2705725.2766481987</v>
      </c>
      <c r="E150" s="47">
        <v>2733415.718883518</v>
      </c>
      <c r="F150" s="51">
        <v>2832447.41331441</v>
      </c>
      <c r="G150" s="51">
        <v>2942518.8726340686</v>
      </c>
      <c r="H150" s="51">
        <v>2987057.091852145</v>
      </c>
      <c r="I150" s="51">
        <v>0</v>
      </c>
    </row>
    <row r="151" spans="1:9" ht="15">
      <c r="A151" s="43" t="str">
        <f>HLOOKUP(INDICE!$F$2,Nombres!$C$3:$D$636,59,FALSE)</f>
        <v>Pasivos financieros mantenidos para negociar y designados a valor razonable con cambios en resultados</v>
      </c>
      <c r="B151" s="58">
        <v>508389.06253667135</v>
      </c>
      <c r="C151" s="58">
        <v>527868.9515097103</v>
      </c>
      <c r="D151" s="58">
        <v>504136.9193925291</v>
      </c>
      <c r="E151" s="64">
        <v>459245.8486776104</v>
      </c>
      <c r="F151" s="44">
        <v>503072.6518027524</v>
      </c>
      <c r="G151" s="44">
        <v>561758.8243830474</v>
      </c>
      <c r="H151" s="44">
        <v>604906.1318061118</v>
      </c>
      <c r="I151" s="44">
        <v>0</v>
      </c>
    </row>
    <row r="152" spans="1:9" ht="15">
      <c r="A152" s="43" t="str">
        <f>HLOOKUP(INDICE!$F$2,Nombres!$C$3:$D$636,60,FALSE)</f>
        <v>Depósitos de bancos centrales y entidades de crédito</v>
      </c>
      <c r="B152" s="58">
        <v>120817.27517697644</v>
      </c>
      <c r="C152" s="58">
        <v>126117.48988882633</v>
      </c>
      <c r="D152" s="58">
        <v>130806.09485510338</v>
      </c>
      <c r="E152" s="64">
        <v>75629.81880281123</v>
      </c>
      <c r="F152" s="44">
        <v>61796.81899985728</v>
      </c>
      <c r="G152" s="44">
        <v>107768.3249943455</v>
      </c>
      <c r="H152" s="44">
        <v>143740.21345459318</v>
      </c>
      <c r="I152" s="44">
        <v>0</v>
      </c>
    </row>
    <row r="153" spans="1:9" ht="15">
      <c r="A153" s="43" t="str">
        <f>HLOOKUP(INDICE!$F$2,Nombres!$C$3:$D$636,61,FALSE)</f>
        <v>Depósitos de la clientela</v>
      </c>
      <c r="B153" s="58">
        <v>1366855.0510831513</v>
      </c>
      <c r="C153" s="58">
        <v>1384709.5636838174</v>
      </c>
      <c r="D153" s="58">
        <v>1387594.8219031817</v>
      </c>
      <c r="E153" s="64">
        <v>1481279.181079257</v>
      </c>
      <c r="F153" s="44">
        <v>1536089.811294505</v>
      </c>
      <c r="G153" s="44">
        <v>1523917.9128222005</v>
      </c>
      <c r="H153" s="44">
        <v>1504822.2410280593</v>
      </c>
      <c r="I153" s="44">
        <v>0</v>
      </c>
    </row>
    <row r="154" spans="1:9" ht="15">
      <c r="A154" s="43" t="str">
        <f>HLOOKUP(INDICE!$F$2,Nombres!$C$3:$D$636,62,FALSE)</f>
        <v>Valores representativos de deuda emitidos</v>
      </c>
      <c r="B154" s="44">
        <v>182188.85397562105</v>
      </c>
      <c r="C154" s="44">
        <v>186197.56359284304</v>
      </c>
      <c r="D154" s="44">
        <v>185451.9044965937</v>
      </c>
      <c r="E154" s="45">
        <v>184773.82545175485</v>
      </c>
      <c r="F154" s="44">
        <v>183031.389062764</v>
      </c>
      <c r="G154" s="44">
        <v>196087.10301964468</v>
      </c>
      <c r="H154" s="44">
        <v>167143.3998544878</v>
      </c>
      <c r="I154" s="44">
        <v>0</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+B150-B151-B152-B153-B154-B157</f>
        <v>306469.59223239543</v>
      </c>
      <c r="C156" s="58">
        <f aca="true" t="shared" si="26" ref="C156:I156">+C150-C151-C152-C153-C154-C157</f>
        <v>304718.6926616837</v>
      </c>
      <c r="D156" s="58">
        <f t="shared" si="26"/>
        <v>323478.95252463396</v>
      </c>
      <c r="E156" s="64">
        <f t="shared" si="26"/>
        <v>365189.84221632197</v>
      </c>
      <c r="F156" s="44">
        <f t="shared" si="26"/>
        <v>375246.07971165364</v>
      </c>
      <c r="G156" s="44">
        <f t="shared" si="26"/>
        <v>365375.9703893162</v>
      </c>
      <c r="H156" s="44">
        <f t="shared" si="26"/>
        <v>377189.54540329246</v>
      </c>
      <c r="I156" s="44">
        <f t="shared" si="26"/>
        <v>0</v>
      </c>
    </row>
    <row r="157" spans="1:9" ht="15.75" customHeight="1">
      <c r="A157" s="43" t="str">
        <f>HLOOKUP(INDICE!$F$2,Nombres!$C$3:$D$636,282,FALSE)</f>
        <v>Dotación de capital regulatorio</v>
      </c>
      <c r="B157" s="44">
        <v>170762.42176284923</v>
      </c>
      <c r="C157" s="44">
        <v>170127.58888437907</v>
      </c>
      <c r="D157" s="44">
        <v>174256.583476157</v>
      </c>
      <c r="E157" s="44">
        <v>167297.20265576255</v>
      </c>
      <c r="F157" s="44">
        <v>173210.66244287768</v>
      </c>
      <c r="G157" s="44">
        <v>187610.73702551413</v>
      </c>
      <c r="H157" s="44">
        <v>189255.56030560046</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65" t="str">
        <f>HLOOKUP(INDICE!$F$2,Nombres!$C$3:$D$636,65,FALSE)</f>
        <v>Indicadores relevantes y de gestión</v>
      </c>
      <c r="B160" s="66"/>
      <c r="C160" s="66"/>
      <c r="D160" s="66"/>
      <c r="E160" s="66"/>
      <c r="F160" s="71"/>
      <c r="G160" s="71"/>
      <c r="H160" s="71"/>
      <c r="I160" s="71"/>
    </row>
    <row r="161" spans="1:9" ht="15">
      <c r="A161" s="35" t="str">
        <f>HLOOKUP(INDICE!$F$2,Nombres!$C$3:$D$636,74,FALSE)</f>
        <v>(Millones de pesos mexicanos)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Préstamos y anticipos a la clientela bruto (*)</v>
      </c>
      <c r="B163" s="44">
        <v>1290573.2733789755</v>
      </c>
      <c r="C163" s="44">
        <v>1295182.1122340232</v>
      </c>
      <c r="D163" s="44">
        <v>1304079.1322468529</v>
      </c>
      <c r="E163" s="45">
        <v>1338787.2052608898</v>
      </c>
      <c r="F163" s="44">
        <v>1391294.2457260152</v>
      </c>
      <c r="G163" s="44">
        <v>1455799.0179083415</v>
      </c>
      <c r="H163" s="44">
        <v>1482476.549709743</v>
      </c>
      <c r="I163" s="44">
        <v>0</v>
      </c>
    </row>
    <row r="164" spans="1:9" ht="15">
      <c r="A164" s="43" t="str">
        <f>HLOOKUP(INDICE!$F$2,Nombres!$C$3:$D$636,67,FALSE)</f>
        <v>Depósitos de clientes en gestión (**)</v>
      </c>
      <c r="B164" s="44">
        <v>1358594.2156556693</v>
      </c>
      <c r="C164" s="44">
        <v>1353650.6114813543</v>
      </c>
      <c r="D164" s="44">
        <v>1374607.5102575745</v>
      </c>
      <c r="E164" s="45">
        <v>1466132.1511362325</v>
      </c>
      <c r="F164" s="44">
        <v>1526191.3044066834</v>
      </c>
      <c r="G164" s="44">
        <v>1510219.0219940862</v>
      </c>
      <c r="H164" s="44">
        <v>1483348.9413386395</v>
      </c>
      <c r="I164" s="44">
        <v>0</v>
      </c>
    </row>
    <row r="165" spans="1:9" ht="15">
      <c r="A165" s="43" t="str">
        <f>HLOOKUP(INDICE!$F$2,Nombres!$C$3:$D$636,68,FALSE)</f>
        <v>Fondos de inversión y carteras gestionadas</v>
      </c>
      <c r="B165" s="44">
        <v>664141.0878882156</v>
      </c>
      <c r="C165" s="44">
        <v>676664.77045252</v>
      </c>
      <c r="D165" s="44">
        <v>688226.3681117713</v>
      </c>
      <c r="E165" s="45">
        <v>698600.6483890217</v>
      </c>
      <c r="F165" s="44">
        <v>706300.0305128762</v>
      </c>
      <c r="G165" s="44">
        <v>711567.52827619</v>
      </c>
      <c r="H165" s="44">
        <v>731365.0832727632</v>
      </c>
      <c r="I165" s="44">
        <v>0</v>
      </c>
    </row>
    <row r="166" spans="1:9" ht="15">
      <c r="A166" s="43" t="str">
        <f>HLOOKUP(INDICE!$F$2,Nombres!$C$3:$D$636,69,FALSE)</f>
        <v>Fondos de pensiones</v>
      </c>
      <c r="B166" s="44">
        <v>0</v>
      </c>
      <c r="C166" s="44">
        <v>0</v>
      </c>
      <c r="D166" s="44">
        <v>0</v>
      </c>
      <c r="E166" s="45">
        <v>0</v>
      </c>
      <c r="F166" s="44">
        <v>0</v>
      </c>
      <c r="G166" s="44">
        <v>0</v>
      </c>
      <c r="H166" s="44">
        <v>0</v>
      </c>
      <c r="I166" s="44">
        <v>0</v>
      </c>
    </row>
    <row r="167" spans="1:15" ht="15">
      <c r="A167" s="43" t="str">
        <f>HLOOKUP(INDICE!$F$2,Nombres!$C$3:$D$636,70,FALSE)</f>
        <v>Otros recursos fuera de balance</v>
      </c>
      <c r="B167" s="44">
        <v>45660.29328659152</v>
      </c>
      <c r="C167" s="44">
        <v>48908.95880117197</v>
      </c>
      <c r="D167" s="44">
        <v>48363.333195731975</v>
      </c>
      <c r="E167" s="45">
        <v>50790.6256991533</v>
      </c>
      <c r="F167" s="44">
        <v>54365.22614154609</v>
      </c>
      <c r="G167" s="44">
        <v>62177.19958384019</v>
      </c>
      <c r="H167" s="44">
        <v>59141.79479176696</v>
      </c>
      <c r="I167" s="44">
        <v>0</v>
      </c>
      <c r="N167" s="73"/>
      <c r="O167" s="73"/>
    </row>
    <row r="168" spans="1:15" ht="15">
      <c r="A168" s="62" t="str">
        <f>HLOOKUP(INDICE!$F$2,Nombres!$C$3:$D$636,71,FALSE)</f>
        <v>(*) No incluye las adquisiciones temporales de activos.</v>
      </c>
      <c r="B168" s="58"/>
      <c r="C168" s="58"/>
      <c r="D168" s="58"/>
      <c r="E168" s="58"/>
      <c r="F168" s="44"/>
      <c r="G168" s="44"/>
      <c r="H168" s="44"/>
      <c r="I168" s="44"/>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392</v>
      </c>
    </row>
  </sheetData>
  <sheetProtection/>
  <mergeCells count="6">
    <mergeCell ref="B118:E118"/>
    <mergeCell ref="F118:I118"/>
    <mergeCell ref="B6:E6"/>
    <mergeCell ref="F6:I6"/>
    <mergeCell ref="B62:E62"/>
    <mergeCell ref="F62:I62"/>
  </mergeCells>
  <conditionalFormatting sqref="B26:I26">
    <cfRule type="cellIs" priority="3" dxfId="131" operator="notBetween">
      <formula>0.5</formula>
      <formula>-0.5</formula>
    </cfRule>
  </conditionalFormatting>
  <conditionalFormatting sqref="B82:I82">
    <cfRule type="cellIs" priority="2" dxfId="131" operator="notBetween">
      <formula>0.5</formula>
      <formula>-0.5</formula>
    </cfRule>
  </conditionalFormatting>
  <conditionalFormatting sqref="B138:I138">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3" sqref="A13"/>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29" t="str">
        <f>HLOOKUP(INDICE!$F$2,Nombres!$C$3:$D$636,12,FALSE)</f>
        <v>Turquía </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13">
        <f>+España!B6</f>
        <v>2021</v>
      </c>
      <c r="C6" s="313"/>
      <c r="D6" s="313"/>
      <c r="E6" s="314"/>
      <c r="F6" s="313">
        <f>+España!F6</f>
        <v>2022</v>
      </c>
      <c r="G6" s="313"/>
      <c r="H6" s="313"/>
      <c r="I6" s="313"/>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529.5730000000001</v>
      </c>
      <c r="C8" s="41">
        <v>506.62400001000015</v>
      </c>
      <c r="D8" s="41">
        <v>614.6899999999998</v>
      </c>
      <c r="E8" s="42">
        <v>719.3530000000001</v>
      </c>
      <c r="F8" s="50">
        <v>496.60899998999975</v>
      </c>
      <c r="G8" s="50">
        <v>666.431</v>
      </c>
      <c r="H8" s="50">
        <v>812.4809998399999</v>
      </c>
      <c r="I8" s="50">
        <v>0</v>
      </c>
    </row>
    <row r="9" spans="1:9" ht="15">
      <c r="A9" s="43" t="str">
        <f>HLOOKUP(INDICE!$F$2,Nombres!$C$3:$D$636,34,FALSE)</f>
        <v>Comisiones netas</v>
      </c>
      <c r="B9" s="44">
        <v>154.40100001000002</v>
      </c>
      <c r="C9" s="44">
        <v>142.64500001</v>
      </c>
      <c r="D9" s="44">
        <v>145.87599999000003</v>
      </c>
      <c r="E9" s="45">
        <v>121.50100002000006</v>
      </c>
      <c r="F9" s="44">
        <v>132.87199999</v>
      </c>
      <c r="G9" s="44">
        <v>161.80900004</v>
      </c>
      <c r="H9" s="44">
        <v>157.49099966000003</v>
      </c>
      <c r="I9" s="44">
        <v>0</v>
      </c>
    </row>
    <row r="10" spans="1:9" ht="15">
      <c r="A10" s="43" t="str">
        <f>HLOOKUP(INDICE!$F$2,Nombres!$C$3:$D$636,35,FALSE)</f>
        <v>Resultados de operaciones financieras</v>
      </c>
      <c r="B10" s="44">
        <v>125.63700000999998</v>
      </c>
      <c r="C10" s="44">
        <v>54.027</v>
      </c>
      <c r="D10" s="44">
        <v>59.10599996999999</v>
      </c>
      <c r="E10" s="45">
        <v>174.50500001999998</v>
      </c>
      <c r="F10" s="44">
        <v>174.91700000000003</v>
      </c>
      <c r="G10" s="44">
        <v>220.159</v>
      </c>
      <c r="H10" s="44">
        <v>196.23599941000003</v>
      </c>
      <c r="I10" s="44">
        <v>0</v>
      </c>
    </row>
    <row r="11" spans="1:9" ht="15">
      <c r="A11" s="43" t="str">
        <f>HLOOKUP(INDICE!$F$2,Nombres!$C$3:$D$636,36,FALSE)</f>
        <v>Otros ingresos y cargas de explotación</v>
      </c>
      <c r="B11" s="44">
        <v>24.439999999999998</v>
      </c>
      <c r="C11" s="44">
        <v>33.91299999999998</v>
      </c>
      <c r="D11" s="44">
        <v>22.784000000000052</v>
      </c>
      <c r="E11" s="45">
        <v>-7.001000000000081</v>
      </c>
      <c r="F11" s="44">
        <v>-301.14500001</v>
      </c>
      <c r="G11" s="44">
        <v>-209.4819999800001</v>
      </c>
      <c r="H11" s="44">
        <v>-151.117</v>
      </c>
      <c r="I11" s="44">
        <v>0</v>
      </c>
    </row>
    <row r="12" spans="1:9" ht="15">
      <c r="A12" s="41" t="str">
        <f>HLOOKUP(INDICE!$F$2,Nombres!$C$3:$D$636,37,FALSE)</f>
        <v>Margen bruto</v>
      </c>
      <c r="B12" s="41">
        <f>+SUM(B8:B11)</f>
        <v>834.05100002</v>
      </c>
      <c r="C12" s="41">
        <f aca="true" t="shared" si="0" ref="C12:H12">+SUM(C8:C11)</f>
        <v>737.2090000200002</v>
      </c>
      <c r="D12" s="41">
        <f t="shared" si="0"/>
        <v>842.45599996</v>
      </c>
      <c r="E12" s="42">
        <f t="shared" si="0"/>
        <v>1008.3580000400001</v>
      </c>
      <c r="F12" s="50">
        <f t="shared" si="0"/>
        <v>503.2529999699998</v>
      </c>
      <c r="G12" s="50">
        <f t="shared" si="0"/>
        <v>838.9170000599999</v>
      </c>
      <c r="H12" s="50">
        <f t="shared" si="0"/>
        <v>1015.09099891</v>
      </c>
      <c r="I12" s="50">
        <f>+SUM(I8:I11)</f>
        <v>0</v>
      </c>
    </row>
    <row r="13" spans="1:9" ht="15">
      <c r="A13" s="43" t="str">
        <f>HLOOKUP(INDICE!$F$2,Nombres!$C$3:$D$636,38,FALSE)</f>
        <v>Gastos de explotación</v>
      </c>
      <c r="B13" s="44">
        <v>-265.29226374000007</v>
      </c>
      <c r="C13" s="44">
        <v>-233.94551273999997</v>
      </c>
      <c r="D13" s="44">
        <v>-235.74078479000002</v>
      </c>
      <c r="E13" s="45">
        <v>-274.73369719999994</v>
      </c>
      <c r="F13" s="44">
        <v>-239.18315685</v>
      </c>
      <c r="G13" s="44">
        <v>-260.58114101</v>
      </c>
      <c r="H13" s="44">
        <v>-290.5026217</v>
      </c>
      <c r="I13" s="44">
        <v>0</v>
      </c>
    </row>
    <row r="14" spans="1:9" ht="15">
      <c r="A14" s="43" t="str">
        <f>HLOOKUP(INDICE!$F$2,Nombres!$C$3:$D$636,39,FALSE)</f>
        <v>  Gastos de administración</v>
      </c>
      <c r="B14" s="44">
        <v>-231.51924174000004</v>
      </c>
      <c r="C14" s="44">
        <v>-204.13049174999998</v>
      </c>
      <c r="D14" s="44">
        <v>-204.82276278</v>
      </c>
      <c r="E14" s="45">
        <v>-250.86567622</v>
      </c>
      <c r="F14" s="44">
        <v>-209.86513485</v>
      </c>
      <c r="G14" s="44">
        <v>-226.14312001000002</v>
      </c>
      <c r="H14" s="44">
        <v>-258.26659970000003</v>
      </c>
      <c r="I14" s="44">
        <v>0</v>
      </c>
    </row>
    <row r="15" spans="1:9" ht="15">
      <c r="A15" s="46" t="str">
        <f>HLOOKUP(INDICE!$F$2,Nombres!$C$3:$D$636,40,FALSE)</f>
        <v>  Gastos de personal</v>
      </c>
      <c r="B15" s="44">
        <v>-141.87522909</v>
      </c>
      <c r="C15" s="44">
        <v>-139.68222914</v>
      </c>
      <c r="D15" s="44">
        <v>-139.68122918000003</v>
      </c>
      <c r="E15" s="45">
        <v>-172.01340153</v>
      </c>
      <c r="F15" s="44">
        <v>-131.55028500999998</v>
      </c>
      <c r="G15" s="44">
        <v>-148.47128498</v>
      </c>
      <c r="H15" s="44">
        <v>-173.76428507000003</v>
      </c>
      <c r="I15" s="44">
        <v>0</v>
      </c>
    </row>
    <row r="16" spans="1:9" ht="15">
      <c r="A16" s="46" t="str">
        <f>HLOOKUP(INDICE!$F$2,Nombres!$C$3:$D$636,41,FALSE)</f>
        <v>  Otros gastos de administración</v>
      </c>
      <c r="B16" s="44">
        <v>-89.64401265000001</v>
      </c>
      <c r="C16" s="44">
        <v>-64.44826260999999</v>
      </c>
      <c r="D16" s="44">
        <v>-65.1415336</v>
      </c>
      <c r="E16" s="45">
        <v>-78.85227469</v>
      </c>
      <c r="F16" s="44">
        <v>-78.31484984</v>
      </c>
      <c r="G16" s="44">
        <v>-77.67183503</v>
      </c>
      <c r="H16" s="44">
        <v>-84.50231463</v>
      </c>
      <c r="I16" s="44">
        <v>0</v>
      </c>
    </row>
    <row r="17" spans="1:9" ht="15">
      <c r="A17" s="43" t="str">
        <f>HLOOKUP(INDICE!$F$2,Nombres!$C$3:$D$636,42,FALSE)</f>
        <v>  Amortización</v>
      </c>
      <c r="B17" s="44">
        <v>-33.773022</v>
      </c>
      <c r="C17" s="44">
        <v>-29.81502099</v>
      </c>
      <c r="D17" s="44">
        <v>-30.918022009999998</v>
      </c>
      <c r="E17" s="45">
        <v>-23.868020979999994</v>
      </c>
      <c r="F17" s="44">
        <v>-29.318022</v>
      </c>
      <c r="G17" s="44">
        <v>-34.43802099999999</v>
      </c>
      <c r="H17" s="44">
        <v>-32.236022000000006</v>
      </c>
      <c r="I17" s="44">
        <v>0</v>
      </c>
    </row>
    <row r="18" spans="1:9" ht="15">
      <c r="A18" s="41" t="str">
        <f>HLOOKUP(INDICE!$F$2,Nombres!$C$3:$D$636,43,FALSE)</f>
        <v>Margen neto</v>
      </c>
      <c r="B18" s="41">
        <f>+B12+B13</f>
        <v>568.7587362799999</v>
      </c>
      <c r="C18" s="41">
        <f aca="true" t="shared" si="1" ref="C18:H18">+C12+C13</f>
        <v>503.2634872800002</v>
      </c>
      <c r="D18" s="41">
        <f t="shared" si="1"/>
        <v>606.71521517</v>
      </c>
      <c r="E18" s="42">
        <f t="shared" si="1"/>
        <v>733.6243028400002</v>
      </c>
      <c r="F18" s="50">
        <f t="shared" si="1"/>
        <v>264.0698431199998</v>
      </c>
      <c r="G18" s="50">
        <f t="shared" si="1"/>
        <v>578.3358590499998</v>
      </c>
      <c r="H18" s="50">
        <f t="shared" si="1"/>
        <v>724.5883772100001</v>
      </c>
      <c r="I18" s="50">
        <f>+I12+I13</f>
        <v>0</v>
      </c>
    </row>
    <row r="19" spans="1:9" ht="15">
      <c r="A19" s="43" t="str">
        <f>HLOOKUP(INDICE!$F$2,Nombres!$C$3:$D$636,44,FALSE)</f>
        <v>Deterioro de activos financieros no valorados a valor razonable con cambios en resultados</v>
      </c>
      <c r="B19" s="44">
        <v>-122.84000001000001</v>
      </c>
      <c r="C19" s="44">
        <v>-44.93799996999999</v>
      </c>
      <c r="D19" s="44">
        <v>-67.13700002999998</v>
      </c>
      <c r="E19" s="45">
        <v>-259.22800002</v>
      </c>
      <c r="F19" s="44">
        <v>-95.88099999</v>
      </c>
      <c r="G19" s="44">
        <v>-75.47300002</v>
      </c>
      <c r="H19" s="44">
        <v>-113.48000000000002</v>
      </c>
      <c r="I19" s="44">
        <v>0</v>
      </c>
    </row>
    <row r="20" spans="1:9" ht="15">
      <c r="A20" s="43" t="str">
        <f>HLOOKUP(INDICE!$F$2,Nombres!$C$3:$D$636,45,FALSE)</f>
        <v>Provisiones o reversión de provisiones y otros resultados</v>
      </c>
      <c r="B20" s="44">
        <v>34.80999999999998</v>
      </c>
      <c r="C20" s="44">
        <v>12.811999999999989</v>
      </c>
      <c r="D20" s="44">
        <v>11.643000000000022</v>
      </c>
      <c r="E20" s="45">
        <v>-25.86500000000006</v>
      </c>
      <c r="F20" s="44">
        <v>-10.823000009999998</v>
      </c>
      <c r="G20" s="44">
        <v>-23.199999990000002</v>
      </c>
      <c r="H20" s="44">
        <v>-37.114999999999995</v>
      </c>
      <c r="I20" s="44">
        <v>0</v>
      </c>
    </row>
    <row r="21" spans="1:9" ht="15">
      <c r="A21" s="41" t="str">
        <f>HLOOKUP(INDICE!$F$2,Nombres!$C$3:$D$636,46,FALSE)</f>
        <v>Resultado antes de impuestos</v>
      </c>
      <c r="B21" s="41">
        <f>+B18+B19+B20</f>
        <v>480.72873626999984</v>
      </c>
      <c r="C21" s="41">
        <f aca="true" t="shared" si="2" ref="C21:H21">+C18+C19+C20</f>
        <v>471.1374873100002</v>
      </c>
      <c r="D21" s="41">
        <f t="shared" si="2"/>
        <v>551.22121514</v>
      </c>
      <c r="E21" s="42">
        <f t="shared" si="2"/>
        <v>448.53130282000006</v>
      </c>
      <c r="F21" s="50">
        <f t="shared" si="2"/>
        <v>157.3658431199998</v>
      </c>
      <c r="G21" s="50">
        <f t="shared" si="2"/>
        <v>479.6628590399999</v>
      </c>
      <c r="H21" s="50">
        <f t="shared" si="2"/>
        <v>573.9933772100001</v>
      </c>
      <c r="I21" s="50">
        <f>+I18+I19+I20</f>
        <v>0</v>
      </c>
    </row>
    <row r="22" spans="1:9" ht="15">
      <c r="A22" s="43" t="str">
        <f>HLOOKUP(INDICE!$F$2,Nombres!$C$3:$D$636,47,FALSE)</f>
        <v>Impuesto sobre beneficios</v>
      </c>
      <c r="B22" s="44">
        <v>-93.79882088</v>
      </c>
      <c r="C22" s="44">
        <v>-80.54364616</v>
      </c>
      <c r="D22" s="44">
        <v>-148.25646458</v>
      </c>
      <c r="E22" s="45">
        <v>-132.20889083000003</v>
      </c>
      <c r="F22" s="44">
        <v>-308.62485294000004</v>
      </c>
      <c r="G22" s="44">
        <v>-327.21515770999997</v>
      </c>
      <c r="H22" s="44">
        <v>-255.65751372</v>
      </c>
      <c r="I22" s="44">
        <v>0</v>
      </c>
    </row>
    <row r="23" spans="1:9" ht="15">
      <c r="A23" s="41" t="str">
        <f>HLOOKUP(INDICE!$F$2,Nombres!$C$3:$D$636,48,FALSE)</f>
        <v>Resultado del ejercicio</v>
      </c>
      <c r="B23" s="41">
        <f>+B21+B22</f>
        <v>386.92991538999985</v>
      </c>
      <c r="C23" s="41">
        <f aca="true" t="shared" si="3" ref="C23:H23">+C21+C22</f>
        <v>390.59384115000023</v>
      </c>
      <c r="D23" s="41">
        <f t="shared" si="3"/>
        <v>402.96475056</v>
      </c>
      <c r="E23" s="42">
        <f t="shared" si="3"/>
        <v>316.32241199000003</v>
      </c>
      <c r="F23" s="50">
        <f t="shared" si="3"/>
        <v>-151.25900982000024</v>
      </c>
      <c r="G23" s="50">
        <f t="shared" si="3"/>
        <v>152.44770132999992</v>
      </c>
      <c r="H23" s="50">
        <f t="shared" si="3"/>
        <v>318.33586349000007</v>
      </c>
      <c r="I23" s="50">
        <f>+I21+I22</f>
        <v>0</v>
      </c>
    </row>
    <row r="24" spans="1:9" ht="15">
      <c r="A24" s="43" t="str">
        <f>HLOOKUP(INDICE!$F$2,Nombres!$C$3:$D$636,49,FALSE)</f>
        <v>Minoritarios</v>
      </c>
      <c r="B24" s="44">
        <v>-196.24699999</v>
      </c>
      <c r="C24" s="44">
        <v>-197.59500002000001</v>
      </c>
      <c r="D24" s="44">
        <v>-203.94899999000006</v>
      </c>
      <c r="E24" s="45">
        <v>-160.35</v>
      </c>
      <c r="F24" s="44">
        <v>76.003</v>
      </c>
      <c r="G24" s="44">
        <v>-15.663999989999972</v>
      </c>
      <c r="H24" s="44">
        <v>-43.82000008</v>
      </c>
      <c r="I24" s="44">
        <v>0</v>
      </c>
    </row>
    <row r="25" spans="1:9" ht="15">
      <c r="A25" s="47" t="str">
        <f>HLOOKUP(INDICE!$F$2,Nombres!$C$3:$D$636,50,FALSE)</f>
        <v>Resultado atribuido</v>
      </c>
      <c r="B25" s="47">
        <f>+B23+B24</f>
        <v>190.68291539999984</v>
      </c>
      <c r="C25" s="47">
        <f aca="true" t="shared" si="4" ref="C25:H25">+C23+C24</f>
        <v>192.99884113000022</v>
      </c>
      <c r="D25" s="47">
        <f t="shared" si="4"/>
        <v>199.01575056999997</v>
      </c>
      <c r="E25" s="47">
        <f t="shared" si="4"/>
        <v>155.97241199000004</v>
      </c>
      <c r="F25" s="51">
        <f t="shared" si="4"/>
        <v>-75.25600982000024</v>
      </c>
      <c r="G25" s="51">
        <f t="shared" si="4"/>
        <v>136.78370133999994</v>
      </c>
      <c r="H25" s="51">
        <f t="shared" si="4"/>
        <v>274.51586341000007</v>
      </c>
      <c r="I25" s="51">
        <f>+I23+I24</f>
        <v>0</v>
      </c>
    </row>
    <row r="26" spans="1:9" ht="15">
      <c r="A26" s="62"/>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Efectivo, saldos en efectivo en bancos centrales y otros depósitos a la vista</v>
      </c>
      <c r="B31" s="44">
        <v>6682.253</v>
      </c>
      <c r="C31" s="44">
        <v>6656.599999999999</v>
      </c>
      <c r="D31" s="44">
        <v>6257.517</v>
      </c>
      <c r="E31" s="45">
        <v>7763.787</v>
      </c>
      <c r="F31" s="44">
        <v>7926.378000000001</v>
      </c>
      <c r="G31" s="44">
        <v>8050.876</v>
      </c>
      <c r="H31" s="44">
        <v>8109.888000000001</v>
      </c>
      <c r="I31" s="44">
        <v>0</v>
      </c>
    </row>
    <row r="32" spans="1:9" ht="15">
      <c r="A32" s="43" t="str">
        <f>HLOOKUP(INDICE!$F$2,Nombres!$C$3:$D$636,53,FALSE)</f>
        <v>Activos financieros a valor razonable</v>
      </c>
      <c r="B32" s="58">
        <v>5492.143</v>
      </c>
      <c r="C32" s="58">
        <v>5153.531</v>
      </c>
      <c r="D32" s="58">
        <v>5417.218000000001</v>
      </c>
      <c r="E32" s="64">
        <v>5289.342999999999</v>
      </c>
      <c r="F32" s="44">
        <v>5177.576</v>
      </c>
      <c r="G32" s="44">
        <v>5598.161000000001</v>
      </c>
      <c r="H32" s="44">
        <v>5557.729000000001</v>
      </c>
      <c r="I32" s="44">
        <v>0</v>
      </c>
    </row>
    <row r="33" spans="1:9" ht="15">
      <c r="A33" s="43" t="str">
        <f>HLOOKUP(INDICE!$F$2,Nombres!$C$3:$D$636,54,FALSE)</f>
        <v>Activos financieros a coste amortizado</v>
      </c>
      <c r="B33" s="44">
        <v>44633.130000000005</v>
      </c>
      <c r="C33" s="44">
        <v>45507.883</v>
      </c>
      <c r="D33" s="44">
        <v>47893.36</v>
      </c>
      <c r="E33" s="45">
        <v>41543.922</v>
      </c>
      <c r="F33" s="44">
        <v>44006.130000000005</v>
      </c>
      <c r="G33" s="44">
        <v>48362.121</v>
      </c>
      <c r="H33" s="44">
        <v>52000.083999999995</v>
      </c>
      <c r="I33" s="44">
        <v>0</v>
      </c>
    </row>
    <row r="34" spans="1:9" ht="15">
      <c r="A34" s="43" t="str">
        <f>HLOOKUP(INDICE!$F$2,Nombres!$C$3:$D$636,55,FALSE)</f>
        <v>    de los que préstamos y anticipos a la clientela</v>
      </c>
      <c r="B34" s="44">
        <v>36858.534</v>
      </c>
      <c r="C34" s="44">
        <v>36911.164</v>
      </c>
      <c r="D34" s="44">
        <v>38932.94</v>
      </c>
      <c r="E34" s="45">
        <v>31414.156</v>
      </c>
      <c r="F34" s="44">
        <v>33726.289000000004</v>
      </c>
      <c r="G34" s="44">
        <v>35609.825999999994</v>
      </c>
      <c r="H34" s="44">
        <v>36898.085</v>
      </c>
      <c r="I34" s="44">
        <v>0</v>
      </c>
    </row>
    <row r="35" spans="1:9" ht="15" customHeight="1" hidden="1">
      <c r="A35" s="43"/>
      <c r="B35" s="44"/>
      <c r="C35" s="44"/>
      <c r="D35" s="44"/>
      <c r="E35" s="45"/>
      <c r="F35" s="44"/>
      <c r="G35" s="44"/>
      <c r="H35" s="44"/>
      <c r="I35" s="44"/>
    </row>
    <row r="36" spans="1:9" ht="15">
      <c r="A36" s="43" t="str">
        <f>HLOOKUP(INDICE!$F$2,Nombres!$C$3:$D$636,56,FALSE)</f>
        <v>Activos tangibles</v>
      </c>
      <c r="B36" s="44">
        <v>871.2429999999999</v>
      </c>
      <c r="C36" s="44">
        <v>814.192</v>
      </c>
      <c r="D36" s="44">
        <v>851.2760000000001</v>
      </c>
      <c r="E36" s="45">
        <v>623.266</v>
      </c>
      <c r="F36" s="44">
        <v>859.876</v>
      </c>
      <c r="G36" s="44">
        <v>921.2160000000001</v>
      </c>
      <c r="H36" s="44">
        <v>960.4679999999998</v>
      </c>
      <c r="I36" s="44">
        <v>0</v>
      </c>
    </row>
    <row r="37" spans="1:9" ht="15">
      <c r="A37" s="43" t="str">
        <f>HLOOKUP(INDICE!$F$2,Nombres!$C$3:$D$636,57,FALSE)</f>
        <v>Otros activos</v>
      </c>
      <c r="B37" s="58">
        <f>+B38-B36-B33-B32-B31</f>
        <v>1197.1019999999999</v>
      </c>
      <c r="C37" s="58">
        <f aca="true" t="shared" si="5" ref="C37:H37">+C38-C36-C33-C32-C31</f>
        <v>1111.1409999999978</v>
      </c>
      <c r="D37" s="58">
        <f t="shared" si="5"/>
        <v>1129.546030849997</v>
      </c>
      <c r="E37" s="64">
        <f t="shared" si="5"/>
        <v>1024.6029999999937</v>
      </c>
      <c r="F37" s="44">
        <f t="shared" si="5"/>
        <v>998.0400000000045</v>
      </c>
      <c r="G37" s="44">
        <f t="shared" si="5"/>
        <v>1168.4590004799938</v>
      </c>
      <c r="H37" s="44">
        <f t="shared" si="5"/>
        <v>1776.2900000000118</v>
      </c>
      <c r="I37" s="44">
        <f>+I38-I36-I33-I32-I31</f>
        <v>0</v>
      </c>
    </row>
    <row r="38" spans="1:9" ht="15">
      <c r="A38" s="47" t="str">
        <f>HLOOKUP(INDICE!$F$2,Nombres!$C$3:$D$636,58,FALSE)</f>
        <v>Total activo / pasivo</v>
      </c>
      <c r="B38" s="51">
        <v>58875.87100000001</v>
      </c>
      <c r="C38" s="51">
        <v>59243.347</v>
      </c>
      <c r="D38" s="51">
        <v>61548.917030849996</v>
      </c>
      <c r="E38" s="79">
        <v>56244.920999999995</v>
      </c>
      <c r="F38" s="51">
        <v>58968.00000000001</v>
      </c>
      <c r="G38" s="51">
        <v>64100.833000479994</v>
      </c>
      <c r="H38" s="51">
        <v>68404.459</v>
      </c>
      <c r="I38" s="51">
        <v>0</v>
      </c>
    </row>
    <row r="39" spans="1:9" ht="15">
      <c r="A39" s="43" t="str">
        <f>HLOOKUP(INDICE!$F$2,Nombres!$C$3:$D$636,59,FALSE)</f>
        <v>Pasivos financieros mantenidos para negociar y designados a valor razonable con cambios en resultados</v>
      </c>
      <c r="B39" s="58">
        <v>2061.667</v>
      </c>
      <c r="C39" s="58">
        <v>1969.616</v>
      </c>
      <c r="D39" s="58">
        <v>1998.7019999999998</v>
      </c>
      <c r="E39" s="64">
        <v>2271.785999999999</v>
      </c>
      <c r="F39" s="44">
        <v>2198.122</v>
      </c>
      <c r="G39" s="44">
        <v>2380.947</v>
      </c>
      <c r="H39" s="44">
        <v>2417.973</v>
      </c>
      <c r="I39" s="44">
        <v>0</v>
      </c>
    </row>
    <row r="40" spans="1:9" ht="15.75" customHeight="1">
      <c r="A40" s="43" t="str">
        <f>HLOOKUP(INDICE!$F$2,Nombres!$C$3:$D$636,60,FALSE)</f>
        <v>Depósitos de bancos centrales y entidades de crédito</v>
      </c>
      <c r="B40" s="58">
        <v>4671.436</v>
      </c>
      <c r="C40" s="58">
        <v>3749.326</v>
      </c>
      <c r="D40" s="58">
        <v>3879.982</v>
      </c>
      <c r="E40" s="64">
        <v>4086.755</v>
      </c>
      <c r="F40" s="44">
        <v>3677.411</v>
      </c>
      <c r="G40" s="44">
        <v>5306.936</v>
      </c>
      <c r="H40" s="44">
        <v>3999.3920000000007</v>
      </c>
      <c r="I40" s="44">
        <v>0</v>
      </c>
    </row>
    <row r="41" spans="1:9" ht="15">
      <c r="A41" s="43" t="str">
        <f>HLOOKUP(INDICE!$F$2,Nombres!$C$3:$D$636,61,FALSE)</f>
        <v>Depósitos de la clientela</v>
      </c>
      <c r="B41" s="58">
        <v>38089.234</v>
      </c>
      <c r="C41" s="58">
        <v>39858.453</v>
      </c>
      <c r="D41" s="58">
        <v>41281.827999999994</v>
      </c>
      <c r="E41" s="64">
        <v>38341.210999999996</v>
      </c>
      <c r="F41" s="44">
        <v>40156.687</v>
      </c>
      <c r="G41" s="44">
        <v>42688.41499999999</v>
      </c>
      <c r="H41" s="44">
        <v>47197.636</v>
      </c>
      <c r="I41" s="44">
        <v>0</v>
      </c>
    </row>
    <row r="42" spans="1:9" ht="15">
      <c r="A42" s="43" t="str">
        <f>HLOOKUP(INDICE!$F$2,Nombres!$C$3:$D$636,62,FALSE)</f>
        <v>Valores representativos de deuda emitidos</v>
      </c>
      <c r="B42" s="44">
        <v>4242.74763894</v>
      </c>
      <c r="C42" s="44">
        <v>3869.5861344400005</v>
      </c>
      <c r="D42" s="44">
        <v>3971.0202847</v>
      </c>
      <c r="E42" s="45">
        <v>3618.19992327</v>
      </c>
      <c r="F42" s="44">
        <v>3548.0527025700003</v>
      </c>
      <c r="G42" s="44">
        <v>3897.0927195699996</v>
      </c>
      <c r="H42" s="44">
        <v>3378.92576667</v>
      </c>
      <c r="I42" s="44">
        <v>0</v>
      </c>
    </row>
    <row r="43" spans="1:9" ht="15" customHeight="1" hidden="1">
      <c r="A43" s="43"/>
      <c r="B43" s="44"/>
      <c r="C43" s="44"/>
      <c r="D43" s="44"/>
      <c r="E43" s="45"/>
      <c r="F43" s="44"/>
      <c r="G43" s="44"/>
      <c r="H43" s="44"/>
      <c r="I43" s="44"/>
    </row>
    <row r="44" spans="1:9" ht="15">
      <c r="A44" s="43" t="str">
        <f>HLOOKUP(INDICE!$F$2,Nombres!$C$3:$D$636,63,FALSE)</f>
        <v>Otros pasivos</v>
      </c>
      <c r="B44" s="58">
        <f>+B38-B39-B40-B41-B42-B45</f>
        <v>3364.9573332000064</v>
      </c>
      <c r="C44" s="58">
        <f aca="true" t="shared" si="6" ref="C44:H44">+C38-C39-C40-C41-C42-C45</f>
        <v>3685.081260259998</v>
      </c>
      <c r="D44" s="58">
        <f t="shared" si="6"/>
        <v>3735.150669470002</v>
      </c>
      <c r="E44" s="64">
        <f t="shared" si="6"/>
        <v>2165.685295340001</v>
      </c>
      <c r="F44" s="44">
        <f t="shared" si="6"/>
        <v>2984.6435127300065</v>
      </c>
      <c r="G44" s="44">
        <f t="shared" si="6"/>
        <v>3006.66238996</v>
      </c>
      <c r="H44" s="44">
        <f t="shared" si="6"/>
        <v>4849.635648340007</v>
      </c>
      <c r="I44" s="44">
        <f>+I38-I39-I40-I41-I42-I45</f>
        <v>0</v>
      </c>
    </row>
    <row r="45" spans="1:9" ht="15">
      <c r="A45" s="43" t="str">
        <f>HLOOKUP(INDICE!$F$2,Nombres!$C$3:$D$636,282,FALSE)</f>
        <v>Dotación de capital regulatorio</v>
      </c>
      <c r="B45" s="44">
        <v>6445.829027860001</v>
      </c>
      <c r="C45" s="44">
        <v>6111.284605299999</v>
      </c>
      <c r="D45" s="44">
        <v>6682.234076679999</v>
      </c>
      <c r="E45" s="44">
        <v>5761.2837813900005</v>
      </c>
      <c r="F45" s="44">
        <v>6403.0837847</v>
      </c>
      <c r="G45" s="44">
        <v>6820.77989095</v>
      </c>
      <c r="H45" s="44">
        <v>6560.89658499</v>
      </c>
      <c r="I45" s="44">
        <v>0</v>
      </c>
    </row>
    <row r="46" spans="1:9" ht="15">
      <c r="A46" s="62"/>
      <c r="B46" s="58"/>
      <c r="C46" s="58"/>
      <c r="D46" s="58"/>
      <c r="E46" s="58"/>
      <c r="F46" s="76"/>
      <c r="G46" s="76"/>
      <c r="H46" s="76"/>
      <c r="I46" s="44"/>
    </row>
    <row r="47" spans="1:9" ht="15">
      <c r="A47" s="43"/>
      <c r="B47" s="58"/>
      <c r="C47" s="58"/>
      <c r="D47" s="58"/>
      <c r="E47" s="58"/>
      <c r="F47" s="76"/>
      <c r="G47" s="76"/>
      <c r="H47" s="76"/>
      <c r="I47" s="44"/>
    </row>
    <row r="48" spans="1:9" ht="18">
      <c r="A48" s="33" t="str">
        <f>HLOOKUP(INDICE!$F$2,Nombres!$C$3:$D$636,65,FALSE)</f>
        <v>Indicadores relevantes y de gestión</v>
      </c>
      <c r="B48" s="34"/>
      <c r="C48" s="34"/>
      <c r="D48" s="34"/>
      <c r="E48" s="34"/>
      <c r="F48" s="80"/>
      <c r="G48" s="80"/>
      <c r="H48" s="80"/>
      <c r="I48" s="68"/>
    </row>
    <row r="49" spans="1:9" ht="15">
      <c r="A49" s="35" t="str">
        <f>HLOOKUP(INDICE!$F$2,Nombres!$C$3:$D$636,32,FALSE)</f>
        <v>(Millones de euros)</v>
      </c>
      <c r="B49" s="30"/>
      <c r="C49" s="30"/>
      <c r="D49" s="30"/>
      <c r="E49" s="30"/>
      <c r="F49" s="78"/>
      <c r="G49" s="76"/>
      <c r="H49" s="76"/>
      <c r="I49" s="44"/>
    </row>
    <row r="50" spans="1:9" ht="15.75">
      <c r="A50" s="30"/>
      <c r="B50" s="53">
        <f aca="true" t="shared" si="7" ref="B50:H50">+B$30</f>
        <v>44286</v>
      </c>
      <c r="C50" s="53">
        <f t="shared" si="7"/>
        <v>44377</v>
      </c>
      <c r="D50" s="53">
        <f t="shared" si="7"/>
        <v>44469</v>
      </c>
      <c r="E50" s="67">
        <f t="shared" si="7"/>
        <v>44561</v>
      </c>
      <c r="F50" s="75">
        <f t="shared" si="7"/>
        <v>44651</v>
      </c>
      <c r="G50" s="75">
        <f t="shared" si="7"/>
        <v>44742</v>
      </c>
      <c r="H50" s="75">
        <f t="shared" si="7"/>
        <v>44834</v>
      </c>
      <c r="I50" s="53">
        <f>+I$30</f>
        <v>44926</v>
      </c>
    </row>
    <row r="51" spans="1:9" ht="15">
      <c r="A51" s="43" t="str">
        <f>HLOOKUP(INDICE!$F$2,Nombres!$C$3:$D$636,66,FALSE)</f>
        <v>Préstamos y anticipos a la clientela bruto (*)</v>
      </c>
      <c r="B51" s="44">
        <v>39266.594000000005</v>
      </c>
      <c r="C51" s="44">
        <v>39186.41300000001</v>
      </c>
      <c r="D51" s="44">
        <v>41346.916</v>
      </c>
      <c r="E51" s="45">
        <v>33450.820999999996</v>
      </c>
      <c r="F51" s="44">
        <v>35828.403</v>
      </c>
      <c r="G51" s="44">
        <v>37754.281</v>
      </c>
      <c r="H51" s="44">
        <v>39072.556</v>
      </c>
      <c r="I51" s="44">
        <v>0</v>
      </c>
    </row>
    <row r="52" spans="1:9" ht="15">
      <c r="A52" s="43" t="str">
        <f>HLOOKUP(INDICE!$F$2,Nombres!$C$3:$D$636,67,FALSE)</f>
        <v>Depósitos de clientes en gestión (**)</v>
      </c>
      <c r="B52" s="44">
        <v>38086.758</v>
      </c>
      <c r="C52" s="44">
        <v>39856.34500000001</v>
      </c>
      <c r="D52" s="44">
        <v>41279.562999999995</v>
      </c>
      <c r="E52" s="45">
        <v>38334.89699999999</v>
      </c>
      <c r="F52" s="44">
        <v>40154.911</v>
      </c>
      <c r="G52" s="44">
        <v>42686.904</v>
      </c>
      <c r="H52" s="44">
        <v>47195.384</v>
      </c>
      <c r="I52" s="44">
        <v>0</v>
      </c>
    </row>
    <row r="53" spans="1:9" ht="15">
      <c r="A53" s="43" t="str">
        <f>HLOOKUP(INDICE!$F$2,Nombres!$C$3:$D$636,68,FALSE)</f>
        <v>Fondos de inversión y carteras gestionadas</v>
      </c>
      <c r="B53" s="44">
        <v>1232.623</v>
      </c>
      <c r="C53" s="44">
        <v>1453.084</v>
      </c>
      <c r="D53" s="44">
        <v>1978.496</v>
      </c>
      <c r="E53" s="45">
        <v>1721.798</v>
      </c>
      <c r="F53" s="44">
        <v>2088.436</v>
      </c>
      <c r="G53" s="44">
        <v>2319.513</v>
      </c>
      <c r="H53" s="44">
        <v>2667.946</v>
      </c>
      <c r="I53" s="44">
        <v>0</v>
      </c>
    </row>
    <row r="54" spans="1:9" ht="15">
      <c r="A54" s="43" t="str">
        <f>HLOOKUP(INDICE!$F$2,Nombres!$C$3:$D$636,69,FALSE)</f>
        <v>Fondos de pensiones</v>
      </c>
      <c r="B54" s="44">
        <v>2434.119</v>
      </c>
      <c r="C54" s="44">
        <v>2482.271</v>
      </c>
      <c r="D54" s="44">
        <v>2586.371</v>
      </c>
      <c r="E54" s="45">
        <v>2172.906</v>
      </c>
      <c r="F54" s="44">
        <v>2333.143</v>
      </c>
      <c r="G54" s="44">
        <v>2605.557</v>
      </c>
      <c r="H54" s="44">
        <v>2902.554</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13">
        <f>+B$6</f>
        <v>2021</v>
      </c>
      <c r="C62" s="313"/>
      <c r="D62" s="313"/>
      <c r="E62" s="314"/>
      <c r="F62" s="313">
        <f>+F$6</f>
        <v>2022</v>
      </c>
      <c r="G62" s="313"/>
      <c r="H62" s="313"/>
      <c r="I62" s="313"/>
    </row>
    <row r="63" spans="1:9" ht="15.75">
      <c r="A63" s="38"/>
      <c r="B63" s="39" t="str">
        <f>+B$7</f>
        <v>1er Trim.</v>
      </c>
      <c r="C63" s="39" t="str">
        <f aca="true" t="shared" si="8" ref="C63:H63">+C$7</f>
        <v>2º Trim.</v>
      </c>
      <c r="D63" s="39" t="str">
        <f t="shared" si="8"/>
        <v>3er Trim.</v>
      </c>
      <c r="E63" s="40" t="str">
        <f t="shared" si="8"/>
        <v>4º Trim.</v>
      </c>
      <c r="F63" s="39" t="str">
        <f t="shared" si="8"/>
        <v>1er Trim.</v>
      </c>
      <c r="G63" s="39" t="str">
        <f t="shared" si="8"/>
        <v>2º Trim.</v>
      </c>
      <c r="H63" s="39" t="str">
        <f t="shared" si="8"/>
        <v>3er Trim.</v>
      </c>
      <c r="I63" s="39" t="str">
        <f>+I$7</f>
        <v>4º Trim.</v>
      </c>
    </row>
    <row r="64" spans="1:9" ht="15">
      <c r="A64" s="41" t="str">
        <f>HLOOKUP(INDICE!$F$2,Nombres!$C$3:$D$636,33,FALSE)</f>
        <v>Margen de intereses</v>
      </c>
      <c r="B64" s="41">
        <v>261.08308213333953</v>
      </c>
      <c r="C64" s="41">
        <v>284.58289583509173</v>
      </c>
      <c r="D64" s="41">
        <v>340.7338412786996</v>
      </c>
      <c r="E64" s="42">
        <v>490.6856222648727</v>
      </c>
      <c r="F64" s="50">
        <v>447.4640907264064</v>
      </c>
      <c r="G64" s="50">
        <v>671.1955324648841</v>
      </c>
      <c r="H64" s="50">
        <v>856.8613766387099</v>
      </c>
      <c r="I64" s="50">
        <v>0</v>
      </c>
    </row>
    <row r="65" spans="1:9" ht="15">
      <c r="A65" s="43" t="str">
        <f>HLOOKUP(INDICE!$F$2,Nombres!$C$3:$D$636,34,FALSE)</f>
        <v>Comisiones netas</v>
      </c>
      <c r="B65" s="44">
        <v>76.12074061003977</v>
      </c>
      <c r="C65" s="44">
        <v>80.30501250540033</v>
      </c>
      <c r="D65" s="44">
        <v>81.38942184630079</v>
      </c>
      <c r="E65" s="45">
        <v>90.10887331715199</v>
      </c>
      <c r="F65" s="44">
        <v>119.74914189971821</v>
      </c>
      <c r="G65" s="44">
        <v>163.73667212465824</v>
      </c>
      <c r="H65" s="44">
        <v>168.68618566562358</v>
      </c>
      <c r="I65" s="44">
        <v>0</v>
      </c>
    </row>
    <row r="66" spans="1:9" ht="15">
      <c r="A66" s="43" t="str">
        <f>HLOOKUP(INDICE!$F$2,Nombres!$C$3:$D$636,35,FALSE)</f>
        <v>Resultados de operaciones financieras</v>
      </c>
      <c r="B66" s="44">
        <v>61.93989344735702</v>
      </c>
      <c r="C66" s="44">
        <v>32.67197308982727</v>
      </c>
      <c r="D66" s="44">
        <v>33.58932762245681</v>
      </c>
      <c r="E66" s="45">
        <v>111.90739646344863</v>
      </c>
      <c r="F66" s="44">
        <v>157.4905299400432</v>
      </c>
      <c r="G66" s="44">
        <v>222.5370262761345</v>
      </c>
      <c r="H66" s="44">
        <v>211.2844431938223</v>
      </c>
      <c r="I66" s="44">
        <v>0</v>
      </c>
    </row>
    <row r="67" spans="1:9" ht="15">
      <c r="A67" s="43" t="str">
        <f>HLOOKUP(INDICE!$F$2,Nombres!$C$3:$D$636,36,FALSE)</f>
        <v>Otros ingresos y cargas de explotación</v>
      </c>
      <c r="B67" s="44">
        <v>12.04908582450166</v>
      </c>
      <c r="C67" s="44">
        <v>18.679865149188252</v>
      </c>
      <c r="D67" s="44">
        <v>12.835400877053857</v>
      </c>
      <c r="E67" s="45">
        <v>-0.4920864719200697</v>
      </c>
      <c r="F67" s="44">
        <v>-358.821809539878</v>
      </c>
      <c r="G67" s="44">
        <v>-201.0855863607042</v>
      </c>
      <c r="H67" s="44">
        <v>-101.83660408941789</v>
      </c>
      <c r="I67" s="44">
        <v>0</v>
      </c>
    </row>
    <row r="68" spans="1:9" ht="15">
      <c r="A68" s="41" t="str">
        <f>HLOOKUP(INDICE!$F$2,Nombres!$C$3:$D$636,37,FALSE)</f>
        <v>Margen bruto</v>
      </c>
      <c r="B68" s="41">
        <f>+SUM(B64:B67)</f>
        <v>411.192802015238</v>
      </c>
      <c r="C68" s="41">
        <f aca="true" t="shared" si="9" ref="C68:H68">+SUM(C64:C67)</f>
        <v>416.23974657950754</v>
      </c>
      <c r="D68" s="41">
        <f t="shared" si="9"/>
        <v>468.54799162451104</v>
      </c>
      <c r="E68" s="42">
        <f t="shared" si="9"/>
        <v>692.2098055735532</v>
      </c>
      <c r="F68" s="50">
        <f t="shared" si="9"/>
        <v>365.8819530262898</v>
      </c>
      <c r="G68" s="50">
        <f t="shared" si="9"/>
        <v>856.3836445049726</v>
      </c>
      <c r="H68" s="50">
        <f t="shared" si="9"/>
        <v>1134.995401408738</v>
      </c>
      <c r="I68" s="50">
        <f>+SUM(I64:I67)</f>
        <v>0</v>
      </c>
    </row>
    <row r="69" spans="1:9" ht="15">
      <c r="A69" s="43" t="str">
        <f>HLOOKUP(INDICE!$F$2,Nombres!$C$3:$D$636,38,FALSE)</f>
        <v>Gastos de explotación</v>
      </c>
      <c r="B69" s="44">
        <v>-130.79088602207818</v>
      </c>
      <c r="C69" s="44">
        <v>-132.10996153790828</v>
      </c>
      <c r="D69" s="44">
        <v>-131.72632186850748</v>
      </c>
      <c r="E69" s="45">
        <v>-192.0054294852768</v>
      </c>
      <c r="F69" s="44">
        <v>-216.28474521618176</v>
      </c>
      <c r="G69" s="44">
        <v>-265.23487926869</v>
      </c>
      <c r="H69" s="44">
        <v>-308.74729507512825</v>
      </c>
      <c r="I69" s="44">
        <v>0</v>
      </c>
    </row>
    <row r="70" spans="1:9" ht="15">
      <c r="A70" s="43" t="str">
        <f>HLOOKUP(INDICE!$F$2,Nombres!$C$3:$D$636,39,FALSE)</f>
        <v>  Gastos de administración</v>
      </c>
      <c r="B70" s="44">
        <v>-114.1405570273653</v>
      </c>
      <c r="C70" s="44">
        <v>-115.2745424896311</v>
      </c>
      <c r="D70" s="44">
        <v>-114.46955456474747</v>
      </c>
      <c r="E70" s="45">
        <v>-173.97379940596858</v>
      </c>
      <c r="F70" s="44">
        <v>-189.21846478148254</v>
      </c>
      <c r="G70" s="44">
        <v>-230.26868385194405</v>
      </c>
      <c r="H70" s="44">
        <v>-274.7877059265734</v>
      </c>
      <c r="I70" s="44">
        <v>0</v>
      </c>
    </row>
    <row r="71" spans="1:9" ht="15">
      <c r="A71" s="46" t="str">
        <f>HLOOKUP(INDICE!$F$2,Nombres!$C$3:$D$636,40,FALSE)</f>
        <v>  Gastos de personal</v>
      </c>
      <c r="B71" s="44">
        <v>-69.94545055958449</v>
      </c>
      <c r="C71" s="44">
        <v>-78.32396712633431</v>
      </c>
      <c r="D71" s="44">
        <v>-77.90347990056712</v>
      </c>
      <c r="E71" s="45">
        <v>-118.5005594568564</v>
      </c>
      <c r="F71" s="44">
        <v>-118.55194162882975</v>
      </c>
      <c r="G71" s="44">
        <v>-150.79438687096388</v>
      </c>
      <c r="H71" s="44">
        <v>-184.43952656020633</v>
      </c>
      <c r="I71" s="44">
        <v>0</v>
      </c>
    </row>
    <row r="72" spans="1:9" ht="15">
      <c r="A72" s="46" t="str">
        <f>HLOOKUP(INDICE!$F$2,Nombres!$C$3:$D$636,41,FALSE)</f>
        <v>  Otros gastos de administración</v>
      </c>
      <c r="B72" s="44">
        <v>-44.1951064677808</v>
      </c>
      <c r="C72" s="44">
        <v>-36.950575363296835</v>
      </c>
      <c r="D72" s="44">
        <v>-36.56607466418034</v>
      </c>
      <c r="E72" s="45">
        <v>-55.47323994911216</v>
      </c>
      <c r="F72" s="44">
        <v>-70.66652315265277</v>
      </c>
      <c r="G72" s="44">
        <v>-79.47429698098016</v>
      </c>
      <c r="H72" s="44">
        <v>-90.34817936636708</v>
      </c>
      <c r="I72" s="44">
        <v>0</v>
      </c>
    </row>
    <row r="73" spans="1:9" ht="15">
      <c r="A73" s="43" t="str">
        <f>HLOOKUP(INDICE!$F$2,Nombres!$C$3:$D$636,42,FALSE)</f>
        <v>  Amortización</v>
      </c>
      <c r="B73" s="44">
        <v>-16.650328994712883</v>
      </c>
      <c r="C73" s="44">
        <v>-16.835419048277153</v>
      </c>
      <c r="D73" s="44">
        <v>-17.256767303760036</v>
      </c>
      <c r="E73" s="45">
        <v>-18.03163007930824</v>
      </c>
      <c r="F73" s="44">
        <v>-27.066280434699234</v>
      </c>
      <c r="G73" s="44">
        <v>-34.96619541674593</v>
      </c>
      <c r="H73" s="44">
        <v>-33.95958914855484</v>
      </c>
      <c r="I73" s="44">
        <v>0</v>
      </c>
    </row>
    <row r="74" spans="1:9" ht="15">
      <c r="A74" s="41" t="str">
        <f>HLOOKUP(INDICE!$F$2,Nombres!$C$3:$D$636,43,FALSE)</f>
        <v>Margen neto</v>
      </c>
      <c r="B74" s="41">
        <f>+B68+B69</f>
        <v>280.40191599315983</v>
      </c>
      <c r="C74" s="41">
        <f aca="true" t="shared" si="10" ref="C74:H74">+C68+C69</f>
        <v>284.12978504159923</v>
      </c>
      <c r="D74" s="41">
        <f t="shared" si="10"/>
        <v>336.82166975600353</v>
      </c>
      <c r="E74" s="42">
        <f t="shared" si="10"/>
        <v>500.20437608827643</v>
      </c>
      <c r="F74" s="50">
        <f t="shared" si="10"/>
        <v>149.59720781010805</v>
      </c>
      <c r="G74" s="50">
        <f t="shared" si="10"/>
        <v>591.1487652362825</v>
      </c>
      <c r="H74" s="50">
        <f t="shared" si="10"/>
        <v>826.2481063336097</v>
      </c>
      <c r="I74" s="50">
        <f>+I68+I69</f>
        <v>0</v>
      </c>
    </row>
    <row r="75" spans="1:9" ht="15">
      <c r="A75" s="43" t="str">
        <f>HLOOKUP(INDICE!$F$2,Nombres!$C$3:$D$636,44,FALSE)</f>
        <v>Deterioro de activos financieros no valorados a valor razonable con cambios en resultados</v>
      </c>
      <c r="B75" s="44">
        <v>-60.560953469814855</v>
      </c>
      <c r="C75" s="44">
        <v>-27.791692252755865</v>
      </c>
      <c r="D75" s="44">
        <v>-37.77870884381839</v>
      </c>
      <c r="E75" s="45">
        <v>-160.9607252919829</v>
      </c>
      <c r="F75" s="44">
        <v>-86.22940737614468</v>
      </c>
      <c r="G75" s="44">
        <v>-78.70962215229544</v>
      </c>
      <c r="H75" s="44">
        <v>-119.8949704815599</v>
      </c>
      <c r="I75" s="44">
        <v>0</v>
      </c>
    </row>
    <row r="76" spans="1:9" ht="15">
      <c r="A76" s="43" t="str">
        <f>HLOOKUP(INDICE!$F$2,Nombres!$C$3:$D$636,45,FALSE)</f>
        <v>Provisiones o reversión de provisiones y otros resultados</v>
      </c>
      <c r="B76" s="44">
        <v>17.16156618457049</v>
      </c>
      <c r="C76" s="44">
        <v>7.916392159800168</v>
      </c>
      <c r="D76" s="44">
        <v>6.742805455552093</v>
      </c>
      <c r="E76" s="45">
        <v>-12.415701972299047</v>
      </c>
      <c r="F76" s="44">
        <v>-10.382217044947659</v>
      </c>
      <c r="G76" s="44">
        <v>-22.7581486002144</v>
      </c>
      <c r="H76" s="44">
        <v>-37.99763435483794</v>
      </c>
      <c r="I76" s="44">
        <v>0</v>
      </c>
    </row>
    <row r="77" spans="1:9" ht="15">
      <c r="A77" s="41" t="str">
        <f>HLOOKUP(INDICE!$F$2,Nombres!$C$3:$D$636,46,FALSE)</f>
        <v>Resultado antes de impuestos</v>
      </c>
      <c r="B77" s="41">
        <f>+B74+B75+B76</f>
        <v>237.00252870791547</v>
      </c>
      <c r="C77" s="41">
        <f aca="true" t="shared" si="11" ref="C77:H77">+C74+C75+C76</f>
        <v>264.25448494864355</v>
      </c>
      <c r="D77" s="41">
        <f t="shared" si="11"/>
        <v>305.78576636773727</v>
      </c>
      <c r="E77" s="42">
        <f t="shared" si="11"/>
        <v>326.82794882399446</v>
      </c>
      <c r="F77" s="50">
        <f t="shared" si="11"/>
        <v>52.98558338901571</v>
      </c>
      <c r="G77" s="50">
        <f t="shared" si="11"/>
        <v>489.68099448377274</v>
      </c>
      <c r="H77" s="50">
        <f t="shared" si="11"/>
        <v>668.3555014972119</v>
      </c>
      <c r="I77" s="50">
        <f>+I74+I75+I76</f>
        <v>0</v>
      </c>
    </row>
    <row r="78" spans="1:9" ht="15">
      <c r="A78" s="43" t="str">
        <f>HLOOKUP(INDICE!$F$2,Nombres!$C$3:$D$636,47,FALSE)</f>
        <v>Impuesto sobre beneficios</v>
      </c>
      <c r="B78" s="44">
        <v>-46.243455115391924</v>
      </c>
      <c r="C78" s="44">
        <v>-45.56606834191638</v>
      </c>
      <c r="D78" s="44">
        <v>-81.4013835736111</v>
      </c>
      <c r="E78" s="45">
        <v>-91.02783291905565</v>
      </c>
      <c r="F78" s="44">
        <v>-280.3782916709542</v>
      </c>
      <c r="G78" s="44">
        <v>-332.8104261597993</v>
      </c>
      <c r="H78" s="44">
        <v>-278.3088065392466</v>
      </c>
      <c r="I78" s="44">
        <v>0</v>
      </c>
    </row>
    <row r="79" spans="1:9" ht="15">
      <c r="A79" s="41" t="str">
        <f>HLOOKUP(INDICE!$F$2,Nombres!$C$3:$D$636,48,FALSE)</f>
        <v>Resultado del ejercicio</v>
      </c>
      <c r="B79" s="41">
        <f>+B77+B78</f>
        <v>190.75907359252355</v>
      </c>
      <c r="C79" s="41">
        <f aca="true" t="shared" si="12" ref="C79:H79">+C77+C78</f>
        <v>218.68841660672717</v>
      </c>
      <c r="D79" s="41">
        <f t="shared" si="12"/>
        <v>224.38438279412617</v>
      </c>
      <c r="E79" s="42">
        <f t="shared" si="12"/>
        <v>235.80011590493882</v>
      </c>
      <c r="F79" s="50">
        <f t="shared" si="12"/>
        <v>-227.39270828193847</v>
      </c>
      <c r="G79" s="50">
        <f t="shared" si="12"/>
        <v>156.87056832397343</v>
      </c>
      <c r="H79" s="50">
        <f t="shared" si="12"/>
        <v>390.0466949579653</v>
      </c>
      <c r="I79" s="50">
        <f>+I77+I78</f>
        <v>0</v>
      </c>
    </row>
    <row r="80" spans="1:9" ht="15">
      <c r="A80" s="43" t="str">
        <f>HLOOKUP(INDICE!$F$2,Nombres!$C$3:$D$636,49,FALSE)</f>
        <v>Minoritarios</v>
      </c>
      <c r="B80" s="44">
        <v>-96.75110252375148</v>
      </c>
      <c r="C80" s="44">
        <v>-110.64785742153455</v>
      </c>
      <c r="D80" s="44">
        <v>-113.56900112312866</v>
      </c>
      <c r="E80" s="45">
        <v>-119.50428381351593</v>
      </c>
      <c r="F80" s="44">
        <v>114.37512978388777</v>
      </c>
      <c r="G80" s="44">
        <v>-25.592038488552156</v>
      </c>
      <c r="H80" s="44">
        <v>-72.26409136533556</v>
      </c>
      <c r="I80" s="44">
        <v>0</v>
      </c>
    </row>
    <row r="81" spans="1:9" ht="15">
      <c r="A81" s="47" t="str">
        <f>HLOOKUP(INDICE!$F$2,Nombres!$C$3:$D$636,50,FALSE)</f>
        <v>Resultado atribuido</v>
      </c>
      <c r="B81" s="47">
        <f>+B79+B80</f>
        <v>94.00797106877206</v>
      </c>
      <c r="C81" s="47">
        <f aca="true" t="shared" si="13" ref="C81:H81">+C79+C80</f>
        <v>108.04055918519262</v>
      </c>
      <c r="D81" s="47">
        <f t="shared" si="13"/>
        <v>110.81538167099751</v>
      </c>
      <c r="E81" s="47">
        <f t="shared" si="13"/>
        <v>116.2958320914229</v>
      </c>
      <c r="F81" s="51">
        <f t="shared" si="13"/>
        <v>-113.0175784980507</v>
      </c>
      <c r="G81" s="51">
        <f t="shared" si="13"/>
        <v>131.27852983542127</v>
      </c>
      <c r="H81" s="51">
        <f t="shared" si="13"/>
        <v>317.78260359262975</v>
      </c>
      <c r="I81" s="51">
        <f>+I79+I80</f>
        <v>0</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H86">+B$30</f>
        <v>44286</v>
      </c>
      <c r="C86" s="53">
        <f t="shared" si="14"/>
        <v>44377</v>
      </c>
      <c r="D86" s="53">
        <f t="shared" si="14"/>
        <v>44469</v>
      </c>
      <c r="E86" s="67">
        <f t="shared" si="14"/>
        <v>44561</v>
      </c>
      <c r="F86" s="53">
        <f t="shared" si="14"/>
        <v>44651</v>
      </c>
      <c r="G86" s="53">
        <f t="shared" si="14"/>
        <v>44742</v>
      </c>
      <c r="H86" s="53">
        <f t="shared" si="14"/>
        <v>44834</v>
      </c>
      <c r="I86" s="53">
        <f>+I$30</f>
        <v>44926</v>
      </c>
    </row>
    <row r="87" spans="1:9" ht="15">
      <c r="A87" s="43" t="str">
        <f>HLOOKUP(INDICE!$F$2,Nombres!$C$3:$D$636,52,FALSE)</f>
        <v>Efectivo, saldos en efectivo en bancos centrales y otros depósitos a la vista</v>
      </c>
      <c r="B87" s="44">
        <v>3593.483249082214</v>
      </c>
      <c r="C87" s="44">
        <v>3799.0703767254768</v>
      </c>
      <c r="D87" s="44">
        <v>3563.3808603996245</v>
      </c>
      <c r="E87" s="45">
        <v>6539.979831093169</v>
      </c>
      <c r="F87" s="44">
        <v>7136.6374057259945</v>
      </c>
      <c r="G87" s="44">
        <v>7711.596046904556</v>
      </c>
      <c r="H87" s="44">
        <v>8109.888000000001</v>
      </c>
      <c r="I87" s="44">
        <v>0</v>
      </c>
    </row>
    <row r="88" spans="1:9" ht="15">
      <c r="A88" s="43" t="str">
        <f>HLOOKUP(INDICE!$F$2,Nombres!$C$3:$D$636,53,FALSE)</f>
        <v>Activos financieros a valor razonable</v>
      </c>
      <c r="B88" s="58">
        <v>2953.4834840979747</v>
      </c>
      <c r="C88" s="58">
        <v>2941.2353089619974</v>
      </c>
      <c r="D88" s="58">
        <v>3084.8675181884983</v>
      </c>
      <c r="E88" s="64">
        <v>4455.582892695773</v>
      </c>
      <c r="F88" s="44">
        <v>4661.7108788641135</v>
      </c>
      <c r="G88" s="44">
        <v>5362.243343151138</v>
      </c>
      <c r="H88" s="44">
        <v>5557.729000000001</v>
      </c>
      <c r="I88" s="44">
        <v>0</v>
      </c>
    </row>
    <row r="89" spans="1:9" ht="15">
      <c r="A89" s="43" t="str">
        <f>HLOOKUP(INDICE!$F$2,Nombres!$C$3:$D$636,54,FALSE)</f>
        <v>Activos financieros a coste amortizado</v>
      </c>
      <c r="B89" s="44">
        <v>24002.144936611778</v>
      </c>
      <c r="C89" s="44">
        <v>25972.365804282814</v>
      </c>
      <c r="D89" s="44">
        <v>27273.163199433413</v>
      </c>
      <c r="E89" s="45">
        <v>34995.34595481661</v>
      </c>
      <c r="F89" s="44">
        <v>39621.60187657476</v>
      </c>
      <c r="G89" s="44">
        <v>46324.04487704441</v>
      </c>
      <c r="H89" s="44">
        <v>52000.083999999995</v>
      </c>
      <c r="I89" s="44">
        <v>0</v>
      </c>
    </row>
    <row r="90" spans="1:9" ht="15">
      <c r="A90" s="43" t="str">
        <f>HLOOKUP(INDICE!$F$2,Nombres!$C$3:$D$636,55,FALSE)</f>
        <v>    de los que préstamos y anticipos a la clientela</v>
      </c>
      <c r="B90" s="44">
        <v>19821.237614727732</v>
      </c>
      <c r="C90" s="44">
        <v>21066.02615792685</v>
      </c>
      <c r="D90" s="44">
        <v>22170.597896112304</v>
      </c>
      <c r="E90" s="45">
        <v>26462.336827480514</v>
      </c>
      <c r="F90" s="44">
        <v>30365.98754610557</v>
      </c>
      <c r="G90" s="44">
        <v>34109.15699267497</v>
      </c>
      <c r="H90" s="44">
        <v>36898.085</v>
      </c>
      <c r="I90" s="44">
        <v>0</v>
      </c>
    </row>
    <row r="91" spans="1:9" ht="15" customHeight="1" hidden="1">
      <c r="A91" s="43"/>
      <c r="B91" s="44"/>
      <c r="C91" s="44"/>
      <c r="D91" s="44"/>
      <c r="E91" s="45"/>
      <c r="F91" s="44"/>
      <c r="G91" s="44"/>
      <c r="H91" s="44"/>
      <c r="I91" s="44"/>
    </row>
    <row r="92" spans="1:9" ht="15">
      <c r="A92" s="43" t="str">
        <f>HLOOKUP(INDICE!$F$2,Nombres!$C$3:$D$636,56,FALSE)</f>
        <v>Activos tangibles</v>
      </c>
      <c r="B92" s="44">
        <v>468.52418284374073</v>
      </c>
      <c r="C92" s="44">
        <v>464.6775693547562</v>
      </c>
      <c r="D92" s="44">
        <v>484.7642611786034</v>
      </c>
      <c r="E92" s="45">
        <v>525.0204660954911</v>
      </c>
      <c r="F92" s="44">
        <v>799.4211817431291</v>
      </c>
      <c r="G92" s="44">
        <v>893.9639958021733</v>
      </c>
      <c r="H92" s="44">
        <v>960.4679999999998</v>
      </c>
      <c r="I92" s="44">
        <v>0</v>
      </c>
    </row>
    <row r="93" spans="1:9" ht="15">
      <c r="A93" s="43" t="str">
        <f>HLOOKUP(INDICE!$F$2,Nombres!$C$3:$D$636,57,FALSE)</f>
        <v>Otros activos</v>
      </c>
      <c r="B93" s="58">
        <f>+B94-B92-B89-B88-B87</f>
        <v>643.7598193966674</v>
      </c>
      <c r="C93" s="58">
        <f aca="true" t="shared" si="15" ref="C93:H93">+C94-C92-C89-C88-C87</f>
        <v>634.1529996492513</v>
      </c>
      <c r="D93" s="58">
        <f t="shared" si="15"/>
        <v>643.2268114127733</v>
      </c>
      <c r="E93" s="64">
        <f t="shared" si="15"/>
        <v>863.094641169002</v>
      </c>
      <c r="F93" s="44">
        <f t="shared" si="15"/>
        <v>901.9676392528572</v>
      </c>
      <c r="G93" s="44">
        <f t="shared" si="15"/>
        <v>1120.48392402029</v>
      </c>
      <c r="H93" s="44">
        <f t="shared" si="15"/>
        <v>1776.2900000000118</v>
      </c>
      <c r="I93" s="44">
        <f>+I94-I92-I89-I88-I87</f>
        <v>0</v>
      </c>
    </row>
    <row r="94" spans="1:9" ht="15">
      <c r="A94" s="47" t="str">
        <f>HLOOKUP(INDICE!$F$2,Nombres!$C$3:$D$636,58,FALSE)</f>
        <v>Total activo / pasivo</v>
      </c>
      <c r="B94" s="47">
        <v>31661.395672032373</v>
      </c>
      <c r="C94" s="47">
        <v>33811.50205897429</v>
      </c>
      <c r="D94" s="47">
        <v>35049.402650612916</v>
      </c>
      <c r="E94" s="47">
        <v>47379.02378587004</v>
      </c>
      <c r="F94" s="47">
        <v>53121.33898216085</v>
      </c>
      <c r="G94" s="47">
        <v>61412.33218692257</v>
      </c>
      <c r="H94" s="47">
        <v>68404.459</v>
      </c>
      <c r="I94" s="51">
        <v>0</v>
      </c>
    </row>
    <row r="95" spans="1:9" ht="15">
      <c r="A95" s="43" t="str">
        <f>HLOOKUP(INDICE!$F$2,Nombres!$C$3:$D$636,59,FALSE)</f>
        <v>Pasivos financieros mantenidos para negociar y designados a valor razonable con cambios en resultados</v>
      </c>
      <c r="B95" s="58">
        <v>1108.6928061067997</v>
      </c>
      <c r="C95" s="58">
        <v>1124.1038667074074</v>
      </c>
      <c r="D95" s="58">
        <v>1138.1729290455708</v>
      </c>
      <c r="E95" s="64">
        <v>1913.6839561105708</v>
      </c>
      <c r="F95" s="44">
        <v>1979.1132453624136</v>
      </c>
      <c r="G95" s="44">
        <v>2280.6091502451736</v>
      </c>
      <c r="H95" s="44">
        <v>2417.973</v>
      </c>
      <c r="I95" s="44">
        <v>0</v>
      </c>
    </row>
    <row r="96" spans="1:9" ht="15">
      <c r="A96" s="43" t="str">
        <f>HLOOKUP(INDICE!$F$2,Nombres!$C$3:$D$636,60,FALSE)</f>
        <v>Depósitos de bancos centrales y entidades de crédito</v>
      </c>
      <c r="B96" s="58">
        <v>2512.1358043701166</v>
      </c>
      <c r="C96" s="58">
        <v>2139.8241353373537</v>
      </c>
      <c r="D96" s="58">
        <v>2209.479190786866</v>
      </c>
      <c r="E96" s="64">
        <v>3442.5590597242253</v>
      </c>
      <c r="F96" s="44">
        <v>3311.014046873394</v>
      </c>
      <c r="G96" s="44">
        <v>5083.291144811506</v>
      </c>
      <c r="H96" s="44">
        <v>3999.3920000000007</v>
      </c>
      <c r="I96" s="44">
        <v>0</v>
      </c>
    </row>
    <row r="97" spans="1:9" ht="15">
      <c r="A97" s="43" t="str">
        <f>HLOOKUP(INDICE!$F$2,Nombres!$C$3:$D$636,61,FALSE)</f>
        <v>Depósitos de la clientela</v>
      </c>
      <c r="B97" s="58">
        <v>20483.065269958013</v>
      </c>
      <c r="C97" s="58">
        <v>22748.109854040315</v>
      </c>
      <c r="D97" s="58">
        <v>23508.18635850439</v>
      </c>
      <c r="E97" s="64">
        <v>32297.478877213853</v>
      </c>
      <c r="F97" s="44">
        <v>36155.69614951884</v>
      </c>
      <c r="G97" s="44">
        <v>40889.440150689334</v>
      </c>
      <c r="H97" s="44">
        <v>47197.636</v>
      </c>
      <c r="I97" s="44">
        <v>0</v>
      </c>
    </row>
    <row r="98" spans="1:9" ht="15">
      <c r="A98" s="43" t="str">
        <f>HLOOKUP(INDICE!$F$2,Nombres!$C$3:$D$636,62,FALSE)</f>
        <v>Valores representativos de deuda emitidos</v>
      </c>
      <c r="B98" s="44">
        <v>2281.602113929838</v>
      </c>
      <c r="C98" s="44">
        <v>2208.4592815459328</v>
      </c>
      <c r="D98" s="44">
        <v>2261.3214920165065</v>
      </c>
      <c r="E98" s="45">
        <v>3047.8624056853505</v>
      </c>
      <c r="F98" s="44">
        <v>3194.544296858953</v>
      </c>
      <c r="G98" s="44">
        <v>3732.861468821099</v>
      </c>
      <c r="H98" s="44">
        <v>3378.92576667</v>
      </c>
      <c r="I98" s="44">
        <v>0</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1809.5570177798681</v>
      </c>
      <c r="C100" s="58">
        <f aca="true" t="shared" si="16" ref="C100:H100">+C94-C95-C96-C97-C98-C101</f>
        <v>2103.158226674284</v>
      </c>
      <c r="D100" s="58">
        <f t="shared" si="16"/>
        <v>2127.004114618982</v>
      </c>
      <c r="E100" s="64">
        <f t="shared" si="16"/>
        <v>1824.307924987982</v>
      </c>
      <c r="F100" s="44">
        <f t="shared" si="16"/>
        <v>2715.855417644473</v>
      </c>
      <c r="G100" s="44">
        <f t="shared" si="16"/>
        <v>2892.79163394442</v>
      </c>
      <c r="H100" s="44">
        <f t="shared" si="16"/>
        <v>4849.635648340007</v>
      </c>
      <c r="I100" s="44">
        <f>+I94-I95-I96-I97-I98-I101</f>
        <v>0</v>
      </c>
    </row>
    <row r="101" spans="1:9" ht="15">
      <c r="A101" s="43" t="str">
        <f>HLOOKUP(INDICE!$F$2,Nombres!$C$3:$D$636,282,FALSE)</f>
        <v>Dotación de capital regulatorio</v>
      </c>
      <c r="B101" s="44">
        <v>3466.342659887736</v>
      </c>
      <c r="C101" s="44">
        <v>3487.8466946690028</v>
      </c>
      <c r="D101" s="44">
        <v>3805.2385656406</v>
      </c>
      <c r="E101" s="44">
        <v>4853.131562148057</v>
      </c>
      <c r="F101" s="44">
        <v>5765.115825902777</v>
      </c>
      <c r="G101" s="44">
        <v>6533.338638411038</v>
      </c>
      <c r="H101" s="44">
        <v>6560.89658499</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H106">+B$30</f>
        <v>44286</v>
      </c>
      <c r="C106" s="53">
        <f t="shared" si="17"/>
        <v>44377</v>
      </c>
      <c r="D106" s="53">
        <f t="shared" si="17"/>
        <v>44469</v>
      </c>
      <c r="E106" s="67">
        <f t="shared" si="17"/>
        <v>44561</v>
      </c>
      <c r="F106" s="53">
        <f t="shared" si="17"/>
        <v>44651</v>
      </c>
      <c r="G106" s="53">
        <f t="shared" si="17"/>
        <v>44742</v>
      </c>
      <c r="H106" s="53">
        <f t="shared" si="17"/>
        <v>44834</v>
      </c>
      <c r="I106" s="53">
        <f>+I$30</f>
        <v>44926</v>
      </c>
    </row>
    <row r="107" spans="1:9" ht="15">
      <c r="A107" s="43" t="str">
        <f>HLOOKUP(INDICE!$F$2,Nombres!$C$3:$D$636,66,FALSE)</f>
        <v>Préstamos y anticipos a la clientela bruto (*)</v>
      </c>
      <c r="B107" s="44">
        <v>21116.20852839786</v>
      </c>
      <c r="C107" s="44">
        <v>22364.561607792293</v>
      </c>
      <c r="D107" s="44">
        <v>23545.251113333135</v>
      </c>
      <c r="E107" s="45">
        <v>28177.961949948884</v>
      </c>
      <c r="F107" s="44">
        <v>32258.658499156296</v>
      </c>
      <c r="G107" s="44">
        <v>36163.24038692482</v>
      </c>
      <c r="H107" s="44">
        <v>39072.556</v>
      </c>
      <c r="I107" s="44">
        <v>0</v>
      </c>
    </row>
    <row r="108" spans="1:9" ht="15">
      <c r="A108" s="43" t="str">
        <f>HLOOKUP(INDICE!$F$2,Nombres!$C$3:$D$636,67,FALSE)</f>
        <v>Depósitos de clientes en gestión (**)</v>
      </c>
      <c r="B108" s="44">
        <v>20481.733763275355</v>
      </c>
      <c r="C108" s="44">
        <v>22746.9067713323</v>
      </c>
      <c r="D108" s="44">
        <v>23506.896540570404</v>
      </c>
      <c r="E108" s="45">
        <v>32292.160154192017</v>
      </c>
      <c r="F108" s="44">
        <v>36154.097100365165</v>
      </c>
      <c r="G108" s="44">
        <v>40887.99282723945</v>
      </c>
      <c r="H108" s="44">
        <v>47195.384</v>
      </c>
      <c r="I108" s="44">
        <v>0</v>
      </c>
    </row>
    <row r="109" spans="1:9" ht="15">
      <c r="A109" s="43" t="str">
        <f>HLOOKUP(INDICE!$F$2,Nombres!$C$3:$D$636,68,FALSE)</f>
        <v>Fondos de inversión y carteras gestionadas</v>
      </c>
      <c r="B109" s="44">
        <v>662.861777746737</v>
      </c>
      <c r="C109" s="44">
        <v>829.307511236031</v>
      </c>
      <c r="D109" s="44">
        <v>1126.6665002711486</v>
      </c>
      <c r="E109" s="45">
        <v>1450.3906654338348</v>
      </c>
      <c r="F109" s="44">
        <v>1880.3557535440243</v>
      </c>
      <c r="G109" s="44">
        <v>2221.764101390175</v>
      </c>
      <c r="H109" s="44">
        <v>2667.946</v>
      </c>
      <c r="I109" s="44">
        <v>0</v>
      </c>
    </row>
    <row r="110" spans="1:9" ht="15">
      <c r="A110" s="43" t="str">
        <f>HLOOKUP(INDICE!$F$2,Nombres!$C$3:$D$636,69,FALSE)</f>
        <v>Fondos de pensiones</v>
      </c>
      <c r="B110" s="44">
        <v>1308.9845375164261</v>
      </c>
      <c r="C110" s="44">
        <v>1416.6875316384835</v>
      </c>
      <c r="D110" s="44">
        <v>1472.8245914941403</v>
      </c>
      <c r="E110" s="45">
        <v>1830.3904286479435</v>
      </c>
      <c r="F110" s="44">
        <v>2100.6814974894924</v>
      </c>
      <c r="G110" s="44">
        <v>2495.753637391073</v>
      </c>
      <c r="H110" s="44">
        <v>2902.554</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8" ht="18">
      <c r="A115" s="33" t="str">
        <f>HLOOKUP(INDICE!$F$2,Nombres!$C$3:$D$636,31,FALSE)</f>
        <v>Cuenta de resultados  </v>
      </c>
      <c r="B115" s="34"/>
      <c r="C115" s="34"/>
      <c r="D115" s="34"/>
      <c r="E115" s="34"/>
      <c r="F115" s="34"/>
      <c r="G115" s="34"/>
      <c r="H115" s="34"/>
    </row>
    <row r="116" spans="1:8" ht="15">
      <c r="A116" s="35" t="str">
        <f>HLOOKUP(INDICE!$F$2,Nombres!$C$3:$D$636,77,FALSE)</f>
        <v>(Millones de liras turcas)</v>
      </c>
      <c r="B116" s="30"/>
      <c r="C116" s="36"/>
      <c r="D116" s="36"/>
      <c r="E116" s="36"/>
      <c r="F116" s="30"/>
      <c r="G116" s="30"/>
      <c r="H116" s="30"/>
    </row>
    <row r="117" spans="1:8" ht="15">
      <c r="A117" s="37"/>
      <c r="B117" s="30"/>
      <c r="C117" s="36"/>
      <c r="D117" s="36"/>
      <c r="E117" s="36"/>
      <c r="F117" s="30"/>
      <c r="G117" s="30"/>
      <c r="H117" s="30"/>
    </row>
    <row r="118" spans="1:5" ht="15.75">
      <c r="A118" s="38"/>
      <c r="B118" s="313">
        <f>+B$6</f>
        <v>2021</v>
      </c>
      <c r="C118" s="313"/>
      <c r="D118" s="313"/>
      <c r="E118" s="314"/>
    </row>
    <row r="119" spans="1:8" ht="15.75">
      <c r="A119" s="38"/>
      <c r="B119" s="39" t="str">
        <f>+B$7</f>
        <v>1er Trim.</v>
      </c>
      <c r="C119" s="39" t="str">
        <f aca="true" t="shared" si="18" ref="C119:H119">+C$7</f>
        <v>2º Trim.</v>
      </c>
      <c r="D119" s="39" t="str">
        <f t="shared" si="18"/>
        <v>3er Trim.</v>
      </c>
      <c r="E119" s="40" t="str">
        <f t="shared" si="18"/>
        <v>4º Trim.</v>
      </c>
      <c r="F119" s="39" t="str">
        <f t="shared" si="18"/>
        <v>1er Trim.</v>
      </c>
      <c r="G119" s="39" t="str">
        <f t="shared" si="18"/>
        <v>2º Trim.</v>
      </c>
      <c r="H119" s="39" t="str">
        <f t="shared" si="18"/>
        <v>3er Trim.</v>
      </c>
    </row>
    <row r="120" spans="1:9" ht="15">
      <c r="A120" s="41" t="str">
        <f>HLOOKUP(INDICE!$F$2,Nombres!$C$3:$D$636,33,FALSE)</f>
        <v>Margen de intereses</v>
      </c>
      <c r="B120" s="41">
        <v>4721.452565633921</v>
      </c>
      <c r="C120" s="41">
        <v>5146.425546600154</v>
      </c>
      <c r="D120" s="41">
        <v>6161.864859102583</v>
      </c>
      <c r="E120" s="42">
        <v>8873.607861649794</v>
      </c>
      <c r="F120" s="50">
        <v>8085.936720550397</v>
      </c>
      <c r="G120" s="50">
        <v>12060.242159363977</v>
      </c>
      <c r="H120" s="50">
        <v>15579.34043331106</v>
      </c>
      <c r="I120" s="81"/>
    </row>
    <row r="121" spans="1:9" ht="15">
      <c r="A121" s="43" t="str">
        <f>HLOOKUP(INDICE!$F$2,Nombres!$C$3:$D$636,34,FALSE)</f>
        <v>Comisiones netas</v>
      </c>
      <c r="B121" s="44">
        <v>1376.5750852737165</v>
      </c>
      <c r="C121" s="44">
        <v>1452.243876657029</v>
      </c>
      <c r="D121" s="44">
        <v>1471.8544436189177</v>
      </c>
      <c r="E121" s="45">
        <v>1629.5378759638174</v>
      </c>
      <c r="F121" s="44">
        <v>2163.461765440714</v>
      </c>
      <c r="G121" s="44">
        <v>2941.0025171011393</v>
      </c>
      <c r="H121" s="44">
        <v>3072.659377097792</v>
      </c>
      <c r="I121" s="81"/>
    </row>
    <row r="122" spans="1:9" ht="15">
      <c r="A122" s="43" t="str">
        <f>HLOOKUP(INDICE!$F$2,Nombres!$C$3:$D$636,35,FALSE)</f>
        <v>Resultados de operaciones financieras</v>
      </c>
      <c r="B122" s="44">
        <v>1120.1272270976117</v>
      </c>
      <c r="C122" s="44">
        <v>590.8432285570483</v>
      </c>
      <c r="D122" s="44">
        <v>607.4327596606674</v>
      </c>
      <c r="E122" s="45">
        <v>2023.7445483959646</v>
      </c>
      <c r="F122" s="44">
        <v>2848.051069104657</v>
      </c>
      <c r="G122" s="44">
        <v>3995.4554029250994</v>
      </c>
      <c r="H122" s="44">
        <v>3849.8388565604087</v>
      </c>
      <c r="I122" s="81"/>
    </row>
    <row r="123" spans="1:9" ht="15">
      <c r="A123" s="43" t="str">
        <f>HLOOKUP(INDICE!$F$2,Nombres!$C$3:$D$636,36,FALSE)</f>
        <v>Otros ingresos y cargas de explotación</v>
      </c>
      <c r="B123" s="44">
        <v>217.89687296008864</v>
      </c>
      <c r="C123" s="44">
        <v>337.80854934632384</v>
      </c>
      <c r="D123" s="44">
        <v>232.11667300202782</v>
      </c>
      <c r="E123" s="45">
        <v>-8.898940966899346</v>
      </c>
      <c r="F123" s="44">
        <v>-4903.33323367084</v>
      </c>
      <c r="G123" s="44">
        <v>-3941.7476601943977</v>
      </c>
      <c r="H123" s="44">
        <v>-3121.9637764208246</v>
      </c>
      <c r="I123" s="81"/>
    </row>
    <row r="124" spans="1:9" ht="15">
      <c r="A124" s="41" t="str">
        <f>HLOOKUP(INDICE!$F$2,Nombres!$C$3:$D$636,37,FALSE)</f>
        <v>Margen bruto</v>
      </c>
      <c r="B124" s="41">
        <f>+SUM(B120:B123)</f>
        <v>7436.051750965337</v>
      </c>
      <c r="C124" s="41">
        <f aca="true" t="shared" si="19" ref="C124:H124">+SUM(C120:C123)</f>
        <v>7527.321201160555</v>
      </c>
      <c r="D124" s="41">
        <f t="shared" si="19"/>
        <v>8473.268735384197</v>
      </c>
      <c r="E124" s="42">
        <f t="shared" si="19"/>
        <v>12517.991345042677</v>
      </c>
      <c r="F124" s="50">
        <f t="shared" si="19"/>
        <v>8194.116321424928</v>
      </c>
      <c r="G124" s="50">
        <f t="shared" si="19"/>
        <v>15054.95241919582</v>
      </c>
      <c r="H124" s="50">
        <f t="shared" si="19"/>
        <v>19379.874890548435</v>
      </c>
      <c r="I124" s="81"/>
    </row>
    <row r="125" spans="1:9" ht="15">
      <c r="A125" s="43" t="str">
        <f>HLOOKUP(INDICE!$F$2,Nombres!$C$3:$D$636,38,FALSE)</f>
        <v>Gastos de explotación</v>
      </c>
      <c r="B125" s="44">
        <v>-2365.2354619250873</v>
      </c>
      <c r="C125" s="44">
        <v>-2389.089755461043</v>
      </c>
      <c r="D125" s="44">
        <v>-2382.151977315596</v>
      </c>
      <c r="E125" s="45">
        <v>-3472.245387374105</v>
      </c>
      <c r="F125" s="44">
        <v>-3894.4519147851233</v>
      </c>
      <c r="G125" s="44">
        <v>-4762.465252783437</v>
      </c>
      <c r="H125" s="44">
        <v>-5634.348832526335</v>
      </c>
      <c r="I125" s="81"/>
    </row>
    <row r="126" spans="1:9" ht="15">
      <c r="A126" s="43" t="str">
        <f>HLOOKUP(INDICE!$F$2,Nombres!$C$3:$D$636,39,FALSE)</f>
        <v>  Gastos de administración</v>
      </c>
      <c r="B126" s="44">
        <v>-2064.129247350116</v>
      </c>
      <c r="C126" s="44">
        <v>-2084.6363538483924</v>
      </c>
      <c r="D126" s="44">
        <v>-2070.078871715924</v>
      </c>
      <c r="E126" s="45">
        <v>-3146.1595858550645</v>
      </c>
      <c r="F126" s="44">
        <v>-3417.0870851737423</v>
      </c>
      <c r="G126" s="44">
        <v>-4135.447905544015</v>
      </c>
      <c r="H126" s="44">
        <v>-5002.800906700932</v>
      </c>
      <c r="I126" s="81"/>
    </row>
    <row r="127" spans="1:9" ht="15">
      <c r="A127" s="46" t="str">
        <f>HLOOKUP(INDICE!$F$2,Nombres!$C$3:$D$636,40,FALSE)</f>
        <v>  Gastos de personal</v>
      </c>
      <c r="B127" s="44">
        <v>-1264.9005224716536</v>
      </c>
      <c r="C127" s="44">
        <v>-1416.4184539172606</v>
      </c>
      <c r="D127" s="44">
        <v>-1408.8143208777228</v>
      </c>
      <c r="E127" s="45">
        <v>-2142.9759672857167</v>
      </c>
      <c r="F127" s="44">
        <v>-2141.9412056218252</v>
      </c>
      <c r="G127" s="44">
        <v>-2708.592429766045</v>
      </c>
      <c r="H127" s="44">
        <v>-3355.775146148556</v>
      </c>
      <c r="I127" s="81"/>
    </row>
    <row r="128" spans="1:9" ht="15">
      <c r="A128" s="46" t="str">
        <f>HLOOKUP(INDICE!$F$2,Nombres!$C$3:$D$636,41,FALSE)</f>
        <v>  Otros gastos de administración</v>
      </c>
      <c r="B128" s="44">
        <v>-799.2287248784631</v>
      </c>
      <c r="C128" s="44">
        <v>-668.2178999311319</v>
      </c>
      <c r="D128" s="44">
        <v>-661.2645508382009</v>
      </c>
      <c r="E128" s="45">
        <v>-1003.1836185693477</v>
      </c>
      <c r="F128" s="44">
        <v>-1275.1458795519172</v>
      </c>
      <c r="G128" s="44">
        <v>-1426.855475777971</v>
      </c>
      <c r="H128" s="44">
        <v>-1647.0257605523764</v>
      </c>
      <c r="I128" s="81"/>
    </row>
    <row r="129" spans="1:9" ht="15">
      <c r="A129" s="43" t="str">
        <f>HLOOKUP(INDICE!$F$2,Nombres!$C$3:$D$636,42,FALSE)</f>
        <v>  Amortización</v>
      </c>
      <c r="B129" s="44">
        <v>-301.10621457497064</v>
      </c>
      <c r="C129" s="44">
        <v>-304.4534016126509</v>
      </c>
      <c r="D129" s="44">
        <v>-312.07310559967175</v>
      </c>
      <c r="E129" s="45">
        <v>-326.085801519041</v>
      </c>
      <c r="F129" s="44">
        <v>-477.3648296113805</v>
      </c>
      <c r="G129" s="44">
        <v>-627.0173472394213</v>
      </c>
      <c r="H129" s="44">
        <v>-631.5479258254034</v>
      </c>
      <c r="I129" s="81"/>
    </row>
    <row r="130" spans="1:9" ht="15">
      <c r="A130" s="41" t="str">
        <f>HLOOKUP(INDICE!$F$2,Nombres!$C$3:$D$636,43,FALSE)</f>
        <v>Margen neto</v>
      </c>
      <c r="B130" s="41">
        <f>+B124+B125</f>
        <v>5070.81628904025</v>
      </c>
      <c r="C130" s="41">
        <f aca="true" t="shared" si="20" ref="C130:H130">+C124+C125</f>
        <v>5138.231445699512</v>
      </c>
      <c r="D130" s="41">
        <f t="shared" si="20"/>
        <v>6091.1167580686015</v>
      </c>
      <c r="E130" s="42">
        <f t="shared" si="20"/>
        <v>9045.745957668572</v>
      </c>
      <c r="F130" s="50">
        <f t="shared" si="20"/>
        <v>4299.664406639805</v>
      </c>
      <c r="G130" s="50">
        <f t="shared" si="20"/>
        <v>10292.487166412384</v>
      </c>
      <c r="H130" s="50">
        <f t="shared" si="20"/>
        <v>13745.5260580221</v>
      </c>
      <c r="I130" s="81"/>
    </row>
    <row r="131" spans="1:9" ht="15">
      <c r="A131" s="43" t="str">
        <f>HLOOKUP(INDICE!$F$2,Nombres!$C$3:$D$636,44,FALSE)</f>
        <v>Deterioro de activos financieros no valorados a valor razonable con cambios en resultados</v>
      </c>
      <c r="B131" s="44">
        <v>-1095.190338649602</v>
      </c>
      <c r="C131" s="44">
        <v>-502.587741870872</v>
      </c>
      <c r="D131" s="44">
        <v>-683.1939486063164</v>
      </c>
      <c r="E131" s="45">
        <v>-2910.829852269021</v>
      </c>
      <c r="F131" s="44">
        <v>-1561.1632061397295</v>
      </c>
      <c r="G131" s="44">
        <v>-1407.0307820463956</v>
      </c>
      <c r="H131" s="44">
        <v>-2182.7725514235135</v>
      </c>
      <c r="I131" s="81"/>
    </row>
    <row r="132" spans="1:9" ht="15">
      <c r="A132" s="43" t="str">
        <f>HLOOKUP(INDICE!$F$2,Nombres!$C$3:$D$636,45,FALSE)</f>
        <v>Provisiones o reversión de provisiones y otros resultados</v>
      </c>
      <c r="B132" s="44">
        <v>310.35147904012643</v>
      </c>
      <c r="C132" s="44">
        <v>143.16082745784246</v>
      </c>
      <c r="D132" s="44">
        <v>121.93756813943114</v>
      </c>
      <c r="E132" s="45">
        <v>-224.5267960385086</v>
      </c>
      <c r="F132" s="44">
        <v>-176.2233330631111</v>
      </c>
      <c r="G132" s="44">
        <v>-413.1230729394514</v>
      </c>
      <c r="H132" s="44">
        <v>-697.1202998046298</v>
      </c>
      <c r="I132" s="81"/>
    </row>
    <row r="133" spans="1:9" ht="15">
      <c r="A133" s="41" t="str">
        <f>HLOOKUP(INDICE!$F$2,Nombres!$C$3:$D$636,46,FALSE)</f>
        <v>Resultado antes de impuestos</v>
      </c>
      <c r="B133" s="41">
        <f>+B130+B131+B132</f>
        <v>4285.9774294307745</v>
      </c>
      <c r="C133" s="41">
        <f aca="true" t="shared" si="21" ref="C133:H133">+C130+C131+C132</f>
        <v>4778.8045312864815</v>
      </c>
      <c r="D133" s="41">
        <f t="shared" si="21"/>
        <v>5529.860377601716</v>
      </c>
      <c r="E133" s="42">
        <f t="shared" si="21"/>
        <v>5910.389309361042</v>
      </c>
      <c r="F133" s="50">
        <f t="shared" si="21"/>
        <v>2562.2778674369642</v>
      </c>
      <c r="G133" s="50">
        <f t="shared" si="21"/>
        <v>8472.333311426537</v>
      </c>
      <c r="H133" s="50">
        <f t="shared" si="21"/>
        <v>10865.633206793957</v>
      </c>
      <c r="I133" s="81"/>
    </row>
    <row r="134" spans="1:9" ht="15">
      <c r="A134" s="43" t="str">
        <f>HLOOKUP(INDICE!$F$2,Nombres!$C$3:$D$636,47,FALSE)</f>
        <v>Impuesto sobre beneficios</v>
      </c>
      <c r="B134" s="44">
        <v>-836.2712666569346</v>
      </c>
      <c r="C134" s="44">
        <v>-824.0213365066566</v>
      </c>
      <c r="D134" s="44">
        <v>-1472.070760691771</v>
      </c>
      <c r="E134" s="45">
        <v>-1646.1564333006968</v>
      </c>
      <c r="F134" s="44">
        <v>-5025.122443033179</v>
      </c>
      <c r="G134" s="44">
        <v>-5988.89822149401</v>
      </c>
      <c r="H134" s="44">
        <v>-5107.909716022462</v>
      </c>
      <c r="I134" s="81"/>
    </row>
    <row r="135" spans="1:9" ht="15">
      <c r="A135" s="41" t="str">
        <f>HLOOKUP(INDICE!$F$2,Nombres!$C$3:$D$636,48,FALSE)</f>
        <v>Resultado del ejercicio</v>
      </c>
      <c r="B135" s="41">
        <f>+B133+B134</f>
        <v>3449.70616277384</v>
      </c>
      <c r="C135" s="41">
        <f aca="true" t="shared" si="22" ref="C135:H135">+C133+C134</f>
        <v>3954.783194779825</v>
      </c>
      <c r="D135" s="41">
        <f t="shared" si="22"/>
        <v>4057.789616909945</v>
      </c>
      <c r="E135" s="42">
        <f t="shared" si="22"/>
        <v>4264.232876060345</v>
      </c>
      <c r="F135" s="50">
        <f t="shared" si="22"/>
        <v>-2462.8445755962143</v>
      </c>
      <c r="G135" s="50">
        <f t="shared" si="22"/>
        <v>2483.4350899325273</v>
      </c>
      <c r="H135" s="50">
        <f t="shared" si="22"/>
        <v>5757.723490771495</v>
      </c>
      <c r="I135" s="81"/>
    </row>
    <row r="136" spans="1:9" ht="15">
      <c r="A136" s="43" t="str">
        <f>HLOOKUP(INDICE!$F$2,Nombres!$C$3:$D$636,49,FALSE)</f>
        <v>Minoritarios</v>
      </c>
      <c r="B136" s="44">
        <v>-1749.6566131595564</v>
      </c>
      <c r="C136" s="44">
        <v>-2000.966918407959</v>
      </c>
      <c r="D136" s="44">
        <v>-2053.793173222254</v>
      </c>
      <c r="E136" s="45">
        <v>-2161.1274189240844</v>
      </c>
      <c r="F136" s="44">
        <v>1237.5036469020229</v>
      </c>
      <c r="G136" s="44">
        <v>-192.3114887242574</v>
      </c>
      <c r="H136" s="44">
        <v>-746.4609115419806</v>
      </c>
      <c r="I136" s="81"/>
    </row>
    <row r="137" spans="1:9" ht="15">
      <c r="A137" s="47" t="str">
        <f>HLOOKUP(INDICE!$F$2,Nombres!$C$3:$D$636,50,FALSE)</f>
        <v>Resultado atribuido</v>
      </c>
      <c r="B137" s="47">
        <f>+B135+B136</f>
        <v>1700.0495496142835</v>
      </c>
      <c r="C137" s="47">
        <f aca="true" t="shared" si="23" ref="C137:H137">+C135+C136</f>
        <v>1953.816276371866</v>
      </c>
      <c r="D137" s="47">
        <f t="shared" si="23"/>
        <v>2003.9964436876908</v>
      </c>
      <c r="E137" s="47">
        <f t="shared" si="23"/>
        <v>2103.1054571362606</v>
      </c>
      <c r="F137" s="51">
        <f t="shared" si="23"/>
        <v>-1225.3409286941915</v>
      </c>
      <c r="G137" s="51">
        <f t="shared" si="23"/>
        <v>2291.12360120827</v>
      </c>
      <c r="H137" s="51">
        <f t="shared" si="23"/>
        <v>5011.262579229514</v>
      </c>
      <c r="I137" s="81"/>
    </row>
    <row r="138" spans="1:9" ht="15">
      <c r="A138" s="62"/>
      <c r="B138" s="63">
        <v>0</v>
      </c>
      <c r="C138" s="63">
        <v>0</v>
      </c>
      <c r="D138" s="63">
        <v>1.8189894035458565E-12</v>
      </c>
      <c r="E138" s="63">
        <v>0</v>
      </c>
      <c r="F138" s="63">
        <v>0</v>
      </c>
      <c r="G138" s="63">
        <v>4.547473508864641E-12</v>
      </c>
      <c r="H138" s="63">
        <v>0</v>
      </c>
      <c r="I138" s="81"/>
    </row>
    <row r="139" spans="1:9" ht="15">
      <c r="A139" s="41"/>
      <c r="B139" s="41"/>
      <c r="C139" s="41"/>
      <c r="D139" s="41"/>
      <c r="E139" s="41"/>
      <c r="F139" s="50"/>
      <c r="G139" s="50"/>
      <c r="H139" s="50"/>
      <c r="I139" s="81"/>
    </row>
    <row r="140" spans="1:9" ht="18">
      <c r="A140" s="33" t="str">
        <f>HLOOKUP(INDICE!$F$2,Nombres!$C$3:$D$636,51,FALSE)</f>
        <v>Balances</v>
      </c>
      <c r="B140" s="34"/>
      <c r="C140" s="34"/>
      <c r="D140" s="34"/>
      <c r="E140" s="34"/>
      <c r="F140" s="68"/>
      <c r="G140" s="68"/>
      <c r="H140" s="68"/>
      <c r="I140" s="81"/>
    </row>
    <row r="141" spans="1:9" ht="15">
      <c r="A141" s="35" t="str">
        <f>HLOOKUP(INDICE!$F$2,Nombres!$C$3:$D$636,77,FALSE)</f>
        <v>(Millones de liras turcas)</v>
      </c>
      <c r="B141" s="30"/>
      <c r="C141" s="52"/>
      <c r="D141" s="52"/>
      <c r="E141" s="52"/>
      <c r="F141" s="69"/>
      <c r="G141" s="44"/>
      <c r="H141" s="44"/>
      <c r="I141" s="81"/>
    </row>
    <row r="142" spans="1:9" ht="15.75">
      <c r="A142" s="30"/>
      <c r="B142" s="53">
        <f aca="true" t="shared" si="24" ref="B142:H142">+B$30</f>
        <v>44286</v>
      </c>
      <c r="C142" s="53">
        <f t="shared" si="24"/>
        <v>44377</v>
      </c>
      <c r="D142" s="53">
        <f t="shared" si="24"/>
        <v>44469</v>
      </c>
      <c r="E142" s="67">
        <f t="shared" si="24"/>
        <v>44561</v>
      </c>
      <c r="F142" s="53">
        <f t="shared" si="24"/>
        <v>44651</v>
      </c>
      <c r="G142" s="53">
        <f t="shared" si="24"/>
        <v>44742</v>
      </c>
      <c r="H142" s="53">
        <f t="shared" si="24"/>
        <v>44834</v>
      </c>
      <c r="I142" s="81"/>
    </row>
    <row r="143" spans="1:9" ht="15">
      <c r="A143" s="43" t="str">
        <f>HLOOKUP(INDICE!$F$2,Nombres!$C$3:$D$636,52,FALSE)</f>
        <v>Efectivo, saldos en efectivo en bancos centrales y otros depósitos a la vista</v>
      </c>
      <c r="B143" s="44">
        <v>64984.91042509099</v>
      </c>
      <c r="C143" s="44">
        <v>68702.7686001253</v>
      </c>
      <c r="D143" s="44">
        <v>64440.53581791313</v>
      </c>
      <c r="E143" s="45">
        <v>118269.6492641332</v>
      </c>
      <c r="F143" s="44">
        <v>129059.66450961103</v>
      </c>
      <c r="G143" s="44">
        <v>139457.27407260638</v>
      </c>
      <c r="H143" s="44">
        <v>146660.02558161994</v>
      </c>
      <c r="I143" s="81"/>
    </row>
    <row r="144" spans="1:9" ht="15">
      <c r="A144" s="43" t="str">
        <f>HLOOKUP(INDICE!$F$2,Nombres!$C$3:$D$636,53,FALSE)</f>
        <v>Activos financieros a valor razonable</v>
      </c>
      <c r="B144" s="58">
        <v>53411.09067507478</v>
      </c>
      <c r="C144" s="58">
        <v>53189.59345109702</v>
      </c>
      <c r="D144" s="58">
        <v>55787.05268598451</v>
      </c>
      <c r="E144" s="64">
        <v>80575.2065902501</v>
      </c>
      <c r="F144" s="44">
        <v>84302.84570493786</v>
      </c>
      <c r="G144" s="44">
        <v>96971.34484242162</v>
      </c>
      <c r="H144" s="44">
        <v>100506.5270094619</v>
      </c>
      <c r="I144" s="81"/>
    </row>
    <row r="145" spans="1:9" ht="15">
      <c r="A145" s="43" t="str">
        <f>HLOOKUP(INDICE!$F$2,Nombres!$C$3:$D$636,54,FALSE)</f>
        <v>Activos financieros a coste amortizado</v>
      </c>
      <c r="B145" s="44">
        <v>434057.1892506077</v>
      </c>
      <c r="C145" s="44">
        <v>469686.8604438566</v>
      </c>
      <c r="D145" s="44">
        <v>493210.6106176312</v>
      </c>
      <c r="E145" s="45">
        <v>632859.3357850373</v>
      </c>
      <c r="F145" s="44">
        <v>716521.0105001717</v>
      </c>
      <c r="G145" s="44">
        <v>837728.6599656425</v>
      </c>
      <c r="H145" s="44">
        <v>940374.7190696573</v>
      </c>
      <c r="I145" s="81"/>
    </row>
    <row r="146" spans="1:9" ht="15">
      <c r="A146" s="43" t="str">
        <f>HLOOKUP(INDICE!$F$2,Nombres!$C$3:$D$636,55,FALSE)</f>
        <v>    de los que préstamos y anticipos a la clientela</v>
      </c>
      <c r="B146" s="44">
        <v>358449.2431505018</v>
      </c>
      <c r="C146" s="44">
        <v>380960.123644695</v>
      </c>
      <c r="D146" s="44">
        <v>400935.30941532605</v>
      </c>
      <c r="E146" s="45">
        <v>478547.54542451585</v>
      </c>
      <c r="F146" s="44">
        <v>549141.555385598</v>
      </c>
      <c r="G146" s="44">
        <v>616833.4059746821</v>
      </c>
      <c r="H146" s="44">
        <v>667268.6589522304</v>
      </c>
      <c r="I146" s="81"/>
    </row>
    <row r="147" spans="1:9" ht="15" customHeight="1" hidden="1">
      <c r="A147" s="43"/>
      <c r="B147" s="44"/>
      <c r="C147" s="44"/>
      <c r="D147" s="44"/>
      <c r="E147" s="45"/>
      <c r="F147" s="44"/>
      <c r="G147" s="44"/>
      <c r="H147" s="44"/>
      <c r="I147" s="81"/>
    </row>
    <row r="148" spans="1:9" ht="15">
      <c r="A148" s="43" t="str">
        <f>HLOOKUP(INDICE!$F$2,Nombres!$C$3:$D$636,56,FALSE)</f>
        <v>Activos tangibles</v>
      </c>
      <c r="B148" s="44">
        <v>8472.838175011862</v>
      </c>
      <c r="C148" s="44">
        <v>8403.275632015326</v>
      </c>
      <c r="D148" s="44">
        <v>8766.525375628993</v>
      </c>
      <c r="E148" s="45">
        <v>9494.522610970555</v>
      </c>
      <c r="F148" s="44">
        <v>14000.758994822892</v>
      </c>
      <c r="G148" s="44">
        <v>15957.303552069381</v>
      </c>
      <c r="H148" s="44">
        <v>17369.199358897105</v>
      </c>
      <c r="I148" s="81"/>
    </row>
    <row r="149" spans="1:9" ht="15">
      <c r="A149" s="43" t="str">
        <f>HLOOKUP(INDICE!$F$2,Nombres!$C$3:$D$636,57,FALSE)</f>
        <v>Otros activos</v>
      </c>
      <c r="B149" s="58">
        <f>+B150-B148-B145-B144-B143</f>
        <v>11641.81695001648</v>
      </c>
      <c r="C149" s="58">
        <f aca="true" t="shared" si="25" ref="C149:H149">+C150-C148-C145-C144-C143</f>
        <v>11468.086261020711</v>
      </c>
      <c r="D149" s="58">
        <f t="shared" si="25"/>
        <v>11632.17798033492</v>
      </c>
      <c r="E149" s="64">
        <f t="shared" si="25"/>
        <v>15608.289800451501</v>
      </c>
      <c r="F149" s="44">
        <f t="shared" si="25"/>
        <v>16250.386692026514</v>
      </c>
      <c r="G149" s="44">
        <f t="shared" si="25"/>
        <v>20240.046806402446</v>
      </c>
      <c r="H149" s="44">
        <f t="shared" si="25"/>
        <v>32122.605989179807</v>
      </c>
      <c r="I149" s="81"/>
    </row>
    <row r="150" spans="1:9" ht="15">
      <c r="A150" s="47" t="str">
        <f>HLOOKUP(INDICE!$F$2,Nombres!$C$3:$D$636,58,FALSE)</f>
        <v>Total activo / pasivo</v>
      </c>
      <c r="B150" s="47">
        <v>572567.8454758018</v>
      </c>
      <c r="C150" s="47">
        <v>611450.584388115</v>
      </c>
      <c r="D150" s="47">
        <v>633836.9024774927</v>
      </c>
      <c r="E150" s="70">
        <v>856807.0040508426</v>
      </c>
      <c r="F150" s="51">
        <v>960134.66640157</v>
      </c>
      <c r="G150" s="51">
        <v>1110354.6292391424</v>
      </c>
      <c r="H150" s="51">
        <v>1237033.077008816</v>
      </c>
      <c r="I150" s="81"/>
    </row>
    <row r="151" spans="1:9" ht="15">
      <c r="A151" s="43" t="str">
        <f>HLOOKUP(INDICE!$F$2,Nombres!$C$3:$D$636,59,FALSE)</f>
        <v>Pasivos financieros mantenidos para negociar y designados a valor razonable con cambios en resultados</v>
      </c>
      <c r="B151" s="58">
        <v>20049.71157502807</v>
      </c>
      <c r="C151" s="58">
        <v>20328.40673603707</v>
      </c>
      <c r="D151" s="58">
        <v>20582.83306626808</v>
      </c>
      <c r="E151" s="64">
        <v>34607.25203089266</v>
      </c>
      <c r="F151" s="44">
        <v>35790.48184065852</v>
      </c>
      <c r="G151" s="44">
        <v>41242.763934179326</v>
      </c>
      <c r="H151" s="44">
        <v>43726.86552954446</v>
      </c>
      <c r="I151" s="81"/>
    </row>
    <row r="152" spans="1:9" ht="15">
      <c r="A152" s="43" t="str">
        <f>HLOOKUP(INDICE!$F$2,Nombres!$C$3:$D$636,60,FALSE)</f>
        <v>Depósitos de bancos centrales y entidades de crédito</v>
      </c>
      <c r="B152" s="58">
        <v>45429.71510006361</v>
      </c>
      <c r="C152" s="58">
        <v>38696.79364607059</v>
      </c>
      <c r="D152" s="58">
        <v>39956.44263433215</v>
      </c>
      <c r="E152" s="64">
        <v>62255.5822923069</v>
      </c>
      <c r="F152" s="44">
        <v>59876.70912539791</v>
      </c>
      <c r="G152" s="44">
        <v>91926.7453923997</v>
      </c>
      <c r="H152" s="44">
        <v>72325.40486760435</v>
      </c>
      <c r="I152" s="81"/>
    </row>
    <row r="153" spans="1:9" ht="15">
      <c r="A153" s="43" t="str">
        <f>HLOOKUP(INDICE!$F$2,Nombres!$C$3:$D$636,61,FALSE)</f>
        <v>Depósitos de la clientela</v>
      </c>
      <c r="B153" s="58">
        <v>370417.8006505186</v>
      </c>
      <c r="C153" s="58">
        <v>411379.0934137504</v>
      </c>
      <c r="D153" s="58">
        <v>425124.392928206</v>
      </c>
      <c r="E153" s="64">
        <v>584070.8377666885</v>
      </c>
      <c r="F153" s="44">
        <v>653843.2247411691</v>
      </c>
      <c r="G153" s="44">
        <v>739448.7246332152</v>
      </c>
      <c r="H153" s="44">
        <v>853526.769192372</v>
      </c>
      <c r="I153" s="81"/>
    </row>
    <row r="154" spans="1:9" ht="15">
      <c r="A154" s="43" t="str">
        <f>HLOOKUP(INDICE!$F$2,Nombres!$C$3:$D$636,62,FALSE)</f>
        <v>Valores representativos de deuda emitidos</v>
      </c>
      <c r="B154" s="44">
        <v>41260.72078874927</v>
      </c>
      <c r="C154" s="44">
        <v>39937.99849362808</v>
      </c>
      <c r="D154" s="44">
        <v>40893.96399400432</v>
      </c>
      <c r="E154" s="45">
        <v>55117.8485309626</v>
      </c>
      <c r="F154" s="44">
        <v>57770.458519149965</v>
      </c>
      <c r="G154" s="44">
        <v>67505.44008868505</v>
      </c>
      <c r="H154" s="44">
        <v>61104.83145737857</v>
      </c>
      <c r="I154" s="81"/>
    </row>
    <row r="155" spans="1:9" ht="15" customHeight="1" hidden="1">
      <c r="A155" s="43"/>
      <c r="B155" s="44"/>
      <c r="C155" s="44"/>
      <c r="D155" s="44"/>
      <c r="E155" s="45"/>
      <c r="F155" s="44"/>
      <c r="G155" s="44"/>
      <c r="H155" s="44"/>
      <c r="I155" s="81"/>
    </row>
    <row r="156" spans="1:9" ht="15.75" customHeight="1">
      <c r="A156" s="43" t="str">
        <f>HLOOKUP(INDICE!$F$2,Nombres!$C$3:$D$636,63,FALSE)</f>
        <v>Otros pasivos</v>
      </c>
      <c r="B156" s="58">
        <f>+B150-B151-B152-B153-B154-B157</f>
        <v>32724.210065416075</v>
      </c>
      <c r="C156" s="58">
        <f aca="true" t="shared" si="26" ref="C156:H156">+C150-C151-C152-C153-C154-C157</f>
        <v>38033.72368721239</v>
      </c>
      <c r="D156" s="58">
        <f t="shared" si="26"/>
        <v>38464.95510939622</v>
      </c>
      <c r="E156" s="64">
        <f t="shared" si="26"/>
        <v>32990.96694645952</v>
      </c>
      <c r="F156" s="44">
        <f t="shared" si="26"/>
        <v>48596.86106740314</v>
      </c>
      <c r="G156" s="44">
        <f t="shared" si="26"/>
        <v>52081.405919113575</v>
      </c>
      <c r="H156" s="44">
        <f t="shared" si="26"/>
        <v>87701.29602863561</v>
      </c>
      <c r="I156" s="81"/>
    </row>
    <row r="157" spans="1:9" ht="15.75" customHeight="1">
      <c r="A157" s="43" t="str">
        <f>HLOOKUP(INDICE!$F$2,Nombres!$C$3:$D$636,282,FALSE)</f>
        <v>Dotación de capital regulatorio</v>
      </c>
      <c r="B157" s="44">
        <v>62685.68729602627</v>
      </c>
      <c r="C157" s="44">
        <v>63074.568411416345</v>
      </c>
      <c r="D157" s="44">
        <v>68814.3147452859</v>
      </c>
      <c r="E157" s="44">
        <v>87764.51648353235</v>
      </c>
      <c r="F157" s="44">
        <v>104256.93110779129</v>
      </c>
      <c r="G157" s="44">
        <v>118149.54927154962</v>
      </c>
      <c r="H157" s="44">
        <v>118647.90993328099</v>
      </c>
      <c r="I157" s="81"/>
    </row>
    <row r="158" spans="1:9" ht="15.75" customHeight="1">
      <c r="A158" s="62"/>
      <c r="B158" s="58"/>
      <c r="C158" s="58"/>
      <c r="D158" s="58"/>
      <c r="E158" s="58"/>
      <c r="F158" s="44"/>
      <c r="G158" s="44"/>
      <c r="H158" s="44"/>
      <c r="I158" s="81"/>
    </row>
    <row r="159" spans="1:9" ht="15.75" customHeight="1">
      <c r="A159" s="43"/>
      <c r="B159" s="58"/>
      <c r="C159" s="58"/>
      <c r="D159" s="58"/>
      <c r="E159" s="58"/>
      <c r="F159" s="44"/>
      <c r="G159" s="44"/>
      <c r="H159" s="44"/>
      <c r="I159" s="81"/>
    </row>
    <row r="160" spans="1:9" ht="15.75" customHeight="1">
      <c r="A160" s="33" t="str">
        <f>HLOOKUP(INDICE!$F$2,Nombres!$C$3:$D$636,65,FALSE)</f>
        <v>Indicadores relevantes y de gestión</v>
      </c>
      <c r="B160" s="34"/>
      <c r="C160" s="34"/>
      <c r="D160" s="34"/>
      <c r="E160" s="34"/>
      <c r="F160" s="68"/>
      <c r="G160" s="68"/>
      <c r="H160" s="68"/>
      <c r="I160" s="81"/>
    </row>
    <row r="161" spans="1:9" ht="15">
      <c r="A161" s="35" t="str">
        <f>HLOOKUP(INDICE!$F$2,Nombres!$C$3:$D$636,77,FALSE)</f>
        <v>(Millones de liras turcas)</v>
      </c>
      <c r="B161" s="30"/>
      <c r="C161" s="30"/>
      <c r="D161" s="30"/>
      <c r="E161" s="30"/>
      <c r="F161" s="69"/>
      <c r="G161" s="44"/>
      <c r="H161" s="44"/>
      <c r="I161" s="81"/>
    </row>
    <row r="162" spans="1:9" ht="15.75">
      <c r="A162" s="30"/>
      <c r="B162" s="53">
        <f aca="true" t="shared" si="27" ref="B162:H162">+B$30</f>
        <v>44286</v>
      </c>
      <c r="C162" s="53">
        <f t="shared" si="27"/>
        <v>44377</v>
      </c>
      <c r="D162" s="53">
        <f t="shared" si="27"/>
        <v>44469</v>
      </c>
      <c r="E162" s="67">
        <f t="shared" si="27"/>
        <v>44561</v>
      </c>
      <c r="F162" s="53">
        <f t="shared" si="27"/>
        <v>44651</v>
      </c>
      <c r="G162" s="53">
        <f t="shared" si="27"/>
        <v>44742</v>
      </c>
      <c r="H162" s="53">
        <f t="shared" si="27"/>
        <v>44834</v>
      </c>
      <c r="I162" s="81"/>
    </row>
    <row r="163" spans="1:9" ht="15">
      <c r="A163" s="43" t="str">
        <f>HLOOKUP(INDICE!$F$2,Nombres!$C$3:$D$636,66,FALSE)</f>
        <v>Préstamos y anticipos a la clientela bruto (*)</v>
      </c>
      <c r="B163" s="44">
        <v>381867.6266505346</v>
      </c>
      <c r="C163" s="44">
        <v>404442.9685737377</v>
      </c>
      <c r="D163" s="44">
        <v>425794.67566100816</v>
      </c>
      <c r="E163" s="45">
        <v>509573.0817019196</v>
      </c>
      <c r="F163" s="44">
        <v>583368.8061678539</v>
      </c>
      <c r="G163" s="44">
        <v>653979.6554848434</v>
      </c>
      <c r="H163" s="44">
        <v>706592.0099635504</v>
      </c>
      <c r="I163" s="81"/>
    </row>
    <row r="164" spans="1:9" ht="15">
      <c r="A164" s="43" t="str">
        <f>HLOOKUP(INDICE!$F$2,Nombres!$C$3:$D$636,67,FALSE)</f>
        <v>Depósitos de clientes en gestión (**)</v>
      </c>
      <c r="B164" s="44">
        <v>370393.72155051853</v>
      </c>
      <c r="C164" s="44">
        <v>411357.33674575033</v>
      </c>
      <c r="D164" s="44">
        <v>425101.0677317059</v>
      </c>
      <c r="E164" s="45">
        <v>583974.6534476888</v>
      </c>
      <c r="F164" s="44">
        <v>653814.3073763689</v>
      </c>
      <c r="G164" s="44">
        <v>739422.5510912151</v>
      </c>
      <c r="H164" s="44">
        <v>853486.0437991716</v>
      </c>
      <c r="I164" s="81"/>
    </row>
    <row r="165" spans="1:9" ht="15">
      <c r="A165" s="43" t="str">
        <f>HLOOKUP(INDICE!$F$2,Nombres!$C$3:$D$636,68,FALSE)</f>
        <v>Fondos de inversión y carteras gestionadas</v>
      </c>
      <c r="B165" s="44">
        <v>11987.258675016783</v>
      </c>
      <c r="C165" s="44">
        <v>14997.279964027355</v>
      </c>
      <c r="D165" s="44">
        <v>20374.749657667388</v>
      </c>
      <c r="E165" s="45">
        <v>26229.00983291865</v>
      </c>
      <c r="F165" s="44">
        <v>34004.5414828556</v>
      </c>
      <c r="G165" s="44">
        <v>40178.60418617469</v>
      </c>
      <c r="H165" s="44">
        <v>48247.40225886973</v>
      </c>
      <c r="I165" s="81"/>
    </row>
    <row r="166" spans="1:9" ht="15">
      <c r="A166" s="43" t="str">
        <f>HLOOKUP(INDICE!$F$2,Nombres!$C$3:$D$636,69,FALSE)</f>
        <v>Fondos de pensiones</v>
      </c>
      <c r="B166" s="44">
        <v>23671.807275033145</v>
      </c>
      <c r="C166" s="44">
        <v>25619.51899104673</v>
      </c>
      <c r="D166" s="44">
        <v>26634.70719518809</v>
      </c>
      <c r="E166" s="45">
        <v>33100.96355089734</v>
      </c>
      <c r="F166" s="44">
        <v>37988.93426896212</v>
      </c>
      <c r="G166" s="44">
        <v>45133.458354196235</v>
      </c>
      <c r="H166" s="44">
        <v>52490.07679169346</v>
      </c>
      <c r="I166" s="81"/>
    </row>
    <row r="167" spans="1:15" ht="15">
      <c r="A167" s="43" t="str">
        <f>HLOOKUP(INDICE!$F$2,Nombres!$C$3:$D$636,70,FALSE)</f>
        <v>Otros recursos fuera de balance</v>
      </c>
      <c r="B167" s="44">
        <v>0</v>
      </c>
      <c r="C167" s="44">
        <v>0</v>
      </c>
      <c r="D167" s="44">
        <v>0</v>
      </c>
      <c r="E167" s="45">
        <v>0</v>
      </c>
      <c r="F167" s="44">
        <v>0</v>
      </c>
      <c r="G167" s="44">
        <v>0</v>
      </c>
      <c r="H167" s="44">
        <v>0</v>
      </c>
      <c r="N167" s="73"/>
      <c r="O167" s="73"/>
    </row>
    <row r="168" spans="1:15" ht="15">
      <c r="A168" s="62" t="str">
        <f>HLOOKUP(INDICE!$F$2,Nombres!$C$3:$D$636,71,FALSE)</f>
        <v>(*) No incluye las adquisiciones temporales de activos.</v>
      </c>
      <c r="B168" s="58"/>
      <c r="C168" s="58"/>
      <c r="D168" s="58"/>
      <c r="E168" s="58"/>
      <c r="F168" s="44"/>
      <c r="G168" s="44"/>
      <c r="H168" s="44"/>
      <c r="N168" s="73"/>
      <c r="O168" s="73"/>
    </row>
    <row r="169" spans="1:15" ht="15">
      <c r="A169" s="62" t="str">
        <f>HLOOKUP(INDICE!$F$2,Nombres!$C$3:$D$636,72,FALSE)</f>
        <v>(**) No incluye las cesiones temporales de activos.</v>
      </c>
      <c r="B169" s="30"/>
      <c r="C169" s="30"/>
      <c r="D169" s="30"/>
      <c r="E169" s="30"/>
      <c r="F169" s="30"/>
      <c r="G169" s="30"/>
      <c r="H169" s="30"/>
      <c r="N169" s="73"/>
      <c r="O169" s="73"/>
    </row>
    <row r="170" spans="1:15" ht="15">
      <c r="A170" s="30"/>
      <c r="B170" s="30"/>
      <c r="C170" s="30"/>
      <c r="D170" s="30"/>
      <c r="E170" s="30"/>
      <c r="F170" s="30"/>
      <c r="G170" s="30"/>
      <c r="H170" s="30"/>
      <c r="N170" s="73"/>
      <c r="O170" s="73"/>
    </row>
    <row r="171" spans="1:15" ht="15">
      <c r="A171" s="30"/>
      <c r="B171" s="30"/>
      <c r="C171" s="30"/>
      <c r="D171" s="30"/>
      <c r="E171" s="30"/>
      <c r="F171" s="30"/>
      <c r="G171" s="30"/>
      <c r="H171" s="30"/>
      <c r="N171" s="73"/>
      <c r="O171" s="73"/>
    </row>
    <row r="172" spans="1:15" ht="15">
      <c r="A172" s="72"/>
      <c r="B172" s="73"/>
      <c r="C172" s="74"/>
      <c r="D172" s="74"/>
      <c r="E172" s="74"/>
      <c r="F172" s="73"/>
      <c r="G172" s="73"/>
      <c r="H172" s="73"/>
      <c r="N172" s="73"/>
      <c r="O172" s="73"/>
    </row>
    <row r="173" spans="1:15" ht="15">
      <c r="A173" s="72"/>
      <c r="B173" s="73"/>
      <c r="C173" s="74"/>
      <c r="D173" s="74"/>
      <c r="E173" s="74"/>
      <c r="F173" s="73"/>
      <c r="G173" s="73"/>
      <c r="H173" s="73"/>
      <c r="J173" s="73"/>
      <c r="K173" s="73"/>
      <c r="L173" s="73"/>
      <c r="M173" s="73"/>
      <c r="N173" s="73"/>
      <c r="O173" s="73"/>
    </row>
    <row r="174" spans="1:15" ht="15">
      <c r="A174" s="73"/>
      <c r="B174" s="73"/>
      <c r="C174" s="73"/>
      <c r="D174" s="73"/>
      <c r="E174" s="73"/>
      <c r="F174" s="73"/>
      <c r="G174" s="73"/>
      <c r="H174" s="73"/>
      <c r="J174" s="73"/>
      <c r="K174" s="73"/>
      <c r="L174" s="73"/>
      <c r="M174" s="73"/>
      <c r="N174" s="73"/>
      <c r="O174" s="73"/>
    </row>
    <row r="175" spans="1:13" ht="15">
      <c r="A175" s="73"/>
      <c r="B175" s="73"/>
      <c r="C175" s="73"/>
      <c r="D175" s="73"/>
      <c r="E175" s="73"/>
      <c r="F175" s="73"/>
      <c r="G175" s="73"/>
      <c r="H175" s="73"/>
      <c r="J175" s="73"/>
      <c r="K175" s="73"/>
      <c r="L175" s="73"/>
      <c r="M175" s="73"/>
    </row>
    <row r="176" spans="1:13" ht="15">
      <c r="A176" s="73"/>
      <c r="B176" s="73"/>
      <c r="C176" s="73"/>
      <c r="D176" s="73"/>
      <c r="E176" s="73"/>
      <c r="F176" s="73"/>
      <c r="G176" s="73"/>
      <c r="H176" s="73"/>
      <c r="J176" s="73"/>
      <c r="K176" s="73"/>
      <c r="L176" s="73"/>
      <c r="M176" s="73"/>
    </row>
    <row r="177" spans="1:13" ht="15">
      <c r="A177" s="73"/>
      <c r="B177" s="73"/>
      <c r="C177" s="73"/>
      <c r="D177" s="73"/>
      <c r="E177" s="73"/>
      <c r="F177" s="73"/>
      <c r="G177" s="73"/>
      <c r="H177" s="73"/>
      <c r="J177" s="73"/>
      <c r="K177" s="73"/>
      <c r="L177" s="73"/>
      <c r="M177" s="73"/>
    </row>
    <row r="178" spans="1:13" ht="15">
      <c r="A178" s="73"/>
      <c r="B178" s="73"/>
      <c r="C178" s="73"/>
      <c r="D178" s="73"/>
      <c r="E178" s="73"/>
      <c r="F178" s="73"/>
      <c r="G178" s="73"/>
      <c r="H178" s="73"/>
      <c r="J178" s="73"/>
      <c r="K178" s="73"/>
      <c r="L178" s="73"/>
      <c r="M178" s="73"/>
    </row>
    <row r="179" spans="1:13" ht="15">
      <c r="A179" s="73"/>
      <c r="B179" s="73"/>
      <c r="C179" s="73"/>
      <c r="D179" s="73"/>
      <c r="E179" s="73"/>
      <c r="F179" s="73"/>
      <c r="G179" s="73"/>
      <c r="H179" s="73"/>
      <c r="J179" s="73"/>
      <c r="K179" s="73"/>
      <c r="L179" s="73"/>
      <c r="M179" s="73"/>
    </row>
    <row r="180" spans="1:13" ht="15">
      <c r="A180" s="73"/>
      <c r="B180" s="73"/>
      <c r="C180" s="73"/>
      <c r="D180" s="73"/>
      <c r="E180" s="73"/>
      <c r="F180" s="73"/>
      <c r="G180" s="73"/>
      <c r="H180" s="73"/>
      <c r="J180" s="73"/>
      <c r="K180" s="73"/>
      <c r="L180" s="73"/>
      <c r="M180" s="73"/>
    </row>
    <row r="1006" ht="15">
      <c r="A1006" s="31" t="s">
        <v>392</v>
      </c>
    </row>
  </sheetData>
  <sheetProtection/>
  <mergeCells count="5">
    <mergeCell ref="B6:E6"/>
    <mergeCell ref="F6:I6"/>
    <mergeCell ref="B62:E62"/>
    <mergeCell ref="F62:I62"/>
    <mergeCell ref="B118:E118"/>
  </mergeCells>
  <conditionalFormatting sqref="I82">
    <cfRule type="cellIs" priority="13" dxfId="131" operator="notBetween">
      <formula>0.5</formula>
      <formula>-0.5</formula>
    </cfRule>
  </conditionalFormatting>
  <conditionalFormatting sqref="I26">
    <cfRule type="cellIs" priority="6" dxfId="13" operator="notBetween">
      <formula>-0.4</formula>
      <formula>0.4</formula>
    </cfRule>
  </conditionalFormatting>
  <conditionalFormatting sqref="I26">
    <cfRule type="cellIs" priority="5" dxfId="131" operator="notBetween">
      <formula>0.5</formula>
      <formula>-0.5</formula>
    </cfRule>
  </conditionalFormatting>
  <conditionalFormatting sqref="I82">
    <cfRule type="cellIs" priority="4" dxfId="131" operator="notBetween">
      <formula>0.5</formula>
      <formula>-0.5</formula>
    </cfRule>
  </conditionalFormatting>
  <conditionalFormatting sqref="B26:H26">
    <cfRule type="cellIs" priority="3" dxfId="131" operator="notBetween">
      <formula>0.5</formula>
      <formula>-0.5</formula>
    </cfRule>
  </conditionalFormatting>
  <conditionalFormatting sqref="B82:H82">
    <cfRule type="cellIs" priority="2" dxfId="131" operator="notBetween">
      <formula>0.5</formula>
      <formula>-0.5</formula>
    </cfRule>
  </conditionalFormatting>
  <conditionalFormatting sqref="B138:H138">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O998"/>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29" t="str">
        <f>HLOOKUP(INDICE!$F$2,Nombres!$C$3:$D$636,283,FALSE)</f>
        <v>América del Sur </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13">
        <f>+España!B6</f>
        <v>2021</v>
      </c>
      <c r="C6" s="313"/>
      <c r="D6" s="313"/>
      <c r="E6" s="314"/>
      <c r="F6" s="313">
        <f>+España!F6</f>
        <v>2022</v>
      </c>
      <c r="G6" s="313"/>
      <c r="H6" s="313"/>
      <c r="I6" s="313"/>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659.8777555500001</v>
      </c>
      <c r="C8" s="41">
        <v>667.90775358</v>
      </c>
      <c r="D8" s="41">
        <v>732.88197283</v>
      </c>
      <c r="E8" s="42">
        <v>798.53109522</v>
      </c>
      <c r="F8" s="50">
        <v>809.3452602399998</v>
      </c>
      <c r="G8" s="50">
        <v>1039.8659387700002</v>
      </c>
      <c r="H8" s="50">
        <v>1224.3587979000001</v>
      </c>
      <c r="I8" s="50">
        <v>0</v>
      </c>
    </row>
    <row r="9" spans="1:9" ht="15">
      <c r="A9" s="43" t="str">
        <f>HLOOKUP(INDICE!$F$2,Nombres!$C$3:$D$636,34,FALSE)</f>
        <v>Comisiones netas</v>
      </c>
      <c r="B9" s="44">
        <v>120.15356926</v>
      </c>
      <c r="C9" s="44">
        <v>146.68809574</v>
      </c>
      <c r="D9" s="44">
        <v>159.10616692</v>
      </c>
      <c r="E9" s="45">
        <v>162.84024071</v>
      </c>
      <c r="F9" s="44">
        <v>178.23668924000003</v>
      </c>
      <c r="G9" s="44">
        <v>222.71375805</v>
      </c>
      <c r="H9" s="44">
        <v>207.88465208</v>
      </c>
      <c r="I9" s="44">
        <v>0</v>
      </c>
    </row>
    <row r="10" spans="1:9" ht="15">
      <c r="A10" s="43" t="str">
        <f>HLOOKUP(INDICE!$F$2,Nombres!$C$3:$D$636,35,FALSE)</f>
        <v>Resultados de operaciones financieras</v>
      </c>
      <c r="B10" s="44">
        <v>74.42403224</v>
      </c>
      <c r="C10" s="44">
        <v>105.54285952999999</v>
      </c>
      <c r="D10" s="44">
        <v>70.48393611000002</v>
      </c>
      <c r="E10" s="45">
        <v>73.96165569</v>
      </c>
      <c r="F10" s="44">
        <v>93.22845095000001</v>
      </c>
      <c r="G10" s="44">
        <v>109.65490933999997</v>
      </c>
      <c r="H10" s="44">
        <v>151.85171411999997</v>
      </c>
      <c r="I10" s="44">
        <v>0</v>
      </c>
    </row>
    <row r="11" spans="1:9" ht="15">
      <c r="A11" s="43" t="str">
        <f>HLOOKUP(INDICE!$F$2,Nombres!$C$3:$D$636,36,FALSE)</f>
        <v>Otros ingresos y cargas de explotación</v>
      </c>
      <c r="B11" s="44">
        <v>-140.19099999999997</v>
      </c>
      <c r="C11" s="44">
        <v>-154.58100000000002</v>
      </c>
      <c r="D11" s="44">
        <v>-148.22700000000003</v>
      </c>
      <c r="E11" s="45">
        <v>-167.86100000000005</v>
      </c>
      <c r="F11" s="44">
        <v>-199.326</v>
      </c>
      <c r="G11" s="44">
        <v>-278.93499999999995</v>
      </c>
      <c r="H11" s="44">
        <v>-391.3800000000001</v>
      </c>
      <c r="I11" s="44">
        <v>0</v>
      </c>
    </row>
    <row r="12" spans="1:9" ht="15">
      <c r="A12" s="41" t="str">
        <f>HLOOKUP(INDICE!$F$2,Nombres!$C$3:$D$636,37,FALSE)</f>
        <v>Margen bruto</v>
      </c>
      <c r="B12" s="41">
        <f>+SUM(B8:B11)</f>
        <v>714.2643570500002</v>
      </c>
      <c r="C12" s="41">
        <f aca="true" t="shared" si="0" ref="C12:I12">+SUM(C8:C11)</f>
        <v>765.5577088499999</v>
      </c>
      <c r="D12" s="41">
        <f t="shared" si="0"/>
        <v>814.24507586</v>
      </c>
      <c r="E12" s="42">
        <f t="shared" si="0"/>
        <v>867.4719916199999</v>
      </c>
      <c r="F12" s="50">
        <f t="shared" si="0"/>
        <v>881.4844004299998</v>
      </c>
      <c r="G12" s="50">
        <f t="shared" si="0"/>
        <v>1093.2996061600002</v>
      </c>
      <c r="H12" s="50">
        <f t="shared" si="0"/>
        <v>1192.7151641</v>
      </c>
      <c r="I12" s="50">
        <f t="shared" si="0"/>
        <v>0</v>
      </c>
    </row>
    <row r="13" spans="1:9" ht="15">
      <c r="A13" s="43" t="str">
        <f>HLOOKUP(INDICE!$F$2,Nombres!$C$3:$D$636,38,FALSE)</f>
        <v>Gastos de explotación</v>
      </c>
      <c r="B13" s="44">
        <v>-342.53702811000005</v>
      </c>
      <c r="C13" s="44">
        <v>-350.82946807</v>
      </c>
      <c r="D13" s="44">
        <v>-396.50146483000003</v>
      </c>
      <c r="E13" s="45">
        <v>-432.4261928200001</v>
      </c>
      <c r="F13" s="44">
        <v>-412.74003183</v>
      </c>
      <c r="G13" s="44">
        <v>-510.38438627</v>
      </c>
      <c r="H13" s="44">
        <v>-570.41223106</v>
      </c>
      <c r="I13" s="44">
        <v>0</v>
      </c>
    </row>
    <row r="14" spans="1:9" ht="15">
      <c r="A14" s="43" t="str">
        <f>HLOOKUP(INDICE!$F$2,Nombres!$C$3:$D$636,39,FALSE)</f>
        <v>  Gastos de administración</v>
      </c>
      <c r="B14" s="44">
        <v>-308.13902811</v>
      </c>
      <c r="C14" s="44">
        <v>-315.34146807</v>
      </c>
      <c r="D14" s="44">
        <v>-359.88646483</v>
      </c>
      <c r="E14" s="45">
        <v>-393.90419282</v>
      </c>
      <c r="F14" s="44">
        <v>-378.11303183000007</v>
      </c>
      <c r="G14" s="44">
        <v>-462.48838627000003</v>
      </c>
      <c r="H14" s="44">
        <v>-523.1512310599999</v>
      </c>
      <c r="I14" s="44">
        <v>0</v>
      </c>
    </row>
    <row r="15" spans="1:9" ht="15">
      <c r="A15" s="46" t="str">
        <f>HLOOKUP(INDICE!$F$2,Nombres!$C$3:$D$636,40,FALSE)</f>
        <v>  Gastos de personal</v>
      </c>
      <c r="B15" s="44">
        <v>-165.87710144000002</v>
      </c>
      <c r="C15" s="44">
        <v>-166.23455489999998</v>
      </c>
      <c r="D15" s="44">
        <v>-186.48427492000002</v>
      </c>
      <c r="E15" s="45">
        <v>-205.72601752</v>
      </c>
      <c r="F15" s="44">
        <v>-200.64723098000002</v>
      </c>
      <c r="G15" s="44">
        <v>-246.14736519000002</v>
      </c>
      <c r="H15" s="44">
        <v>-267.44269603999993</v>
      </c>
      <c r="I15" s="44">
        <v>0</v>
      </c>
    </row>
    <row r="16" spans="1:9" ht="15">
      <c r="A16" s="46" t="str">
        <f>HLOOKUP(INDICE!$F$2,Nombres!$C$3:$D$636,41,FALSE)</f>
        <v>  Otros gastos de administración</v>
      </c>
      <c r="B16" s="44">
        <v>-142.26192667000004</v>
      </c>
      <c r="C16" s="44">
        <v>-149.10691316999998</v>
      </c>
      <c r="D16" s="44">
        <v>-173.40218991</v>
      </c>
      <c r="E16" s="45">
        <v>-188.17817530000002</v>
      </c>
      <c r="F16" s="44">
        <v>-177.46580085</v>
      </c>
      <c r="G16" s="44">
        <v>-216.34102108000002</v>
      </c>
      <c r="H16" s="44">
        <v>-255.70853502</v>
      </c>
      <c r="I16" s="44">
        <v>0</v>
      </c>
    </row>
    <row r="17" spans="1:9" ht="15">
      <c r="A17" s="43" t="str">
        <f>HLOOKUP(INDICE!$F$2,Nombres!$C$3:$D$636,42,FALSE)</f>
        <v>  Amortización</v>
      </c>
      <c r="B17" s="44">
        <v>-34.397999999999996</v>
      </c>
      <c r="C17" s="44">
        <v>-35.488</v>
      </c>
      <c r="D17" s="44">
        <v>-36.615</v>
      </c>
      <c r="E17" s="45">
        <v>-38.522000000000006</v>
      </c>
      <c r="F17" s="44">
        <v>-34.627</v>
      </c>
      <c r="G17" s="44">
        <v>-47.896</v>
      </c>
      <c r="H17" s="44">
        <v>-47.26100000000001</v>
      </c>
      <c r="I17" s="44">
        <v>0</v>
      </c>
    </row>
    <row r="18" spans="1:9" ht="15">
      <c r="A18" s="41" t="str">
        <f>HLOOKUP(INDICE!$F$2,Nombres!$C$3:$D$636,43,FALSE)</f>
        <v>Margen neto</v>
      </c>
      <c r="B18" s="41">
        <f>+B12+B13</f>
        <v>371.7273289400001</v>
      </c>
      <c r="C18" s="41">
        <f aca="true" t="shared" si="1" ref="C18:I18">+C12+C13</f>
        <v>414.7282407799999</v>
      </c>
      <c r="D18" s="41">
        <f t="shared" si="1"/>
        <v>417.74361103</v>
      </c>
      <c r="E18" s="42">
        <f t="shared" si="1"/>
        <v>435.04579879999983</v>
      </c>
      <c r="F18" s="50">
        <f t="shared" si="1"/>
        <v>468.7443685999998</v>
      </c>
      <c r="G18" s="50">
        <f t="shared" si="1"/>
        <v>582.9152198900001</v>
      </c>
      <c r="H18" s="50">
        <f t="shared" si="1"/>
        <v>622.3029330400001</v>
      </c>
      <c r="I18" s="50">
        <f t="shared" si="1"/>
        <v>0</v>
      </c>
    </row>
    <row r="19" spans="1:9" ht="15">
      <c r="A19" s="43" t="str">
        <f>HLOOKUP(INDICE!$F$2,Nombres!$C$3:$D$636,44,FALSE)</f>
        <v>Deterioro de activos financieros no valorados a valor razonable con cambios en resultados</v>
      </c>
      <c r="B19" s="44">
        <v>-159.254</v>
      </c>
      <c r="C19" s="44">
        <v>-184.08600000000004</v>
      </c>
      <c r="D19" s="44">
        <v>-164.624</v>
      </c>
      <c r="E19" s="45">
        <v>-114.34799999999998</v>
      </c>
      <c r="F19" s="44">
        <v>-140.98599999999996</v>
      </c>
      <c r="G19" s="44">
        <v>-130.73500000000004</v>
      </c>
      <c r="H19" s="44">
        <v>-210.06500000000003</v>
      </c>
      <c r="I19" s="44">
        <v>0</v>
      </c>
    </row>
    <row r="20" spans="1:9" ht="15">
      <c r="A20" s="43" t="str">
        <f>HLOOKUP(INDICE!$F$2,Nombres!$C$3:$D$636,45,FALSE)</f>
        <v>Provisiones o reversión de provisiones y otros resultados</v>
      </c>
      <c r="B20" s="44">
        <v>-15.966793999999998</v>
      </c>
      <c r="C20" s="44">
        <v>-13.527615</v>
      </c>
      <c r="D20" s="44">
        <v>-17.842942999999998</v>
      </c>
      <c r="E20" s="45">
        <v>-29.586426000000003</v>
      </c>
      <c r="F20" s="44">
        <v>-16.292266</v>
      </c>
      <c r="G20" s="44">
        <v>-25.30676299999998</v>
      </c>
      <c r="H20" s="44">
        <v>-21.757181000000003</v>
      </c>
      <c r="I20" s="44">
        <v>0</v>
      </c>
    </row>
    <row r="21" spans="1:9" ht="15">
      <c r="A21" s="41" t="str">
        <f>HLOOKUP(INDICE!$F$2,Nombres!$C$3:$D$636,46,FALSE)</f>
        <v>Resultado antes de impuestos</v>
      </c>
      <c r="B21" s="41">
        <f>+B18+B19+B20</f>
        <v>196.50653494000014</v>
      </c>
      <c r="C21" s="41">
        <f aca="true" t="shared" si="2" ref="C21:I21">+C18+C19+C20</f>
        <v>217.11462577999987</v>
      </c>
      <c r="D21" s="41">
        <f t="shared" si="2"/>
        <v>235.27666803000002</v>
      </c>
      <c r="E21" s="42">
        <f t="shared" si="2"/>
        <v>291.11137279999986</v>
      </c>
      <c r="F21" s="50">
        <f t="shared" si="2"/>
        <v>311.46610259999983</v>
      </c>
      <c r="G21" s="50">
        <f t="shared" si="2"/>
        <v>426.8734568900001</v>
      </c>
      <c r="H21" s="50">
        <f t="shared" si="2"/>
        <v>390.48075204</v>
      </c>
      <c r="I21" s="50">
        <f t="shared" si="2"/>
        <v>0</v>
      </c>
    </row>
    <row r="22" spans="1:9" ht="15">
      <c r="A22" s="43" t="str">
        <f>HLOOKUP(INDICE!$F$2,Nombres!$C$3:$D$636,47,FALSE)</f>
        <v>Impuesto sobre beneficios</v>
      </c>
      <c r="B22" s="44">
        <v>-57.47451337</v>
      </c>
      <c r="C22" s="44">
        <v>-70.3317353</v>
      </c>
      <c r="D22" s="44">
        <v>-74.38511543000001</v>
      </c>
      <c r="E22" s="45">
        <v>-78.58547755000004</v>
      </c>
      <c r="F22" s="44">
        <v>-87.51025711</v>
      </c>
      <c r="G22" s="44">
        <v>-54.19513837000003</v>
      </c>
      <c r="H22" s="44">
        <v>-92.23152046999999</v>
      </c>
      <c r="I22" s="44">
        <v>0</v>
      </c>
    </row>
    <row r="23" spans="1:9" ht="15">
      <c r="A23" s="41" t="str">
        <f>HLOOKUP(INDICE!$F$2,Nombres!$C$3:$D$636,48,FALSE)</f>
        <v>Resultado del ejercicio</v>
      </c>
      <c r="B23" s="41">
        <f>+B21+B22</f>
        <v>139.03202157000015</v>
      </c>
      <c r="C23" s="41">
        <f aca="true" t="shared" si="3" ref="C23:I23">+C21+C22</f>
        <v>146.78289047999988</v>
      </c>
      <c r="D23" s="41">
        <f t="shared" si="3"/>
        <v>160.8915526</v>
      </c>
      <c r="E23" s="42">
        <f t="shared" si="3"/>
        <v>212.52589524999982</v>
      </c>
      <c r="F23" s="50">
        <f t="shared" si="3"/>
        <v>223.95584548999983</v>
      </c>
      <c r="G23" s="50">
        <f t="shared" si="3"/>
        <v>372.67831852000006</v>
      </c>
      <c r="H23" s="50">
        <f t="shared" si="3"/>
        <v>298.24923157</v>
      </c>
      <c r="I23" s="50">
        <f t="shared" si="3"/>
        <v>0</v>
      </c>
    </row>
    <row r="24" spans="1:9" ht="15">
      <c r="A24" s="43" t="str">
        <f>HLOOKUP(INDICE!$F$2,Nombres!$C$3:$D$636,49,FALSE)</f>
        <v>Minoritarios</v>
      </c>
      <c r="B24" s="44">
        <v>-39.13709874999999</v>
      </c>
      <c r="C24" s="44">
        <v>-36.19065583</v>
      </c>
      <c r="D24" s="44">
        <v>-43.94528358999999</v>
      </c>
      <c r="E24" s="45">
        <v>-64.34477244000001</v>
      </c>
      <c r="F24" s="44">
        <v>-66.08692095999999</v>
      </c>
      <c r="G24" s="44">
        <v>-117.33103138000001</v>
      </c>
      <c r="H24" s="44">
        <v>-97.91084261999998</v>
      </c>
      <c r="I24" s="44">
        <v>0</v>
      </c>
    </row>
    <row r="25" spans="1:9" ht="15">
      <c r="A25" s="47" t="str">
        <f>HLOOKUP(INDICE!$F$2,Nombres!$C$3:$D$636,50,FALSE)</f>
        <v>Resultado atribuido</v>
      </c>
      <c r="B25" s="47">
        <f>+B23+B24</f>
        <v>99.89492282000016</v>
      </c>
      <c r="C25" s="47">
        <f aca="true" t="shared" si="4" ref="C25:I25">+C23+C24</f>
        <v>110.59223464999988</v>
      </c>
      <c r="D25" s="47">
        <f t="shared" si="4"/>
        <v>116.94626901000002</v>
      </c>
      <c r="E25" s="47">
        <f t="shared" si="4"/>
        <v>148.1811228099998</v>
      </c>
      <c r="F25" s="51">
        <f t="shared" si="4"/>
        <v>157.86892452999984</v>
      </c>
      <c r="G25" s="51">
        <f t="shared" si="4"/>
        <v>255.34728714000005</v>
      </c>
      <c r="H25" s="51">
        <f t="shared" si="4"/>
        <v>200.33838895000002</v>
      </c>
      <c r="I25" s="51">
        <f t="shared" si="4"/>
        <v>0</v>
      </c>
    </row>
    <row r="26" spans="1:9" ht="15">
      <c r="A26" s="62"/>
      <c r="B26" s="63">
        <v>1.2789769243681803E-13</v>
      </c>
      <c r="C26" s="63">
        <v>0</v>
      </c>
      <c r="D26" s="63">
        <v>0</v>
      </c>
      <c r="E26" s="63">
        <v>-2.8421709430404007E-13</v>
      </c>
      <c r="F26" s="63">
        <v>0</v>
      </c>
      <c r="G26" s="63">
        <v>0</v>
      </c>
      <c r="H26" s="63">
        <v>0</v>
      </c>
      <c r="I26" s="63">
        <v>0</v>
      </c>
    </row>
    <row r="27" spans="1:15" ht="15">
      <c r="A27" s="41"/>
      <c r="B27" s="41"/>
      <c r="C27" s="41"/>
      <c r="D27" s="41"/>
      <c r="E27" s="41"/>
      <c r="F27" s="41"/>
      <c r="G27" s="41"/>
      <c r="H27" s="41"/>
      <c r="I27" s="41"/>
      <c r="N27" s="160"/>
      <c r="O27" s="160"/>
    </row>
    <row r="28" spans="1:15" ht="18">
      <c r="A28" s="33" t="str">
        <f>HLOOKUP(INDICE!$F$2,Nombres!$C$3:$D$636,51,FALSE)</f>
        <v>Balances</v>
      </c>
      <c r="B28" s="34"/>
      <c r="C28" s="34"/>
      <c r="D28" s="34"/>
      <c r="E28" s="34"/>
      <c r="F28" s="34"/>
      <c r="G28" s="34"/>
      <c r="H28" s="34"/>
      <c r="I28" s="34"/>
      <c r="N28" s="160"/>
      <c r="O28" s="160"/>
    </row>
    <row r="29" spans="1:9" ht="15">
      <c r="A29" s="35"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10" ht="15">
      <c r="A31" s="43" t="str">
        <f>HLOOKUP(INDICE!$F$2,Nombres!$C$3:$D$636,52,FALSE)</f>
        <v>Efectivo, saldos en efectivo en bancos centrales y otros depósitos a la vista</v>
      </c>
      <c r="B31" s="44">
        <v>6794.749999999998</v>
      </c>
      <c r="C31" s="44">
        <v>7127.522</v>
      </c>
      <c r="D31" s="44">
        <v>7852.526999999999</v>
      </c>
      <c r="E31" s="45">
        <v>8549.476</v>
      </c>
      <c r="F31" s="44">
        <v>8269.488</v>
      </c>
      <c r="G31" s="44">
        <v>8882.579</v>
      </c>
      <c r="H31" s="44">
        <v>9752.209</v>
      </c>
      <c r="I31" s="44">
        <v>0</v>
      </c>
      <c r="J31" s="81"/>
    </row>
    <row r="32" spans="1:10" ht="15">
      <c r="A32" s="43" t="str">
        <f>HLOOKUP(INDICE!$F$2,Nombres!$C$3:$D$636,53,FALSE)</f>
        <v>Activos financieros a valor razonable</v>
      </c>
      <c r="B32" s="58">
        <v>7432.951999999999</v>
      </c>
      <c r="C32" s="58">
        <v>7266.091</v>
      </c>
      <c r="D32" s="58">
        <v>7357.267</v>
      </c>
      <c r="E32" s="64">
        <v>7174.592</v>
      </c>
      <c r="F32" s="44">
        <v>9977.302</v>
      </c>
      <c r="G32" s="44">
        <v>11048.235</v>
      </c>
      <c r="H32" s="44">
        <v>11690.131999999998</v>
      </c>
      <c r="I32" s="44">
        <v>0</v>
      </c>
      <c r="J32" s="81"/>
    </row>
    <row r="33" spans="1:10" ht="15">
      <c r="A33" s="43" t="str">
        <f>HLOOKUP(INDICE!$F$2,Nombres!$C$3:$D$636,54,FALSE)</f>
        <v>Activos financieros a coste amortizado</v>
      </c>
      <c r="B33" s="44">
        <v>36380.903999999995</v>
      </c>
      <c r="C33" s="44">
        <v>36356.060999999994</v>
      </c>
      <c r="D33" s="44">
        <v>36364.706</v>
      </c>
      <c r="E33" s="45">
        <v>37746.981999999996</v>
      </c>
      <c r="F33" s="44">
        <v>40535.475</v>
      </c>
      <c r="G33" s="44">
        <v>43317.137</v>
      </c>
      <c r="H33" s="44">
        <v>44430.94900000001</v>
      </c>
      <c r="I33" s="44">
        <v>0</v>
      </c>
      <c r="J33" s="81"/>
    </row>
    <row r="34" spans="1:10" ht="15">
      <c r="A34" s="43" t="str">
        <f>HLOOKUP(INDICE!$F$2,Nombres!$C$3:$D$636,55,FALSE)</f>
        <v>    de los que préstamos y anticipos a la clientela</v>
      </c>
      <c r="B34" s="44">
        <v>32443.496999999996</v>
      </c>
      <c r="C34" s="44">
        <v>32634.762</v>
      </c>
      <c r="D34" s="44">
        <v>32421.622000000003</v>
      </c>
      <c r="E34" s="45">
        <v>34608.019</v>
      </c>
      <c r="F34" s="44">
        <v>37974.615000000005</v>
      </c>
      <c r="G34" s="44">
        <v>40176.287000000004</v>
      </c>
      <c r="H34" s="44">
        <v>41017.267</v>
      </c>
      <c r="I34" s="44">
        <v>0</v>
      </c>
      <c r="J34" s="81"/>
    </row>
    <row r="35" spans="1:10" ht="15" customHeight="1" hidden="1">
      <c r="A35" s="43"/>
      <c r="B35" s="44"/>
      <c r="C35" s="44"/>
      <c r="D35" s="44"/>
      <c r="E35" s="45"/>
      <c r="F35" s="44"/>
      <c r="G35" s="44"/>
      <c r="H35" s="44"/>
      <c r="I35" s="44"/>
      <c r="J35" s="81"/>
    </row>
    <row r="36" spans="1:10" ht="15">
      <c r="A36" s="43" t="str">
        <f>HLOOKUP(INDICE!$F$2,Nombres!$C$3:$D$636,56,FALSE)</f>
        <v>Activos tangibles</v>
      </c>
      <c r="B36" s="44">
        <v>805.5433658399999</v>
      </c>
      <c r="C36" s="44">
        <v>799.439</v>
      </c>
      <c r="D36" s="44">
        <v>813.9630000000001</v>
      </c>
      <c r="E36" s="45">
        <v>894.5609999999999</v>
      </c>
      <c r="F36" s="44">
        <v>992.9409999999999</v>
      </c>
      <c r="G36" s="44">
        <v>1099.981</v>
      </c>
      <c r="H36" s="44">
        <v>1177.8210000000001</v>
      </c>
      <c r="I36" s="44">
        <v>0</v>
      </c>
      <c r="J36" s="81"/>
    </row>
    <row r="37" spans="1:10" ht="15">
      <c r="A37" s="43" t="str">
        <f>HLOOKUP(INDICE!$F$2,Nombres!$C$3:$D$636,57,FALSE)</f>
        <v>Otros activos</v>
      </c>
      <c r="B37" s="58">
        <f aca="true" t="shared" si="5" ref="B37:I37">+B38-B36-B33-B32-B31</f>
        <v>1750.1792020199937</v>
      </c>
      <c r="C37" s="58">
        <f t="shared" si="5"/>
        <v>1794.0877783200021</v>
      </c>
      <c r="D37" s="58">
        <f t="shared" si="5"/>
        <v>1750.8512304400092</v>
      </c>
      <c r="E37" s="64">
        <f t="shared" si="5"/>
        <v>1758.2016149600004</v>
      </c>
      <c r="F37" s="44">
        <f t="shared" si="5"/>
        <v>1862.290709829993</v>
      </c>
      <c r="G37" s="44">
        <f t="shared" si="5"/>
        <v>1995.0128934900113</v>
      </c>
      <c r="H37" s="44">
        <f t="shared" si="5"/>
        <v>2046.2190126599908</v>
      </c>
      <c r="I37" s="44">
        <f t="shared" si="5"/>
        <v>0</v>
      </c>
      <c r="J37" s="81"/>
    </row>
    <row r="38" spans="1:10" ht="15">
      <c r="A38" s="47" t="str">
        <f>HLOOKUP(INDICE!$F$2,Nombres!$C$3:$D$636,58,FALSE)</f>
        <v>Total activo / pasivo</v>
      </c>
      <c r="B38" s="47">
        <v>53164.328567859986</v>
      </c>
      <c r="C38" s="47">
        <v>53343.200778319995</v>
      </c>
      <c r="D38" s="47">
        <v>54139.31423044001</v>
      </c>
      <c r="E38" s="47">
        <v>56123.81261496</v>
      </c>
      <c r="F38" s="51">
        <v>61637.49670982999</v>
      </c>
      <c r="G38" s="51">
        <v>66342.94489349001</v>
      </c>
      <c r="H38" s="51">
        <v>69097.33001266</v>
      </c>
      <c r="I38" s="51">
        <v>0</v>
      </c>
      <c r="J38" s="81"/>
    </row>
    <row r="39" spans="1:10" ht="15">
      <c r="A39" s="43" t="str">
        <f>HLOOKUP(INDICE!$F$2,Nombres!$C$3:$D$636,59,FALSE)</f>
        <v>Pasivos financieros mantenidos para negociar y designados a valor razonable con cambios en resultados</v>
      </c>
      <c r="B39" s="58">
        <v>1222.644</v>
      </c>
      <c r="C39" s="58">
        <v>1176.6830000000002</v>
      </c>
      <c r="D39" s="58">
        <v>1588.1860000000001</v>
      </c>
      <c r="E39" s="64">
        <v>1883.662</v>
      </c>
      <c r="F39" s="44">
        <v>2583.813</v>
      </c>
      <c r="G39" s="44">
        <v>3104.51</v>
      </c>
      <c r="H39" s="44">
        <v>3560.7909999999997</v>
      </c>
      <c r="I39" s="44">
        <v>0</v>
      </c>
      <c r="J39" s="81"/>
    </row>
    <row r="40" spans="1:10" ht="15.75" customHeight="1">
      <c r="A40" s="43" t="str">
        <f>HLOOKUP(INDICE!$F$2,Nombres!$C$3:$D$636,60,FALSE)</f>
        <v>Depósitos de bancos centrales y entidades de crédito</v>
      </c>
      <c r="B40" s="58">
        <v>5196.62500001</v>
      </c>
      <c r="C40" s="58">
        <v>5348.602999999999</v>
      </c>
      <c r="D40" s="58">
        <v>5239.848999989999</v>
      </c>
      <c r="E40" s="64">
        <v>5501.245</v>
      </c>
      <c r="F40" s="44">
        <v>6513.56600001</v>
      </c>
      <c r="G40" s="44">
        <v>5653.09799999</v>
      </c>
      <c r="H40" s="44">
        <v>6112.710000000001</v>
      </c>
      <c r="I40" s="44">
        <v>0</v>
      </c>
      <c r="J40" s="81"/>
    </row>
    <row r="41" spans="1:10" ht="15">
      <c r="A41" s="43" t="str">
        <f>HLOOKUP(INDICE!$F$2,Nombres!$C$3:$D$636,61,FALSE)</f>
        <v>Depósitos de la clientela</v>
      </c>
      <c r="B41" s="58">
        <v>34919.717999989996</v>
      </c>
      <c r="C41" s="58">
        <v>35236.349</v>
      </c>
      <c r="D41" s="58">
        <v>35458.31500001</v>
      </c>
      <c r="E41" s="64">
        <v>36340.104999999996</v>
      </c>
      <c r="F41" s="44">
        <v>38875.17499999</v>
      </c>
      <c r="G41" s="44">
        <v>43314.07300001</v>
      </c>
      <c r="H41" s="44">
        <v>44547.035</v>
      </c>
      <c r="I41" s="44">
        <v>0</v>
      </c>
      <c r="J41" s="81"/>
    </row>
    <row r="42" spans="1:10" ht="15">
      <c r="A42" s="43" t="str">
        <f>HLOOKUP(INDICE!$F$2,Nombres!$C$3:$D$636,62,FALSE)</f>
        <v>Valores representativos de deuda emitidos</v>
      </c>
      <c r="B42" s="44">
        <v>3233.9270526300006</v>
      </c>
      <c r="C42" s="44">
        <v>3133.04524343</v>
      </c>
      <c r="D42" s="44">
        <v>3159.1872175900003</v>
      </c>
      <c r="E42" s="45">
        <v>3214.71881898</v>
      </c>
      <c r="F42" s="44">
        <v>3383.66458862</v>
      </c>
      <c r="G42" s="44">
        <v>3818.33995903</v>
      </c>
      <c r="H42" s="44">
        <v>3278.1200854899994</v>
      </c>
      <c r="I42" s="44">
        <v>0</v>
      </c>
      <c r="J42" s="81"/>
    </row>
    <row r="43" spans="1:10" ht="15" customHeight="1" hidden="1">
      <c r="A43" s="43"/>
      <c r="B43" s="44"/>
      <c r="C43" s="44"/>
      <c r="D43" s="44"/>
      <c r="E43" s="45"/>
      <c r="F43" s="44"/>
      <c r="G43" s="44"/>
      <c r="H43" s="44"/>
      <c r="I43" s="44"/>
      <c r="J43" s="81"/>
    </row>
    <row r="44" spans="1:10" ht="15">
      <c r="A44" s="43" t="str">
        <f>HLOOKUP(INDICE!$F$2,Nombres!$C$3:$D$636,63,FALSE)</f>
        <v>Otros pasivos</v>
      </c>
      <c r="B44" s="58">
        <f aca="true" t="shared" si="6" ref="B44:I44">+B38-B39-B40-B41-B42-B45</f>
        <v>4044.7450244599922</v>
      </c>
      <c r="C44" s="58">
        <f t="shared" si="6"/>
        <v>3992.8996800699997</v>
      </c>
      <c r="D44" s="58">
        <f>+D38-D39-D40-D41-D42-D45</f>
        <v>4076.4331153800103</v>
      </c>
      <c r="E44" s="64">
        <f t="shared" si="6"/>
        <v>4206.903091690005</v>
      </c>
      <c r="F44" s="44">
        <f t="shared" si="6"/>
        <v>4686.023669419986</v>
      </c>
      <c r="G44" s="44">
        <f t="shared" si="6"/>
        <v>4407.153500380009</v>
      </c>
      <c r="H44" s="44">
        <f t="shared" si="6"/>
        <v>5293.3652503299945</v>
      </c>
      <c r="I44" s="44">
        <f t="shared" si="6"/>
        <v>0</v>
      </c>
      <c r="J44" s="81"/>
    </row>
    <row r="45" spans="1:10" ht="15">
      <c r="A45" s="43" t="str">
        <f>HLOOKUP(INDICE!$F$2,Nombres!$C$3:$D$636,282,FALSE)</f>
        <v>Dotación de capital regulatorio</v>
      </c>
      <c r="B45" s="44">
        <v>4546.669490769999</v>
      </c>
      <c r="C45" s="44">
        <v>4455.62085482</v>
      </c>
      <c r="D45" s="58">
        <v>4617.34389747</v>
      </c>
      <c r="E45" s="64">
        <v>4977.17870429</v>
      </c>
      <c r="F45" s="44">
        <v>5595.25445179</v>
      </c>
      <c r="G45" s="44">
        <v>6045.770434080001</v>
      </c>
      <c r="H45" s="44">
        <v>6305.308676839999</v>
      </c>
      <c r="I45" s="44">
        <v>0</v>
      </c>
      <c r="J45" s="81"/>
    </row>
    <row r="46" spans="1:10" ht="15">
      <c r="A46" s="62"/>
      <c r="B46" s="58"/>
      <c r="C46" s="58"/>
      <c r="D46" s="58"/>
      <c r="E46" s="58"/>
      <c r="F46" s="44"/>
      <c r="G46" s="44"/>
      <c r="H46" s="44"/>
      <c r="I46" s="44"/>
      <c r="J46" s="81"/>
    </row>
    <row r="47" spans="1:10" ht="15">
      <c r="A47" s="43"/>
      <c r="B47" s="58"/>
      <c r="C47" s="58"/>
      <c r="D47" s="58"/>
      <c r="E47" s="58"/>
      <c r="F47" s="44"/>
      <c r="G47" s="44"/>
      <c r="H47" s="44"/>
      <c r="I47" s="44"/>
      <c r="J47" s="81"/>
    </row>
    <row r="48" spans="1:10" ht="18">
      <c r="A48" s="33" t="str">
        <f>HLOOKUP(INDICE!$F$2,Nombres!$C$3:$D$636,65,FALSE)</f>
        <v>Indicadores relevantes y de gestión</v>
      </c>
      <c r="B48" s="34"/>
      <c r="C48" s="34"/>
      <c r="D48" s="34"/>
      <c r="E48" s="34"/>
      <c r="F48" s="68"/>
      <c r="G48" s="68"/>
      <c r="H48" s="68"/>
      <c r="I48" s="68"/>
      <c r="J48" s="81"/>
    </row>
    <row r="49" spans="1:10" ht="15">
      <c r="A49" s="35" t="str">
        <f>HLOOKUP(INDICE!$F$2,Nombres!$C$3:$D$636,32,FALSE)</f>
        <v>(Millones de euros)</v>
      </c>
      <c r="B49" s="30"/>
      <c r="C49" s="30"/>
      <c r="D49" s="30"/>
      <c r="E49" s="30"/>
      <c r="F49" s="69"/>
      <c r="G49" s="44"/>
      <c r="H49" s="44"/>
      <c r="I49" s="44"/>
      <c r="J49" s="81"/>
    </row>
    <row r="50" spans="1:10"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c r="J50" s="81"/>
    </row>
    <row r="51" spans="1:10" ht="15">
      <c r="A51" s="43" t="str">
        <f>HLOOKUP(INDICE!$F$2,Nombres!$C$3:$D$636,66,FALSE)</f>
        <v>Préstamos y anticipos a la clientela bruto (*)</v>
      </c>
      <c r="B51" s="44">
        <v>34337.82003006</v>
      </c>
      <c r="C51" s="44">
        <v>34509.814344599996</v>
      </c>
      <c r="D51" s="44">
        <v>34229.01637415</v>
      </c>
      <c r="E51" s="45">
        <v>36329.22122551</v>
      </c>
      <c r="F51" s="44">
        <v>39794.069410359996</v>
      </c>
      <c r="G51" s="44">
        <v>42044.91848917</v>
      </c>
      <c r="H51" s="44">
        <v>42900.64476740001</v>
      </c>
      <c r="I51" s="44">
        <v>0</v>
      </c>
      <c r="J51" s="81"/>
    </row>
    <row r="52" spans="1:10" ht="15">
      <c r="A52" s="43" t="str">
        <f>HLOOKUP(INDICE!$F$2,Nombres!$C$3:$D$636,67,FALSE)</f>
        <v>Depósitos de clientes en gestión (**)</v>
      </c>
      <c r="B52" s="44">
        <v>34931.98349856999</v>
      </c>
      <c r="C52" s="44">
        <v>35235.611469610005</v>
      </c>
      <c r="D52" s="44">
        <v>35453.32985423</v>
      </c>
      <c r="E52" s="45">
        <v>36364.32316639999</v>
      </c>
      <c r="F52" s="44">
        <v>38892.96598518001</v>
      </c>
      <c r="G52" s="44">
        <v>43332.99135025999</v>
      </c>
      <c r="H52" s="44">
        <v>44577.655588170004</v>
      </c>
      <c r="I52" s="44">
        <v>0</v>
      </c>
      <c r="J52" s="81"/>
    </row>
    <row r="53" spans="1:10" ht="15">
      <c r="A53" s="43" t="str">
        <f>HLOOKUP(INDICE!$F$2,Nombres!$C$3:$D$636,68,FALSE)</f>
        <v>Fondos de inversión y carteras gestionadas</v>
      </c>
      <c r="B53" s="44">
        <v>5176.273867</v>
      </c>
      <c r="C53" s="44">
        <v>4653.72200139</v>
      </c>
      <c r="D53" s="44">
        <v>4690.867094689999</v>
      </c>
      <c r="E53" s="45">
        <v>5728.47216985</v>
      </c>
      <c r="F53" s="44">
        <v>6100.543357230001</v>
      </c>
      <c r="G53" s="44">
        <v>5744.49304491</v>
      </c>
      <c r="H53" s="44">
        <v>6143.737032859998</v>
      </c>
      <c r="I53" s="44">
        <v>0</v>
      </c>
      <c r="J53" s="81"/>
    </row>
    <row r="54" spans="1:10" ht="15">
      <c r="A54" s="43" t="str">
        <f>HLOOKUP(INDICE!$F$2,Nombres!$C$3:$D$636,69,FALSE)</f>
        <v>Fondos de pensiones</v>
      </c>
      <c r="B54" s="44">
        <v>9644.26944677</v>
      </c>
      <c r="C54" s="44">
        <v>9723.71141773</v>
      </c>
      <c r="D54" s="44">
        <v>10139.32699649</v>
      </c>
      <c r="E54" s="45">
        <v>10494.68899456</v>
      </c>
      <c r="F54" s="44">
        <v>10877.21268134</v>
      </c>
      <c r="G54" s="44">
        <v>11766.86765503</v>
      </c>
      <c r="H54" s="44">
        <v>12831.88276355</v>
      </c>
      <c r="I54" s="44">
        <v>0</v>
      </c>
      <c r="J54" s="81"/>
    </row>
    <row r="55" spans="1:10" ht="15">
      <c r="A55" s="43" t="str">
        <f>HLOOKUP(INDICE!$F$2,Nombres!$C$3:$D$636,70,FALSE)</f>
        <v>Otros recursos fuera de balance</v>
      </c>
      <c r="B55" s="44">
        <v>0</v>
      </c>
      <c r="C55" s="44">
        <v>0</v>
      </c>
      <c r="D55" s="44">
        <v>0</v>
      </c>
      <c r="E55" s="45">
        <v>0</v>
      </c>
      <c r="F55" s="44">
        <v>0</v>
      </c>
      <c r="G55" s="44">
        <v>0</v>
      </c>
      <c r="H55" s="44">
        <v>0</v>
      </c>
      <c r="I55" s="44">
        <v>0</v>
      </c>
      <c r="J55" s="81"/>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13">
        <f>+B$6</f>
        <v>2021</v>
      </c>
      <c r="C62" s="313"/>
      <c r="D62" s="313"/>
      <c r="E62" s="314"/>
      <c r="F62" s="313">
        <f>+F$6</f>
        <v>2022</v>
      </c>
      <c r="G62" s="313"/>
      <c r="H62" s="313"/>
      <c r="I62" s="313"/>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628.3202198276053</v>
      </c>
      <c r="C64" s="41">
        <v>665.8801768242714</v>
      </c>
      <c r="D64" s="41">
        <v>730.6964489896402</v>
      </c>
      <c r="E64" s="42">
        <v>795.2556581566414</v>
      </c>
      <c r="F64" s="50">
        <v>783.2964242857332</v>
      </c>
      <c r="G64" s="50">
        <v>1005.8219072284385</v>
      </c>
      <c r="H64" s="50">
        <v>1284.451665395828</v>
      </c>
      <c r="I64" s="50">
        <v>0</v>
      </c>
    </row>
    <row r="65" spans="1:9" ht="15">
      <c r="A65" s="43" t="str">
        <f>HLOOKUP(INDICE!$F$2,Nombres!$C$3:$D$636,34,FALSE)</f>
        <v>Comisiones netas</v>
      </c>
      <c r="B65" s="44">
        <v>119.56501519251668</v>
      </c>
      <c r="C65" s="44">
        <v>148.63287227033368</v>
      </c>
      <c r="D65" s="44">
        <v>161.46138835545574</v>
      </c>
      <c r="E65" s="45">
        <v>166.38646607235137</v>
      </c>
      <c r="F65" s="44">
        <v>174.82545756275724</v>
      </c>
      <c r="G65" s="44">
        <v>216.56634131688887</v>
      </c>
      <c r="H65" s="44">
        <v>217.44330049035386</v>
      </c>
      <c r="I65" s="44">
        <v>0</v>
      </c>
    </row>
    <row r="66" spans="1:9" ht="15">
      <c r="A66" s="43" t="str">
        <f>HLOOKUP(INDICE!$F$2,Nombres!$C$3:$D$636,35,FALSE)</f>
        <v>Resultados de operaciones financieras</v>
      </c>
      <c r="B66" s="44">
        <v>72.18569971962768</v>
      </c>
      <c r="C66" s="44">
        <v>109.69544691175724</v>
      </c>
      <c r="D66" s="44">
        <v>72.49940894956656</v>
      </c>
      <c r="E66" s="45">
        <v>78.5116432642602</v>
      </c>
      <c r="F66" s="44">
        <v>90.81416849745727</v>
      </c>
      <c r="G66" s="44">
        <v>107.91417941637691</v>
      </c>
      <c r="H66" s="44">
        <v>156.00672649616575</v>
      </c>
      <c r="I66" s="44">
        <v>0</v>
      </c>
    </row>
    <row r="67" spans="1:9" ht="15">
      <c r="A67" s="43" t="str">
        <f>HLOOKUP(INDICE!$F$2,Nombres!$C$3:$D$636,36,FALSE)</f>
        <v>Otros ingresos y cargas de explotación</v>
      </c>
      <c r="B67" s="44">
        <v>-134.21725853169295</v>
      </c>
      <c r="C67" s="44">
        <v>-151.32902716430038</v>
      </c>
      <c r="D67" s="44">
        <v>-142.96631273419575</v>
      </c>
      <c r="E67" s="45">
        <v>-163.53189496489367</v>
      </c>
      <c r="F67" s="44">
        <v>-193.7906135131771</v>
      </c>
      <c r="G67" s="44">
        <v>-276.4885829790325</v>
      </c>
      <c r="H67" s="44">
        <v>-399.36180350779034</v>
      </c>
      <c r="I67" s="44">
        <v>0</v>
      </c>
    </row>
    <row r="68" spans="1:9" ht="15">
      <c r="A68" s="41" t="str">
        <f>HLOOKUP(INDICE!$F$2,Nombres!$C$3:$D$636,37,FALSE)</f>
        <v>Margen bruto</v>
      </c>
      <c r="B68" s="41">
        <f>+SUM(B64:B67)</f>
        <v>685.8536762080569</v>
      </c>
      <c r="C68" s="41">
        <f aca="true" t="shared" si="9" ref="C68:I68">+SUM(C64:C67)</f>
        <v>772.8794688420619</v>
      </c>
      <c r="D68" s="41">
        <f t="shared" si="9"/>
        <v>821.6909335604668</v>
      </c>
      <c r="E68" s="42">
        <f t="shared" si="9"/>
        <v>876.6218725283592</v>
      </c>
      <c r="F68" s="50">
        <f t="shared" si="9"/>
        <v>855.1454368327707</v>
      </c>
      <c r="G68" s="50">
        <f t="shared" si="9"/>
        <v>1053.8138449826718</v>
      </c>
      <c r="H68" s="50">
        <f t="shared" si="9"/>
        <v>1258.5398888745576</v>
      </c>
      <c r="I68" s="50">
        <f t="shared" si="9"/>
        <v>0</v>
      </c>
    </row>
    <row r="69" spans="1:9" ht="15">
      <c r="A69" s="43" t="str">
        <f>HLOOKUP(INDICE!$F$2,Nombres!$C$3:$D$636,38,FALSE)</f>
        <v>Gastos de explotación</v>
      </c>
      <c r="B69" s="44">
        <v>-329.8326208330431</v>
      </c>
      <c r="C69" s="44">
        <v>-354.482000945608</v>
      </c>
      <c r="D69" s="44">
        <v>-395.96054764153234</v>
      </c>
      <c r="E69" s="45">
        <v>-434.8482268821721</v>
      </c>
      <c r="F69" s="44">
        <v>-403.593396413646</v>
      </c>
      <c r="G69" s="44">
        <v>-495.25126920000423</v>
      </c>
      <c r="H69" s="44">
        <v>-594.6919835463495</v>
      </c>
      <c r="I69" s="44">
        <v>0</v>
      </c>
    </row>
    <row r="70" spans="1:9" ht="15">
      <c r="A70" s="43" t="str">
        <f>HLOOKUP(INDICE!$F$2,Nombres!$C$3:$D$636,39,FALSE)</f>
        <v>  Gastos de administración</v>
      </c>
      <c r="B70" s="44">
        <v>-295.0744832367833</v>
      </c>
      <c r="C70" s="44">
        <v>-317.41622291986585</v>
      </c>
      <c r="D70" s="44">
        <v>-357.24446000136754</v>
      </c>
      <c r="E70" s="45">
        <v>-394.6740072929897</v>
      </c>
      <c r="F70" s="44">
        <v>-368.4851895227334</v>
      </c>
      <c r="G70" s="44">
        <v>-448.12129731790066</v>
      </c>
      <c r="H70" s="44">
        <v>-547.1461623193659</v>
      </c>
      <c r="I70" s="44">
        <v>0</v>
      </c>
    </row>
    <row r="71" spans="1:9" ht="15">
      <c r="A71" s="46" t="str">
        <f>HLOOKUP(INDICE!$F$2,Nombres!$C$3:$D$636,40,FALSE)</f>
        <v>  Gastos de personal</v>
      </c>
      <c r="B71" s="44">
        <v>-158.98147879056972</v>
      </c>
      <c r="C71" s="44">
        <v>-167.595688471815</v>
      </c>
      <c r="D71" s="44">
        <v>-186.53364388673975</v>
      </c>
      <c r="E71" s="45">
        <v>-207.8536303156297</v>
      </c>
      <c r="F71" s="44">
        <v>-195.63059160152656</v>
      </c>
      <c r="G71" s="44">
        <v>-238.4026078561904</v>
      </c>
      <c r="H71" s="44">
        <v>-280.20409275228303</v>
      </c>
      <c r="I71" s="44">
        <v>0</v>
      </c>
    </row>
    <row r="72" spans="1:9" ht="15">
      <c r="A72" s="46" t="str">
        <f>HLOOKUP(INDICE!$F$2,Nombres!$C$3:$D$636,41,FALSE)</f>
        <v>  Otros gastos de administración</v>
      </c>
      <c r="B72" s="44">
        <v>-136.09300444621357</v>
      </c>
      <c r="C72" s="44">
        <v>-149.8205344480509</v>
      </c>
      <c r="D72" s="44">
        <v>-170.71081611462773</v>
      </c>
      <c r="E72" s="45">
        <v>-186.82037697735996</v>
      </c>
      <c r="F72" s="44">
        <v>-172.8545979212068</v>
      </c>
      <c r="G72" s="44">
        <v>-209.71868946171037</v>
      </c>
      <c r="H72" s="44">
        <v>-266.9420695670828</v>
      </c>
      <c r="I72" s="44">
        <v>0</v>
      </c>
    </row>
    <row r="73" spans="1:9" ht="15">
      <c r="A73" s="43" t="str">
        <f>HLOOKUP(INDICE!$F$2,Nombres!$C$3:$D$636,42,FALSE)</f>
        <v>  Amortización</v>
      </c>
      <c r="B73" s="44">
        <v>-34.758137596259786</v>
      </c>
      <c r="C73" s="44">
        <v>-37.065778025742034</v>
      </c>
      <c r="D73" s="44">
        <v>-38.71608764016483</v>
      </c>
      <c r="E73" s="45">
        <v>-40.17421958918244</v>
      </c>
      <c r="F73" s="44">
        <v>-35.108206890912705</v>
      </c>
      <c r="G73" s="44">
        <v>-47.12997188210352</v>
      </c>
      <c r="H73" s="44">
        <v>-47.545821226983776</v>
      </c>
      <c r="I73" s="44">
        <v>0</v>
      </c>
    </row>
    <row r="74" spans="1:9" ht="15">
      <c r="A74" s="41" t="str">
        <f>HLOOKUP(INDICE!$F$2,Nombres!$C$3:$D$636,43,FALSE)</f>
        <v>Margen neto</v>
      </c>
      <c r="B74" s="41">
        <f>+B68+B69</f>
        <v>356.02105537501376</v>
      </c>
      <c r="C74" s="41">
        <f aca="true" t="shared" si="10" ref="C74:I74">+C68+C69</f>
        <v>418.3974678964539</v>
      </c>
      <c r="D74" s="41">
        <f t="shared" si="10"/>
        <v>425.7303859189344</v>
      </c>
      <c r="E74" s="42">
        <f t="shared" si="10"/>
        <v>441.77364564618705</v>
      </c>
      <c r="F74" s="50">
        <f t="shared" si="10"/>
        <v>451.55204041912464</v>
      </c>
      <c r="G74" s="50">
        <f t="shared" si="10"/>
        <v>558.5625757826675</v>
      </c>
      <c r="H74" s="50">
        <f t="shared" si="10"/>
        <v>663.8479053282081</v>
      </c>
      <c r="I74" s="50">
        <f t="shared" si="10"/>
        <v>0</v>
      </c>
    </row>
    <row r="75" spans="1:9" ht="15">
      <c r="A75" s="43" t="str">
        <f>HLOOKUP(INDICE!$F$2,Nombres!$C$3:$D$636,44,FALSE)</f>
        <v>Deterioro de activos financieros no valorados a valor razonable con cambios en resultados</v>
      </c>
      <c r="B75" s="44">
        <v>-160.3068949594621</v>
      </c>
      <c r="C75" s="44">
        <v>-191.93583297556128</v>
      </c>
      <c r="D75" s="44">
        <v>-175.62329873211365</v>
      </c>
      <c r="E75" s="45">
        <v>-119.48219526694089</v>
      </c>
      <c r="F75" s="44">
        <v>-137.40875462761647</v>
      </c>
      <c r="G75" s="44">
        <v>-129.43334229166084</v>
      </c>
      <c r="H75" s="44">
        <v>-214.9439030807227</v>
      </c>
      <c r="I75" s="44">
        <v>0</v>
      </c>
    </row>
    <row r="76" spans="1:9" ht="15">
      <c r="A76" s="43" t="str">
        <f>HLOOKUP(INDICE!$F$2,Nombres!$C$3:$D$636,45,FALSE)</f>
        <v>Provisiones o reversión de provisiones y otros resultados</v>
      </c>
      <c r="B76" s="44">
        <v>-15.94310642840885</v>
      </c>
      <c r="C76" s="44">
        <v>-14.264300721948773</v>
      </c>
      <c r="D76" s="44">
        <v>-19.663543436800364</v>
      </c>
      <c r="E76" s="45">
        <v>-29.55682523818849</v>
      </c>
      <c r="F76" s="44">
        <v>-16.163261603507653</v>
      </c>
      <c r="G76" s="44">
        <v>-24.167605976007398</v>
      </c>
      <c r="H76" s="44">
        <v>-23.025342420484957</v>
      </c>
      <c r="I76" s="44">
        <v>0</v>
      </c>
    </row>
    <row r="77" spans="1:9" ht="15">
      <c r="A77" s="41" t="str">
        <f>HLOOKUP(INDICE!$F$2,Nombres!$C$3:$D$636,46,FALSE)</f>
        <v>Resultado antes de impuestos</v>
      </c>
      <c r="B77" s="41">
        <f>+B74+B75+B76</f>
        <v>179.7710539871428</v>
      </c>
      <c r="C77" s="41">
        <f aca="true" t="shared" si="11" ref="C77:I77">+C74+C75+C76</f>
        <v>212.19733419894385</v>
      </c>
      <c r="D77" s="41">
        <f t="shared" si="11"/>
        <v>230.4435437500204</v>
      </c>
      <c r="E77" s="42">
        <f t="shared" si="11"/>
        <v>292.7346251410577</v>
      </c>
      <c r="F77" s="50">
        <f t="shared" si="11"/>
        <v>297.9800241880005</v>
      </c>
      <c r="G77" s="50">
        <f t="shared" si="11"/>
        <v>404.9616275149993</v>
      </c>
      <c r="H77" s="50">
        <f t="shared" si="11"/>
        <v>425.87865982700043</v>
      </c>
      <c r="I77" s="50">
        <f t="shared" si="11"/>
        <v>0</v>
      </c>
    </row>
    <row r="78" spans="1:9" ht="15">
      <c r="A78" s="43" t="str">
        <f>HLOOKUP(INDICE!$F$2,Nombres!$C$3:$D$636,47,FALSE)</f>
        <v>Impuesto sobre beneficios</v>
      </c>
      <c r="B78" s="44">
        <v>-52.60096278769958</v>
      </c>
      <c r="C78" s="44">
        <v>-72.45265668128278</v>
      </c>
      <c r="D78" s="44">
        <v>-72.61837815594578</v>
      </c>
      <c r="E78" s="45">
        <v>-77.42232455515004</v>
      </c>
      <c r="F78" s="44">
        <v>-83.43518315920782</v>
      </c>
      <c r="G78" s="44">
        <v>-46.17915930070305</v>
      </c>
      <c r="H78" s="44">
        <v>-104.32257349008914</v>
      </c>
      <c r="I78" s="44">
        <v>0</v>
      </c>
    </row>
    <row r="79" spans="1:9" ht="15">
      <c r="A79" s="41" t="str">
        <f>HLOOKUP(INDICE!$F$2,Nombres!$C$3:$D$636,48,FALSE)</f>
        <v>Resultado del ejercicio</v>
      </c>
      <c r="B79" s="41">
        <f>+B77+B78</f>
        <v>127.17009119944322</v>
      </c>
      <c r="C79" s="41">
        <f aca="true" t="shared" si="12" ref="C79:I79">+C77+C78</f>
        <v>139.74467751766107</v>
      </c>
      <c r="D79" s="41">
        <f t="shared" si="12"/>
        <v>157.82516559407463</v>
      </c>
      <c r="E79" s="42">
        <f t="shared" si="12"/>
        <v>215.31230058590762</v>
      </c>
      <c r="F79" s="50">
        <f t="shared" si="12"/>
        <v>214.5448410287927</v>
      </c>
      <c r="G79" s="50">
        <f t="shared" si="12"/>
        <v>358.7824682142963</v>
      </c>
      <c r="H79" s="50">
        <f t="shared" si="12"/>
        <v>321.5560863369113</v>
      </c>
      <c r="I79" s="50">
        <f t="shared" si="12"/>
        <v>0</v>
      </c>
    </row>
    <row r="80" spans="1:9" ht="15">
      <c r="A80" s="43" t="str">
        <f>HLOOKUP(INDICE!$F$2,Nombres!$C$3:$D$636,49,FALSE)</f>
        <v>Minoritarios</v>
      </c>
      <c r="B80" s="44">
        <v>-36.25492981413237</v>
      </c>
      <c r="C80" s="44">
        <v>-35.05868596160598</v>
      </c>
      <c r="D80" s="44">
        <v>-43.998143717414194</v>
      </c>
      <c r="E80" s="45">
        <v>-67.09361744056012</v>
      </c>
      <c r="F80" s="44">
        <v>-63.92101879842681</v>
      </c>
      <c r="G80" s="44">
        <v>-113.3059552690925</v>
      </c>
      <c r="H80" s="44">
        <v>-104.1018208924807</v>
      </c>
      <c r="I80" s="44">
        <v>0</v>
      </c>
    </row>
    <row r="81" spans="1:9" ht="15">
      <c r="A81" s="47" t="str">
        <f>HLOOKUP(INDICE!$F$2,Nombres!$C$3:$D$636,50,FALSE)</f>
        <v>Resultado atribuido</v>
      </c>
      <c r="B81" s="47">
        <f>+B79+B80</f>
        <v>90.91516138531085</v>
      </c>
      <c r="C81" s="47">
        <f aca="true" t="shared" si="13" ref="C81:I81">+C79+C80</f>
        <v>104.68599155605509</v>
      </c>
      <c r="D81" s="47">
        <f t="shared" si="13"/>
        <v>113.82702187666044</v>
      </c>
      <c r="E81" s="47">
        <f t="shared" si="13"/>
        <v>148.21868314534748</v>
      </c>
      <c r="F81" s="51">
        <f t="shared" si="13"/>
        <v>150.62382223036587</v>
      </c>
      <c r="G81" s="51">
        <f t="shared" si="13"/>
        <v>245.47651294520378</v>
      </c>
      <c r="H81" s="51">
        <f t="shared" si="13"/>
        <v>217.45426544443058</v>
      </c>
      <c r="I81" s="51">
        <f t="shared" si="13"/>
        <v>0</v>
      </c>
    </row>
    <row r="82" spans="1:9" ht="15">
      <c r="A82" s="62"/>
      <c r="B82" s="63">
        <v>1.5631940186722204E-13</v>
      </c>
      <c r="C82" s="63">
        <v>-1.7053025658242404E-13</v>
      </c>
      <c r="D82" s="63">
        <v>0</v>
      </c>
      <c r="E82" s="63">
        <v>-2.5579538487363607E-13</v>
      </c>
      <c r="F82" s="63">
        <v>0</v>
      </c>
      <c r="G82" s="63">
        <v>0</v>
      </c>
      <c r="H82" s="63">
        <v>2.8421709430404007E-13</v>
      </c>
      <c r="I82" s="63">
        <v>0</v>
      </c>
    </row>
    <row r="83" spans="1:15" ht="15">
      <c r="A83" s="41"/>
      <c r="B83" s="41"/>
      <c r="C83" s="41"/>
      <c r="D83" s="41"/>
      <c r="E83" s="41"/>
      <c r="F83" s="50"/>
      <c r="G83" s="50"/>
      <c r="H83" s="50"/>
      <c r="I83" s="50"/>
      <c r="N83" s="160"/>
      <c r="O83" s="160"/>
    </row>
    <row r="84" spans="1:15" ht="18">
      <c r="A84" s="33" t="str">
        <f>HLOOKUP(INDICE!$F$2,Nombres!$C$3:$D$636,51,FALSE)</f>
        <v>Balances</v>
      </c>
      <c r="B84" s="34"/>
      <c r="C84" s="34"/>
      <c r="D84" s="34"/>
      <c r="E84" s="34"/>
      <c r="F84" s="68"/>
      <c r="G84" s="68"/>
      <c r="H84" s="68"/>
      <c r="I84" s="68"/>
      <c r="N84" s="160"/>
      <c r="O84" s="160"/>
    </row>
    <row r="85" spans="1:15" ht="15">
      <c r="A85" s="35" t="str">
        <f>HLOOKUP(INDICE!$F$2,Nombres!$C$3:$D$636,73,FALSE)</f>
        <v>(Millones de euros constantes)</v>
      </c>
      <c r="B85" s="30"/>
      <c r="C85" s="52"/>
      <c r="D85" s="52"/>
      <c r="E85" s="52"/>
      <c r="F85" s="69"/>
      <c r="G85" s="44"/>
      <c r="H85" s="44"/>
      <c r="I85" s="44"/>
      <c r="N85" s="160"/>
      <c r="O85" s="160"/>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Efectivo, saldos en efectivo en bancos centrales y otros depósitos a la vista</v>
      </c>
      <c r="B87" s="44">
        <v>7009.605646612195</v>
      </c>
      <c r="C87" s="44">
        <v>7535.877373494909</v>
      </c>
      <c r="D87" s="44">
        <v>8509.324148198384</v>
      </c>
      <c r="E87" s="45">
        <v>8980.178323137301</v>
      </c>
      <c r="F87" s="44">
        <v>8261.098675781508</v>
      </c>
      <c r="G87" s="44">
        <v>8744.205887638152</v>
      </c>
      <c r="H87" s="44">
        <v>9752.209</v>
      </c>
      <c r="I87" s="44">
        <v>0</v>
      </c>
    </row>
    <row r="88" spans="1:9" ht="15">
      <c r="A88" s="43" t="str">
        <f>HLOOKUP(INDICE!$F$2,Nombres!$C$3:$D$636,53,FALSE)</f>
        <v>Activos financieros a valor razonable</v>
      </c>
      <c r="B88" s="58">
        <v>7703.664068445249</v>
      </c>
      <c r="C88" s="58">
        <v>7808.950304563654</v>
      </c>
      <c r="D88" s="58">
        <v>7923.870075753155</v>
      </c>
      <c r="E88" s="64">
        <v>7539.275103685297</v>
      </c>
      <c r="F88" s="44">
        <v>9721.025575145855</v>
      </c>
      <c r="G88" s="44">
        <v>10683.622691525612</v>
      </c>
      <c r="H88" s="44">
        <v>11690.131999999998</v>
      </c>
      <c r="I88" s="44">
        <v>0</v>
      </c>
    </row>
    <row r="89" spans="1:9" ht="15">
      <c r="A89" s="43" t="str">
        <f>HLOOKUP(INDICE!$F$2,Nombres!$C$3:$D$636,54,FALSE)</f>
        <v>Activos financieros a coste amortizado</v>
      </c>
      <c r="B89" s="44">
        <v>38249.77844822444</v>
      </c>
      <c r="C89" s="44">
        <v>39238.686608031865</v>
      </c>
      <c r="D89" s="44">
        <v>39740.623935314536</v>
      </c>
      <c r="E89" s="45">
        <v>40217.951695428004</v>
      </c>
      <c r="F89" s="44">
        <v>40265.35716318895</v>
      </c>
      <c r="G89" s="44">
        <v>42654.81870904084</v>
      </c>
      <c r="H89" s="44">
        <v>44430.94900000001</v>
      </c>
      <c r="I89" s="44">
        <v>0</v>
      </c>
    </row>
    <row r="90" spans="1:9" ht="15">
      <c r="A90" s="43" t="str">
        <f>HLOOKUP(INDICE!$F$2,Nombres!$C$3:$D$636,55,FALSE)</f>
        <v>    de los que préstamos y anticipos a la clientela</v>
      </c>
      <c r="B90" s="44">
        <v>34117.63117305769</v>
      </c>
      <c r="C90" s="44">
        <v>35456.47516504016</v>
      </c>
      <c r="D90" s="44">
        <v>35665.14338917624</v>
      </c>
      <c r="E90" s="45">
        <v>37253.13203969865</v>
      </c>
      <c r="F90" s="44">
        <v>37869.40640862811</v>
      </c>
      <c r="G90" s="44">
        <v>39665.07790639286</v>
      </c>
      <c r="H90" s="44">
        <v>41017.267</v>
      </c>
      <c r="I90" s="44">
        <v>0</v>
      </c>
    </row>
    <row r="91" spans="1:9" ht="15" customHeight="1" hidden="1">
      <c r="A91" s="43"/>
      <c r="B91" s="44"/>
      <c r="C91" s="44"/>
      <c r="D91" s="44"/>
      <c r="E91" s="45"/>
      <c r="F91" s="44"/>
      <c r="G91" s="44"/>
      <c r="H91" s="44"/>
      <c r="I91" s="44"/>
    </row>
    <row r="92" spans="1:9" ht="15">
      <c r="A92" s="43" t="str">
        <f>HLOOKUP(INDICE!$F$2,Nombres!$C$3:$D$636,56,FALSE)</f>
        <v>Activos tangibles</v>
      </c>
      <c r="B92" s="44">
        <v>821.9055706029741</v>
      </c>
      <c r="C92" s="44">
        <v>833.4214852787652</v>
      </c>
      <c r="D92" s="44">
        <v>855.9576945702483</v>
      </c>
      <c r="E92" s="45">
        <v>923.8583619886767</v>
      </c>
      <c r="F92" s="44">
        <v>986.1479729939133</v>
      </c>
      <c r="G92" s="44">
        <v>1085.1619214099278</v>
      </c>
      <c r="H92" s="44">
        <v>1177.8210000000001</v>
      </c>
      <c r="I92" s="44">
        <v>0</v>
      </c>
    </row>
    <row r="93" spans="1:9" ht="15">
      <c r="A93" s="43" t="str">
        <f>HLOOKUP(INDICE!$F$2,Nombres!$C$3:$D$636,57,FALSE)</f>
        <v>Otros activos</v>
      </c>
      <c r="B93" s="58">
        <f>+B94-B92-B89-B88-B87</f>
        <v>1711.4290828375179</v>
      </c>
      <c r="C93" s="58">
        <f aca="true" t="shared" si="15" ref="C93:I93">+C94-C92-C89-C88-C87</f>
        <v>1803.6119609684274</v>
      </c>
      <c r="D93" s="58">
        <f t="shared" si="15"/>
        <v>1789.788674393365</v>
      </c>
      <c r="E93" s="64">
        <f t="shared" si="15"/>
        <v>1797.8700868874657</v>
      </c>
      <c r="F93" s="44">
        <f t="shared" si="15"/>
        <v>1801.1966628187747</v>
      </c>
      <c r="G93" s="44">
        <f t="shared" si="15"/>
        <v>1957.7872486034503</v>
      </c>
      <c r="H93" s="44">
        <f t="shared" si="15"/>
        <v>2046.2190126599908</v>
      </c>
      <c r="I93" s="44">
        <f t="shared" si="15"/>
        <v>0</v>
      </c>
    </row>
    <row r="94" spans="1:9" ht="15">
      <c r="A94" s="47" t="str">
        <f>HLOOKUP(INDICE!$F$2,Nombres!$C$3:$D$636,58,FALSE)</f>
        <v>Total activo / pasivo</v>
      </c>
      <c r="B94" s="47">
        <v>55496.38281672238</v>
      </c>
      <c r="C94" s="47">
        <v>57220.54773233762</v>
      </c>
      <c r="D94" s="47">
        <v>58819.56452822969</v>
      </c>
      <c r="E94" s="47">
        <v>59459.133571126746</v>
      </c>
      <c r="F94" s="51">
        <v>61034.826049929005</v>
      </c>
      <c r="G94" s="51">
        <v>65125.59645821798</v>
      </c>
      <c r="H94" s="51">
        <v>69097.33001266</v>
      </c>
      <c r="I94" s="51">
        <v>0</v>
      </c>
    </row>
    <row r="95" spans="1:9" ht="15">
      <c r="A95" s="43" t="str">
        <f>HLOOKUP(INDICE!$F$2,Nombres!$C$3:$D$636,59,FALSE)</f>
        <v>Pasivos financieros mantenidos para negociar y designados a valor razonable con cambios en resultados</v>
      </c>
      <c r="B95" s="58">
        <v>1250.9765262596934</v>
      </c>
      <c r="C95" s="58">
        <v>1256.796902427216</v>
      </c>
      <c r="D95" s="58">
        <v>1713.9777489382159</v>
      </c>
      <c r="E95" s="64">
        <v>1972.7719740634154</v>
      </c>
      <c r="F95" s="44">
        <v>2484.767612682564</v>
      </c>
      <c r="G95" s="44">
        <v>3030.4708272319413</v>
      </c>
      <c r="H95" s="44">
        <v>3560.7909999999997</v>
      </c>
      <c r="I95" s="44">
        <v>0</v>
      </c>
    </row>
    <row r="96" spans="1:9" ht="15">
      <c r="A96" s="43" t="str">
        <f>HLOOKUP(INDICE!$F$2,Nombres!$C$3:$D$636,60,FALSE)</f>
        <v>Depósitos de bancos centrales y entidades de crédito</v>
      </c>
      <c r="B96" s="58">
        <v>5730.13932498023</v>
      </c>
      <c r="C96" s="58">
        <v>6147.6613908774425</v>
      </c>
      <c r="D96" s="58">
        <v>6215.1903356737885</v>
      </c>
      <c r="E96" s="64">
        <v>6197.846449004897</v>
      </c>
      <c r="F96" s="44">
        <v>6636.428719000665</v>
      </c>
      <c r="G96" s="44">
        <v>5677.370300448712</v>
      </c>
      <c r="H96" s="44">
        <v>6112.710000000001</v>
      </c>
      <c r="I96" s="44">
        <v>0</v>
      </c>
    </row>
    <row r="97" spans="1:9" ht="15">
      <c r="A97" s="43" t="str">
        <f>HLOOKUP(INDICE!$F$2,Nombres!$C$3:$D$636,61,FALSE)</f>
        <v>Depósitos de la clientela</v>
      </c>
      <c r="B97" s="58">
        <v>36618.00747544955</v>
      </c>
      <c r="C97" s="58">
        <v>37843.68097794987</v>
      </c>
      <c r="D97" s="58">
        <v>38455.35977594292</v>
      </c>
      <c r="E97" s="64">
        <v>38503.95854768659</v>
      </c>
      <c r="F97" s="44">
        <v>38564.56638251585</v>
      </c>
      <c r="G97" s="44">
        <v>42424.73078967037</v>
      </c>
      <c r="H97" s="44">
        <v>44547.035</v>
      </c>
      <c r="I97" s="44">
        <v>0</v>
      </c>
    </row>
    <row r="98" spans="1:9" ht="15">
      <c r="A98" s="43" t="str">
        <f>HLOOKUP(INDICE!$F$2,Nombres!$C$3:$D$636,62,FALSE)</f>
        <v>Valores representativos de deuda emitidos</v>
      </c>
      <c r="B98" s="44">
        <v>3299.8798155315194</v>
      </c>
      <c r="C98" s="44">
        <v>3294.6808862091707</v>
      </c>
      <c r="D98" s="44">
        <v>3420.656282171312</v>
      </c>
      <c r="E98" s="45">
        <v>3429.827512942684</v>
      </c>
      <c r="F98" s="44">
        <v>3331.7583151007143</v>
      </c>
      <c r="G98" s="44">
        <v>3801.105755269582</v>
      </c>
      <c r="H98" s="44">
        <v>3278.1200854899994</v>
      </c>
      <c r="I98" s="44">
        <v>0</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3915.2385079356236</v>
      </c>
      <c r="C100" s="58">
        <f aca="true" t="shared" si="16" ref="C100:I100">+C94-C95-C96-C97-C98-C101</f>
        <v>3934.5995605488188</v>
      </c>
      <c r="D100" s="58">
        <f t="shared" si="16"/>
        <v>4039.619235923765</v>
      </c>
      <c r="E100" s="64">
        <f t="shared" si="16"/>
        <v>4084.7155404205223</v>
      </c>
      <c r="F100" s="44">
        <f t="shared" si="16"/>
        <v>4485.12927643488</v>
      </c>
      <c r="G100" s="44">
        <f t="shared" si="16"/>
        <v>4251.565933650103</v>
      </c>
      <c r="H100" s="44">
        <f t="shared" si="16"/>
        <v>5293.3652503299945</v>
      </c>
      <c r="I100" s="44">
        <f t="shared" si="16"/>
        <v>0</v>
      </c>
    </row>
    <row r="101" spans="1:9" ht="15">
      <c r="A101" s="43" t="str">
        <f>HLOOKUP(INDICE!$F$2,Nombres!$C$3:$D$636,282,FALSE)</f>
        <v>Dotación de capital regulatorio</v>
      </c>
      <c r="B101" s="58">
        <v>4682.141166565762</v>
      </c>
      <c r="C101" s="58">
        <v>4743.128014325093</v>
      </c>
      <c r="D101" s="58">
        <v>4974.761149579688</v>
      </c>
      <c r="E101" s="64">
        <v>5270.013547008635</v>
      </c>
      <c r="F101" s="44">
        <v>5532.1757441943355</v>
      </c>
      <c r="G101" s="44">
        <v>5940.352851947273</v>
      </c>
      <c r="H101" s="44">
        <v>6305.308676839999</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Préstamos y anticipos a la clientela bruto (*)</v>
      </c>
      <c r="B107" s="44">
        <v>36109.56548093263</v>
      </c>
      <c r="C107" s="44">
        <v>37493.79537025941</v>
      </c>
      <c r="D107" s="44">
        <v>37653.79769899669</v>
      </c>
      <c r="E107" s="45">
        <v>39109.25729368511</v>
      </c>
      <c r="F107" s="44">
        <v>39686.55606394971</v>
      </c>
      <c r="G107" s="44">
        <v>41517.002129565975</v>
      </c>
      <c r="H107" s="44">
        <v>42900.64476740001</v>
      </c>
      <c r="I107" s="44">
        <v>0</v>
      </c>
    </row>
    <row r="108" spans="1:9" ht="15">
      <c r="A108" s="43" t="str">
        <f>HLOOKUP(INDICE!$F$2,Nombres!$C$3:$D$636,67,FALSE)</f>
        <v>Depósitos de clientes en gestión (**)</v>
      </c>
      <c r="B108" s="44">
        <v>36634.24894381531</v>
      </c>
      <c r="C108" s="44">
        <v>37846.93932506647</v>
      </c>
      <c r="D108" s="44">
        <v>38454.11076507286</v>
      </c>
      <c r="E108" s="45">
        <v>38533.3011442552</v>
      </c>
      <c r="F108" s="44">
        <v>38584.14915230217</v>
      </c>
      <c r="G108" s="44">
        <v>42443.90652699848</v>
      </c>
      <c r="H108" s="44">
        <v>44577.655588170004</v>
      </c>
      <c r="I108" s="44">
        <v>0</v>
      </c>
    </row>
    <row r="109" spans="1:9" ht="15">
      <c r="A109" s="43" t="str">
        <f>HLOOKUP(INDICE!$F$2,Nombres!$C$3:$D$636,68,FALSE)</f>
        <v>Fondos de inversión y carteras gestionadas</v>
      </c>
      <c r="B109" s="44">
        <v>5174.963310498028</v>
      </c>
      <c r="C109" s="44">
        <v>4776.013283685927</v>
      </c>
      <c r="D109" s="44">
        <v>4747.103440278446</v>
      </c>
      <c r="E109" s="45">
        <v>5721.809759858112</v>
      </c>
      <c r="F109" s="44">
        <v>5768.986371115525</v>
      </c>
      <c r="G109" s="44">
        <v>5509.314503135703</v>
      </c>
      <c r="H109" s="44">
        <v>6143.737032859998</v>
      </c>
      <c r="I109" s="44">
        <v>0</v>
      </c>
    </row>
    <row r="110" spans="1:9" ht="15">
      <c r="A110" s="43" t="str">
        <f>HLOOKUP(INDICE!$F$2,Nombres!$C$3:$D$636,69,FALSE)</f>
        <v>Fondos de pensiones</v>
      </c>
      <c r="B110" s="44">
        <v>11600.23176687156</v>
      </c>
      <c r="C110" s="44">
        <v>11854.389258151958</v>
      </c>
      <c r="D110" s="44">
        <v>12043.831277449257</v>
      </c>
      <c r="E110" s="45">
        <v>12193.562531053854</v>
      </c>
      <c r="F110" s="44">
        <v>12386.944806703468</v>
      </c>
      <c r="G110" s="44">
        <v>12538.208282019283</v>
      </c>
      <c r="H110" s="44">
        <v>12831.88276355</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998" ht="15">
      <c r="A998" s="31" t="s">
        <v>392</v>
      </c>
    </row>
  </sheetData>
  <sheetProtection/>
  <mergeCells count="4">
    <mergeCell ref="B6:E6"/>
    <mergeCell ref="F6:I6"/>
    <mergeCell ref="B62:E62"/>
    <mergeCell ref="F62:I62"/>
  </mergeCells>
  <conditionalFormatting sqref="C82:I82">
    <cfRule type="cellIs" priority="10" dxfId="131" operator="notBetween">
      <formula>0.5</formula>
      <formula>-0.5</formula>
    </cfRule>
  </conditionalFormatting>
  <conditionalFormatting sqref="C26">
    <cfRule type="cellIs" priority="9" dxfId="13" operator="notBetween">
      <formula>-0.4</formula>
      <formula>0.4</formula>
    </cfRule>
  </conditionalFormatting>
  <conditionalFormatting sqref="D26">
    <cfRule type="cellIs" priority="8" dxfId="13" operator="notBetween">
      <formula>-0.4</formula>
      <formula>0.4</formula>
    </cfRule>
  </conditionalFormatting>
  <conditionalFormatting sqref="E26">
    <cfRule type="cellIs" priority="7" dxfId="13" operator="notBetween">
      <formula>-0.4</formula>
      <formula>0.4</formula>
    </cfRule>
  </conditionalFormatting>
  <conditionalFormatting sqref="F26">
    <cfRule type="cellIs" priority="6" dxfId="13" operator="notBetween">
      <formula>-0.4</formula>
      <formula>0.4</formula>
    </cfRule>
  </conditionalFormatting>
  <conditionalFormatting sqref="G26">
    <cfRule type="cellIs" priority="5" dxfId="13" operator="notBetween">
      <formula>-0.4</formula>
      <formula>0.4</formula>
    </cfRule>
  </conditionalFormatting>
  <conditionalFormatting sqref="H26">
    <cfRule type="cellIs" priority="4" dxfId="13" operator="notBetween">
      <formula>-0.4</formula>
      <formula>0.4</formula>
    </cfRule>
  </conditionalFormatting>
  <conditionalFormatting sqref="I26">
    <cfRule type="cellIs" priority="3" dxfId="13" operator="notBetween">
      <formula>-0.4</formula>
      <formula>0.4</formula>
    </cfRule>
  </conditionalFormatting>
  <conditionalFormatting sqref="B26:I26">
    <cfRule type="cellIs" priority="2" dxfId="131" operator="notBetween">
      <formula>0.5</formula>
      <formula>-0.5</formula>
    </cfRule>
  </conditionalFormatting>
  <conditionalFormatting sqref="B82:I82">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29" t="str">
        <f>HLOOKUP(INDICE!$F$2,Nombres!$C$3:$D$636,14,FALSE)</f>
        <v>Argentina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13">
        <f>+España!B6</f>
        <v>2021</v>
      </c>
      <c r="C6" s="313"/>
      <c r="D6" s="313"/>
      <c r="E6" s="314"/>
      <c r="F6" s="313">
        <f>+España!F6</f>
        <v>2022</v>
      </c>
      <c r="G6" s="313"/>
      <c r="H6" s="313"/>
      <c r="I6" s="313"/>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201.59000000000003</v>
      </c>
      <c r="C8" s="41">
        <v>224.785</v>
      </c>
      <c r="D8" s="41">
        <v>282.751</v>
      </c>
      <c r="E8" s="42">
        <v>342.65200000000004</v>
      </c>
      <c r="F8" s="50">
        <v>318.816</v>
      </c>
      <c r="G8" s="50">
        <v>462.1120000000001</v>
      </c>
      <c r="H8" s="50">
        <v>612.8620000000001</v>
      </c>
      <c r="I8" s="50">
        <v>0</v>
      </c>
    </row>
    <row r="9" spans="1:9" ht="15">
      <c r="A9" s="43" t="str">
        <f>HLOOKUP(INDICE!$F$2,Nombres!$C$3:$D$636,34,FALSE)</f>
        <v>Comisiones netas</v>
      </c>
      <c r="B9" s="44">
        <v>31.211</v>
      </c>
      <c r="C9" s="44">
        <v>52.53021648</v>
      </c>
      <c r="D9" s="44">
        <v>60.98599999999999</v>
      </c>
      <c r="E9" s="45">
        <v>57.87094900000001</v>
      </c>
      <c r="F9" s="44">
        <v>61.04930800000001</v>
      </c>
      <c r="G9" s="44">
        <v>85.27700000000002</v>
      </c>
      <c r="H9" s="44">
        <v>75.36890299</v>
      </c>
      <c r="I9" s="44">
        <v>0</v>
      </c>
    </row>
    <row r="10" spans="1:9" ht="15">
      <c r="A10" s="43" t="str">
        <f>HLOOKUP(INDICE!$F$2,Nombres!$C$3:$D$636,35,FALSE)</f>
        <v>Resultados de operaciones financieras</v>
      </c>
      <c r="B10" s="44">
        <v>25.746997999999998</v>
      </c>
      <c r="C10" s="44">
        <v>24.615463</v>
      </c>
      <c r="D10" s="44">
        <v>25.485568999999998</v>
      </c>
      <c r="E10" s="45">
        <v>16.042649509999997</v>
      </c>
      <c r="F10" s="44">
        <v>34.023920000000004</v>
      </c>
      <c r="G10" s="44">
        <v>31.88125</v>
      </c>
      <c r="H10" s="44">
        <v>59.550112580000004</v>
      </c>
      <c r="I10" s="44">
        <v>0</v>
      </c>
    </row>
    <row r="11" spans="1:9" ht="15">
      <c r="A11" s="43" t="str">
        <f>HLOOKUP(INDICE!$F$2,Nombres!$C$3:$D$636,36,FALSE)</f>
        <v>Otros ingresos y cargas de explotación</v>
      </c>
      <c r="B11" s="44">
        <v>-121.00899999999999</v>
      </c>
      <c r="C11" s="44">
        <v>-125.608</v>
      </c>
      <c r="D11" s="44">
        <v>-119.70800000000001</v>
      </c>
      <c r="E11" s="45">
        <v>-161.60999999999999</v>
      </c>
      <c r="F11" s="44">
        <v>-185.903</v>
      </c>
      <c r="G11" s="44">
        <v>-262.47799999999995</v>
      </c>
      <c r="H11" s="44">
        <v>-365.0690000000001</v>
      </c>
      <c r="I11" s="44">
        <v>0</v>
      </c>
    </row>
    <row r="12" spans="1:9" ht="15">
      <c r="A12" s="41" t="str">
        <f>HLOOKUP(INDICE!$F$2,Nombres!$C$3:$D$636,37,FALSE)</f>
        <v>Margen bruto</v>
      </c>
      <c r="B12" s="41">
        <f>+SUM(B8:B11)</f>
        <v>137.53899800000008</v>
      </c>
      <c r="C12" s="41">
        <f aca="true" t="shared" si="0" ref="C12:I12">+SUM(C8:C11)</f>
        <v>176.32267947999998</v>
      </c>
      <c r="D12" s="41">
        <f t="shared" si="0"/>
        <v>249.51456899999994</v>
      </c>
      <c r="E12" s="42">
        <f t="shared" si="0"/>
        <v>254.95559851000004</v>
      </c>
      <c r="F12" s="50">
        <f t="shared" si="0"/>
        <v>227.986228</v>
      </c>
      <c r="G12" s="50">
        <f t="shared" si="0"/>
        <v>316.7922500000002</v>
      </c>
      <c r="H12" s="50">
        <f t="shared" si="0"/>
        <v>382.71201557000006</v>
      </c>
      <c r="I12" s="50">
        <f t="shared" si="0"/>
        <v>0</v>
      </c>
    </row>
    <row r="13" spans="1:9" ht="15">
      <c r="A13" s="43" t="str">
        <f>HLOOKUP(INDICE!$F$2,Nombres!$C$3:$D$636,38,FALSE)</f>
        <v>Gastos de explotación</v>
      </c>
      <c r="B13" s="44">
        <v>-106.12388035</v>
      </c>
      <c r="C13" s="44">
        <v>-118.05492236</v>
      </c>
      <c r="D13" s="44">
        <v>-162.63306934000002</v>
      </c>
      <c r="E13" s="45">
        <v>-177.55090436000003</v>
      </c>
      <c r="F13" s="44">
        <v>-145.78886380999998</v>
      </c>
      <c r="G13" s="44">
        <v>-216.16730637000003</v>
      </c>
      <c r="H13" s="44">
        <v>-244.90415468999996</v>
      </c>
      <c r="I13" s="44">
        <v>0</v>
      </c>
    </row>
    <row r="14" spans="1:9" ht="15">
      <c r="A14" s="43" t="str">
        <f>HLOOKUP(INDICE!$F$2,Nombres!$C$3:$D$636,39,FALSE)</f>
        <v>  Gastos de administración</v>
      </c>
      <c r="B14" s="44">
        <v>-98.70588035</v>
      </c>
      <c r="C14" s="44">
        <v>-108.32692236</v>
      </c>
      <c r="D14" s="44">
        <v>-151.30306934</v>
      </c>
      <c r="E14" s="45">
        <v>-164.43490436000002</v>
      </c>
      <c r="F14" s="44">
        <v>-139.93386381</v>
      </c>
      <c r="G14" s="44">
        <v>-199.43230637</v>
      </c>
      <c r="H14" s="44">
        <v>-229.19715468999996</v>
      </c>
      <c r="I14" s="44">
        <v>0</v>
      </c>
    </row>
    <row r="15" spans="1:9" ht="15">
      <c r="A15" s="46" t="str">
        <f>HLOOKUP(INDICE!$F$2,Nombres!$C$3:$D$636,40,FALSE)</f>
        <v>  Gastos de personal</v>
      </c>
      <c r="B15" s="44">
        <v>-55.644999999999996</v>
      </c>
      <c r="C15" s="44">
        <v>-59.501</v>
      </c>
      <c r="D15" s="44">
        <v>-75.02199999999999</v>
      </c>
      <c r="E15" s="45">
        <v>-82.89559500000001</v>
      </c>
      <c r="F15" s="44">
        <v>-75.525</v>
      </c>
      <c r="G15" s="44">
        <v>-107.994</v>
      </c>
      <c r="H15" s="44">
        <v>-119.57899999999998</v>
      </c>
      <c r="I15" s="44">
        <v>0</v>
      </c>
    </row>
    <row r="16" spans="1:9" ht="15">
      <c r="A16" s="46" t="str">
        <f>HLOOKUP(INDICE!$F$2,Nombres!$C$3:$D$636,41,FALSE)</f>
        <v>  Otros gastos de administración</v>
      </c>
      <c r="B16" s="44">
        <v>-43.06088035</v>
      </c>
      <c r="C16" s="44">
        <v>-48.82592236000001</v>
      </c>
      <c r="D16" s="44">
        <v>-76.28106933999999</v>
      </c>
      <c r="E16" s="45">
        <v>-81.53930936000003</v>
      </c>
      <c r="F16" s="44">
        <v>-64.40886380999999</v>
      </c>
      <c r="G16" s="44">
        <v>-91.43830637000002</v>
      </c>
      <c r="H16" s="44">
        <v>-109.61815468999998</v>
      </c>
      <c r="I16" s="44">
        <v>0</v>
      </c>
    </row>
    <row r="17" spans="1:9" ht="15">
      <c r="A17" s="43" t="str">
        <f>HLOOKUP(INDICE!$F$2,Nombres!$C$3:$D$636,42,FALSE)</f>
        <v>  Amortización</v>
      </c>
      <c r="B17" s="44">
        <v>-7.418000000000002</v>
      </c>
      <c r="C17" s="44">
        <v>-9.728</v>
      </c>
      <c r="D17" s="44">
        <v>-11.33</v>
      </c>
      <c r="E17" s="45">
        <v>-13.116</v>
      </c>
      <c r="F17" s="44">
        <v>-5.8549999999999995</v>
      </c>
      <c r="G17" s="44">
        <v>-16.735</v>
      </c>
      <c r="H17" s="44">
        <v>-15.706999999999997</v>
      </c>
      <c r="I17" s="44">
        <v>0</v>
      </c>
    </row>
    <row r="18" spans="1:9" ht="15">
      <c r="A18" s="41" t="str">
        <f>HLOOKUP(INDICE!$F$2,Nombres!$C$3:$D$636,43,FALSE)</f>
        <v>Margen neto</v>
      </c>
      <c r="B18" s="41">
        <f>+B12+B13</f>
        <v>31.415117650000084</v>
      </c>
      <c r="C18" s="41">
        <f aca="true" t="shared" si="1" ref="C18:I18">+C12+C13</f>
        <v>58.26775711999997</v>
      </c>
      <c r="D18" s="41">
        <f t="shared" si="1"/>
        <v>86.88149965999992</v>
      </c>
      <c r="E18" s="42">
        <f t="shared" si="1"/>
        <v>77.40469415000001</v>
      </c>
      <c r="F18" s="50">
        <f t="shared" si="1"/>
        <v>82.19736419000003</v>
      </c>
      <c r="G18" s="50">
        <f t="shared" si="1"/>
        <v>100.62494363000016</v>
      </c>
      <c r="H18" s="50">
        <f t="shared" si="1"/>
        <v>137.8078608800001</v>
      </c>
      <c r="I18" s="50">
        <f t="shared" si="1"/>
        <v>0</v>
      </c>
    </row>
    <row r="19" spans="1:9" ht="15">
      <c r="A19" s="43" t="str">
        <f>HLOOKUP(INDICE!$F$2,Nombres!$C$3:$D$636,44,FALSE)</f>
        <v>Deterioro de activos financieros no valorados a valor razonable con cambios en resultados</v>
      </c>
      <c r="B19" s="44">
        <v>-20.544000000000004</v>
      </c>
      <c r="C19" s="44">
        <v>-32.67099999999999</v>
      </c>
      <c r="D19" s="44">
        <v>-33.587999999999994</v>
      </c>
      <c r="E19" s="45">
        <v>-26.778</v>
      </c>
      <c r="F19" s="44">
        <v>-47.348999999999975</v>
      </c>
      <c r="G19" s="44">
        <v>-16.98500000000002</v>
      </c>
      <c r="H19" s="44">
        <v>-52.236999999999995</v>
      </c>
      <c r="I19" s="44">
        <v>0</v>
      </c>
    </row>
    <row r="20" spans="1:9" ht="15">
      <c r="A20" s="43" t="str">
        <f>HLOOKUP(INDICE!$F$2,Nombres!$C$3:$D$636,45,FALSE)</f>
        <v>Provisiones o reversión de provisiones y otros resultados</v>
      </c>
      <c r="B20" s="44">
        <v>-1.9580000000000004</v>
      </c>
      <c r="C20" s="44">
        <v>-4.7379999999999995</v>
      </c>
      <c r="D20" s="44">
        <v>-3.2439999999999998</v>
      </c>
      <c r="E20" s="45">
        <v>-9.539999999999997</v>
      </c>
      <c r="F20" s="44">
        <v>-4.836</v>
      </c>
      <c r="G20" s="44">
        <v>-12.673</v>
      </c>
      <c r="H20" s="44">
        <v>-3.695999999999998</v>
      </c>
      <c r="I20" s="44">
        <v>0</v>
      </c>
    </row>
    <row r="21" spans="1:9" ht="15">
      <c r="A21" s="41" t="str">
        <f>HLOOKUP(INDICE!$F$2,Nombres!$C$3:$D$636,46,FALSE)</f>
        <v>Resultado antes de impuestos</v>
      </c>
      <c r="B21" s="41">
        <f>+B18+B19+B20</f>
        <v>8.91311765000008</v>
      </c>
      <c r="C21" s="41">
        <f aca="true" t="shared" si="2" ref="C21:I21">+C18+C19+C20</f>
        <v>20.85875711999998</v>
      </c>
      <c r="D21" s="41">
        <f t="shared" si="2"/>
        <v>50.049499659999924</v>
      </c>
      <c r="E21" s="42">
        <f t="shared" si="2"/>
        <v>41.086694150000014</v>
      </c>
      <c r="F21" s="50">
        <f t="shared" si="2"/>
        <v>30.012364190000056</v>
      </c>
      <c r="G21" s="50">
        <f t="shared" si="2"/>
        <v>70.96694363000015</v>
      </c>
      <c r="H21" s="50">
        <f t="shared" si="2"/>
        <v>81.87486088000011</v>
      </c>
      <c r="I21" s="50">
        <f t="shared" si="2"/>
        <v>0</v>
      </c>
    </row>
    <row r="22" spans="1:9" ht="15">
      <c r="A22" s="43" t="str">
        <f>HLOOKUP(INDICE!$F$2,Nombres!$C$3:$D$636,47,FALSE)</f>
        <v>Impuesto sobre beneficios</v>
      </c>
      <c r="B22" s="44">
        <v>-3.435435299999999</v>
      </c>
      <c r="C22" s="44">
        <v>-9.961027120000002</v>
      </c>
      <c r="D22" s="44">
        <v>-10.61474992000001</v>
      </c>
      <c r="E22" s="45">
        <v>-12.272786740000027</v>
      </c>
      <c r="F22" s="44">
        <v>-4.880427639999995</v>
      </c>
      <c r="G22" s="44">
        <v>49.968401039999975</v>
      </c>
      <c r="H22" s="44">
        <v>-2.684797159999988</v>
      </c>
      <c r="I22" s="44">
        <v>0</v>
      </c>
    </row>
    <row r="23" spans="1:9" ht="15">
      <c r="A23" s="41" t="str">
        <f>HLOOKUP(INDICE!$F$2,Nombres!$C$3:$D$636,48,FALSE)</f>
        <v>Resultado del ejercicio</v>
      </c>
      <c r="B23" s="41">
        <f>+B21+B22</f>
        <v>5.477682350000081</v>
      </c>
      <c r="C23" s="41">
        <f aca="true" t="shared" si="3" ref="C23:I23">+C21+C22</f>
        <v>10.897729999999976</v>
      </c>
      <c r="D23" s="41">
        <f t="shared" si="3"/>
        <v>39.434749739999916</v>
      </c>
      <c r="E23" s="42">
        <f t="shared" si="3"/>
        <v>28.813907409999985</v>
      </c>
      <c r="F23" s="50">
        <f t="shared" si="3"/>
        <v>25.131936550000063</v>
      </c>
      <c r="G23" s="50">
        <f t="shared" si="3"/>
        <v>120.93534467000012</v>
      </c>
      <c r="H23" s="50">
        <f t="shared" si="3"/>
        <v>79.19006372000013</v>
      </c>
      <c r="I23" s="50">
        <f t="shared" si="3"/>
        <v>0</v>
      </c>
    </row>
    <row r="24" spans="1:9" ht="15">
      <c r="A24" s="43" t="str">
        <f>HLOOKUP(INDICE!$F$2,Nombres!$C$3:$D$636,49,FALSE)</f>
        <v>Minoritarios</v>
      </c>
      <c r="B24" s="44">
        <v>-1.0705837599999972</v>
      </c>
      <c r="C24" s="44">
        <v>-2.3194256900000028</v>
      </c>
      <c r="D24" s="44">
        <v>-13.459307979999993</v>
      </c>
      <c r="E24" s="45">
        <v>-9.535898540000012</v>
      </c>
      <c r="F24" s="44">
        <v>-6.679911369999999</v>
      </c>
      <c r="G24" s="44">
        <v>-38.769879939999996</v>
      </c>
      <c r="H24" s="44">
        <v>-23.84957100999999</v>
      </c>
      <c r="I24" s="44">
        <v>0</v>
      </c>
    </row>
    <row r="25" spans="1:9" ht="15">
      <c r="A25" s="47" t="str">
        <f>HLOOKUP(INDICE!$F$2,Nombres!$C$3:$D$636,50,FALSE)</f>
        <v>Resultado atribuido</v>
      </c>
      <c r="B25" s="47">
        <f>+B23+B24</f>
        <v>4.407098590000084</v>
      </c>
      <c r="C25" s="47">
        <f aca="true" t="shared" si="4" ref="C25:I25">+C23+C24</f>
        <v>8.578304309999973</v>
      </c>
      <c r="D25" s="47">
        <f t="shared" si="4"/>
        <v>25.975441759999924</v>
      </c>
      <c r="E25" s="47">
        <f t="shared" si="4"/>
        <v>19.278008869999972</v>
      </c>
      <c r="F25" s="51">
        <f t="shared" si="4"/>
        <v>18.452025180000064</v>
      </c>
      <c r="G25" s="51">
        <f t="shared" si="4"/>
        <v>82.16546473000012</v>
      </c>
      <c r="H25" s="51">
        <f t="shared" si="4"/>
        <v>55.340492710000134</v>
      </c>
      <c r="I25" s="51">
        <f t="shared" si="4"/>
        <v>0</v>
      </c>
    </row>
    <row r="26" spans="1:9" ht="15">
      <c r="A26" s="62"/>
      <c r="B26" s="63">
        <v>5.5067062021407764E-14</v>
      </c>
      <c r="C26" s="63">
        <v>0</v>
      </c>
      <c r="D26" s="63">
        <v>-4.973799150320701E-14</v>
      </c>
      <c r="E26" s="63">
        <v>0</v>
      </c>
      <c r="F26" s="63">
        <v>6.394884621840902E-14</v>
      </c>
      <c r="G26" s="63">
        <v>0</v>
      </c>
      <c r="H26" s="63">
        <v>5.684341886080802E-14</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Efectivo, saldos en efectivo en bancos centrales y otros depósitos a la vista</v>
      </c>
      <c r="B31" s="44">
        <v>1814.7499999999998</v>
      </c>
      <c r="C31" s="44">
        <v>1743.115</v>
      </c>
      <c r="D31" s="44">
        <v>1725.562</v>
      </c>
      <c r="E31" s="45">
        <v>1883.8760000000002</v>
      </c>
      <c r="F31" s="44">
        <v>1617.2679999999998</v>
      </c>
      <c r="G31" s="44">
        <v>1458.5610000000001</v>
      </c>
      <c r="H31" s="44">
        <v>1430.5249999999999</v>
      </c>
      <c r="I31" s="44">
        <v>0</v>
      </c>
    </row>
    <row r="32" spans="1:9" ht="15">
      <c r="A32" s="43" t="str">
        <f>HLOOKUP(INDICE!$F$2,Nombres!$C$3:$D$636,53,FALSE)</f>
        <v>Activos financieros a valor razonable</v>
      </c>
      <c r="B32" s="58">
        <v>1347.5679999999998</v>
      </c>
      <c r="C32" s="58">
        <v>1426.29</v>
      </c>
      <c r="D32" s="58">
        <v>1574.5140000000001</v>
      </c>
      <c r="E32" s="64">
        <v>1590.261</v>
      </c>
      <c r="F32" s="44">
        <v>2951.362</v>
      </c>
      <c r="G32" s="44">
        <v>3358.946</v>
      </c>
      <c r="H32" s="44">
        <v>3762.2329999999997</v>
      </c>
      <c r="I32" s="44">
        <v>0</v>
      </c>
    </row>
    <row r="33" spans="1:9" ht="15">
      <c r="A33" s="43" t="str">
        <f>HLOOKUP(INDICE!$F$2,Nombres!$C$3:$D$636,54,FALSE)</f>
        <v>Activos financieros a coste amortizado</v>
      </c>
      <c r="B33" s="44">
        <v>3214.4900000000002</v>
      </c>
      <c r="C33" s="44">
        <v>3911.3070000000002</v>
      </c>
      <c r="D33" s="44">
        <v>4157.168</v>
      </c>
      <c r="E33" s="45">
        <v>4826.938999999999</v>
      </c>
      <c r="F33" s="44">
        <v>4265.255999999999</v>
      </c>
      <c r="G33" s="44">
        <v>5266.887000000001</v>
      </c>
      <c r="H33" s="44">
        <v>5177.993</v>
      </c>
      <c r="I33" s="44">
        <v>0</v>
      </c>
    </row>
    <row r="34" spans="1:9" ht="15">
      <c r="A34" s="43" t="str">
        <f>HLOOKUP(INDICE!$F$2,Nombres!$C$3:$D$636,55,FALSE)</f>
        <v>    de los que préstamos y anticipos a la clientela</v>
      </c>
      <c r="B34" s="44">
        <v>2678.9059999999995</v>
      </c>
      <c r="C34" s="44">
        <v>2718.075</v>
      </c>
      <c r="D34" s="44">
        <v>2908.585</v>
      </c>
      <c r="E34" s="45">
        <v>3296.4390000000003</v>
      </c>
      <c r="F34" s="44">
        <v>3349.9570000000003</v>
      </c>
      <c r="G34" s="44">
        <v>3977.5950000000003</v>
      </c>
      <c r="H34" s="44">
        <v>4059.781</v>
      </c>
      <c r="I34" s="44">
        <v>0</v>
      </c>
    </row>
    <row r="35" spans="1:9" ht="15" customHeight="1" hidden="1">
      <c r="A35" s="43"/>
      <c r="B35" s="44"/>
      <c r="C35" s="44"/>
      <c r="D35" s="44"/>
      <c r="E35" s="45"/>
      <c r="F35" s="44"/>
      <c r="G35" s="44"/>
      <c r="H35" s="44"/>
      <c r="I35" s="44"/>
    </row>
    <row r="36" spans="1:9" ht="15">
      <c r="A36" s="43" t="str">
        <f>HLOOKUP(INDICE!$F$2,Nombres!$C$3:$D$636,56,FALSE)</f>
        <v>Activos tangibles</v>
      </c>
      <c r="B36" s="44">
        <v>358.37536584</v>
      </c>
      <c r="C36" s="44">
        <v>374.83600000000007</v>
      </c>
      <c r="D36" s="44">
        <v>399.10699999999997</v>
      </c>
      <c r="E36" s="45">
        <v>451.578</v>
      </c>
      <c r="F36" s="44">
        <v>524.04</v>
      </c>
      <c r="G36" s="44">
        <v>621.434</v>
      </c>
      <c r="H36" s="44">
        <v>682.75</v>
      </c>
      <c r="I36" s="44">
        <v>0</v>
      </c>
    </row>
    <row r="37" spans="1:9" ht="15">
      <c r="A37" s="43" t="str">
        <f>HLOOKUP(INDICE!$F$2,Nombres!$C$3:$D$636,57,FALSE)</f>
        <v>Otros activos</v>
      </c>
      <c r="B37" s="58">
        <f>+B38-B36-B33-B32-B31</f>
        <v>295.6163780199988</v>
      </c>
      <c r="C37" s="58">
        <f aca="true" t="shared" si="5" ref="C37:I37">+C38-C36-C33-C32-C31</f>
        <v>294.76199999999994</v>
      </c>
      <c r="D37" s="58">
        <f t="shared" si="5"/>
        <v>270.47801206000076</v>
      </c>
      <c r="E37" s="64">
        <f t="shared" si="5"/>
        <v>284.7910000000006</v>
      </c>
      <c r="F37" s="44">
        <f t="shared" si="5"/>
        <v>297.0854528299999</v>
      </c>
      <c r="G37" s="44">
        <f t="shared" si="5"/>
        <v>321.9555165100005</v>
      </c>
      <c r="H37" s="44">
        <f t="shared" si="5"/>
        <v>296.7246464600014</v>
      </c>
      <c r="I37" s="44">
        <f t="shared" si="5"/>
        <v>0</v>
      </c>
    </row>
    <row r="38" spans="1:9" ht="15">
      <c r="A38" s="47" t="str">
        <f>HLOOKUP(INDICE!$F$2,Nombres!$C$3:$D$636,58,FALSE)</f>
        <v>Total activo / pasivo</v>
      </c>
      <c r="B38" s="47">
        <v>7030.799743859999</v>
      </c>
      <c r="C38" s="47">
        <v>7750.31</v>
      </c>
      <c r="D38" s="47">
        <v>8126.82901206</v>
      </c>
      <c r="E38" s="47">
        <v>9037.445</v>
      </c>
      <c r="F38" s="51">
        <v>9655.01145283</v>
      </c>
      <c r="G38" s="51">
        <v>11027.78351651</v>
      </c>
      <c r="H38" s="51">
        <v>11350.225646460001</v>
      </c>
      <c r="I38" s="51">
        <v>0</v>
      </c>
    </row>
    <row r="39" spans="1:9" ht="15">
      <c r="A39" s="43" t="str">
        <f>HLOOKUP(INDICE!$F$2,Nombres!$C$3:$D$636,59,FALSE)</f>
        <v>Pasivos financieros mantenidos para negociar y designados a valor razonable con cambios en resultados</v>
      </c>
      <c r="B39" s="58">
        <v>3.699</v>
      </c>
      <c r="C39" s="58">
        <v>1.248</v>
      </c>
      <c r="D39" s="58">
        <v>3.49</v>
      </c>
      <c r="E39" s="64">
        <v>2.7</v>
      </c>
      <c r="F39" s="44">
        <v>2.659</v>
      </c>
      <c r="G39" s="44">
        <v>1.1320000000000001</v>
      </c>
      <c r="H39" s="44">
        <v>3.865</v>
      </c>
      <c r="I39" s="44">
        <v>0</v>
      </c>
    </row>
    <row r="40" spans="1:9" ht="15.75" customHeight="1">
      <c r="A40" s="43" t="str">
        <f>HLOOKUP(INDICE!$F$2,Nombres!$C$3:$D$636,60,FALSE)</f>
        <v>Depósitos de bancos centrales y entidades de crédito</v>
      </c>
      <c r="B40" s="58">
        <v>120.434</v>
      </c>
      <c r="C40" s="58">
        <v>106.039</v>
      </c>
      <c r="D40" s="58">
        <v>107.00999999999999</v>
      </c>
      <c r="E40" s="64">
        <v>112.35500000000002</v>
      </c>
      <c r="F40" s="44">
        <v>116.77300000000004</v>
      </c>
      <c r="G40" s="44">
        <v>157.352</v>
      </c>
      <c r="H40" s="44">
        <v>121.06600000000003</v>
      </c>
      <c r="I40" s="44">
        <v>0</v>
      </c>
    </row>
    <row r="41" spans="1:9" ht="15">
      <c r="A41" s="43" t="str">
        <f>HLOOKUP(INDICE!$F$2,Nombres!$C$3:$D$636,61,FALSE)</f>
        <v>Depósitos de la clientela</v>
      </c>
      <c r="B41" s="58">
        <v>4706.075999999999</v>
      </c>
      <c r="C41" s="58">
        <v>5349.341</v>
      </c>
      <c r="D41" s="58">
        <v>5515.021</v>
      </c>
      <c r="E41" s="64">
        <v>6082.594</v>
      </c>
      <c r="F41" s="44">
        <v>6466.273999999999</v>
      </c>
      <c r="G41" s="44">
        <v>7491.32</v>
      </c>
      <c r="H41" s="44">
        <v>7411.194</v>
      </c>
      <c r="I41" s="44">
        <v>0</v>
      </c>
    </row>
    <row r="42" spans="1:9" ht="15">
      <c r="A42" s="43" t="str">
        <f>HLOOKUP(INDICE!$F$2,Nombres!$C$3:$D$636,62,FALSE)</f>
        <v>Valores representativos de deuda emitidos</v>
      </c>
      <c r="B42" s="44">
        <v>193.7862963</v>
      </c>
      <c r="C42" s="44">
        <v>182.45249046</v>
      </c>
      <c r="D42" s="44">
        <v>199.47880386000003</v>
      </c>
      <c r="E42" s="45">
        <v>228.56989066</v>
      </c>
      <c r="F42" s="44">
        <v>251.78840171</v>
      </c>
      <c r="G42" s="44">
        <v>281.33826361</v>
      </c>
      <c r="H42" s="44">
        <v>297.48515428999997</v>
      </c>
      <c r="I42" s="44">
        <v>0</v>
      </c>
    </row>
    <row r="43" spans="1:9" ht="15" customHeight="1" hidden="1">
      <c r="A43" s="43"/>
      <c r="B43" s="44"/>
      <c r="C43" s="44"/>
      <c r="D43" s="44"/>
      <c r="E43" s="45"/>
      <c r="F43" s="44"/>
      <c r="G43" s="44"/>
      <c r="H43" s="44"/>
      <c r="I43" s="44"/>
    </row>
    <row r="44" spans="1:9" ht="15">
      <c r="A44" s="43" t="str">
        <f>HLOOKUP(INDICE!$F$2,Nombres!$C$3:$D$636,63,FALSE)</f>
        <v>Otros pasivos</v>
      </c>
      <c r="B44" s="58">
        <f>+B38-B39-B40-B41-B42-B45</f>
        <v>1345.5633811499997</v>
      </c>
      <c r="C44" s="58">
        <f aca="true" t="shared" si="6" ref="C44:I44">+C38-C39-C40-C41-C42-C45</f>
        <v>1465.610611580001</v>
      </c>
      <c r="D44" s="58">
        <f t="shared" si="6"/>
        <v>1590.5955163200006</v>
      </c>
      <c r="E44" s="64">
        <f t="shared" si="6"/>
        <v>1844.5041246699993</v>
      </c>
      <c r="F44" s="44">
        <f t="shared" si="6"/>
        <v>1962.178336110002</v>
      </c>
      <c r="G44" s="44">
        <f t="shared" si="6"/>
        <v>2163.9178413300006</v>
      </c>
      <c r="H44" s="44">
        <f t="shared" si="6"/>
        <v>2517.7167392700003</v>
      </c>
      <c r="I44" s="44">
        <f t="shared" si="6"/>
        <v>0</v>
      </c>
    </row>
    <row r="45" spans="1:9" ht="15">
      <c r="A45" s="43" t="str">
        <f>HLOOKUP(INDICE!$F$2,Nombres!$C$3:$D$636,282,FALSE)</f>
        <v>Dotación de capital regulatorio</v>
      </c>
      <c r="B45" s="58">
        <v>661.24106641</v>
      </c>
      <c r="C45" s="58">
        <v>645.6188979599999</v>
      </c>
      <c r="D45" s="58">
        <v>711.23369188</v>
      </c>
      <c r="E45" s="64">
        <v>766.72198467</v>
      </c>
      <c r="F45" s="44">
        <v>855.3387150099999</v>
      </c>
      <c r="G45" s="44">
        <v>932.72341157</v>
      </c>
      <c r="H45" s="44">
        <v>998.8987529000002</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Indicadores relevantes y de gestión</v>
      </c>
      <c r="B48" s="34"/>
      <c r="C48" s="34"/>
      <c r="D48" s="34"/>
      <c r="E48" s="34"/>
      <c r="F48" s="68"/>
      <c r="G48" s="68"/>
      <c r="H48" s="68"/>
      <c r="I48" s="68"/>
    </row>
    <row r="49" spans="1:9" ht="15">
      <c r="A49" s="35" t="str">
        <f>HLOOKUP(INDICE!$F$2,Nombres!$C$3:$D$636,32,FALSE)</f>
        <v>(Millones de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43" t="str">
        <f>HLOOKUP(INDICE!$F$2,Nombres!$C$3:$D$636,66,FALSE)</f>
        <v>Préstamos y anticipos a la clientela bruto (*)</v>
      </c>
      <c r="B51" s="44">
        <v>2810.1806310599995</v>
      </c>
      <c r="C51" s="44">
        <v>2853.1629853199997</v>
      </c>
      <c r="D51" s="44">
        <v>3049.04189683</v>
      </c>
      <c r="E51" s="45">
        <v>3414.34292927</v>
      </c>
      <c r="F51" s="44">
        <v>3446.8974832</v>
      </c>
      <c r="G51" s="44">
        <v>4076.26825822</v>
      </c>
      <c r="H51" s="44">
        <v>4166.566950100001</v>
      </c>
      <c r="I51" s="44">
        <v>0</v>
      </c>
    </row>
    <row r="52" spans="1:9" ht="15">
      <c r="A52" s="43" t="str">
        <f>HLOOKUP(INDICE!$F$2,Nombres!$C$3:$D$636,67,FALSE)</f>
        <v>Depósitos de clientes en gestión (**)</v>
      </c>
      <c r="B52" s="44">
        <v>4706.07777928</v>
      </c>
      <c r="C52" s="44">
        <v>5349.3398651200005</v>
      </c>
      <c r="D52" s="44">
        <v>5515.0211831999995</v>
      </c>
      <c r="E52" s="45">
        <v>6082.59164753</v>
      </c>
      <c r="F52" s="44">
        <v>6466.27290943</v>
      </c>
      <c r="G52" s="44">
        <v>7491.320779940001</v>
      </c>
      <c r="H52" s="44">
        <v>7411.194430590001</v>
      </c>
      <c r="I52" s="44">
        <v>0</v>
      </c>
    </row>
    <row r="53" spans="1:9" ht="15">
      <c r="A53" s="43" t="str">
        <f>HLOOKUP(INDICE!$F$2,Nombres!$C$3:$D$636,68,FALSE)</f>
        <v>Fondos de inversión y carteras gestionadas</v>
      </c>
      <c r="B53" s="44">
        <v>1327.07892138</v>
      </c>
      <c r="C53" s="44">
        <v>1346.10370657</v>
      </c>
      <c r="D53" s="44">
        <v>1673.9364056799998</v>
      </c>
      <c r="E53" s="45">
        <v>1716.11286795</v>
      </c>
      <c r="F53" s="44">
        <v>1985.78785607</v>
      </c>
      <c r="G53" s="44">
        <v>1986.68423752</v>
      </c>
      <c r="H53" s="44">
        <v>2336.8586471999997</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13">
        <f>+B$6</f>
        <v>2021</v>
      </c>
      <c r="C62" s="313"/>
      <c r="D62" s="313"/>
      <c r="E62" s="314"/>
      <c r="F62" s="313">
        <f>+F$6</f>
        <v>2022</v>
      </c>
      <c r="G62" s="313"/>
      <c r="H62" s="313"/>
      <c r="I62" s="313"/>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153.26130133370856</v>
      </c>
      <c r="C64" s="41">
        <v>191.75995508318715</v>
      </c>
      <c r="D64" s="41">
        <v>234.46260925497543</v>
      </c>
      <c r="E64" s="42">
        <v>301.74166602525986</v>
      </c>
      <c r="F64" s="50">
        <v>275.6716725522409</v>
      </c>
      <c r="G64" s="50">
        <v>439.54554697263154</v>
      </c>
      <c r="H64" s="50">
        <v>678.5727804751275</v>
      </c>
      <c r="I64" s="50">
        <v>0</v>
      </c>
    </row>
    <row r="65" spans="1:9" ht="15">
      <c r="A65" s="43" t="str">
        <f>HLOOKUP(INDICE!$F$2,Nombres!$C$3:$D$636,34,FALSE)</f>
        <v>Comisiones netas</v>
      </c>
      <c r="B65" s="44">
        <v>23.65009185186681</v>
      </c>
      <c r="C65" s="44">
        <v>43.72006545624001</v>
      </c>
      <c r="D65" s="44">
        <v>50.242428023398</v>
      </c>
      <c r="E65" s="45">
        <v>51.40602623563619</v>
      </c>
      <c r="F65" s="44">
        <v>52.73825031467509</v>
      </c>
      <c r="G65" s="44">
        <v>81.04128900840212</v>
      </c>
      <c r="H65" s="44">
        <v>87.9156716669228</v>
      </c>
      <c r="I65" s="44">
        <v>0</v>
      </c>
    </row>
    <row r="66" spans="1:9" ht="15">
      <c r="A66" s="43" t="str">
        <f>HLOOKUP(INDICE!$F$2,Nombres!$C$3:$D$636,35,FALSE)</f>
        <v>Resultados de operaciones financieras</v>
      </c>
      <c r="B66" s="44">
        <v>19.59695253398107</v>
      </c>
      <c r="C66" s="44">
        <v>21.210882913511995</v>
      </c>
      <c r="D66" s="44">
        <v>21.354556355593253</v>
      </c>
      <c r="E66" s="45">
        <v>15.527851819968884</v>
      </c>
      <c r="F66" s="44">
        <v>29.394236781192486</v>
      </c>
      <c r="G66" s="44">
        <v>31.343726874934568</v>
      </c>
      <c r="H66" s="44">
        <v>64.71731892387295</v>
      </c>
      <c r="I66" s="44">
        <v>0</v>
      </c>
    </row>
    <row r="67" spans="1:9" ht="15">
      <c r="A67" s="43" t="str">
        <f>HLOOKUP(INDICE!$F$2,Nombres!$C$3:$D$636,36,FALSE)</f>
        <v>Otros ingresos y cargas de explotación</v>
      </c>
      <c r="B67" s="44">
        <v>-114.09933086188073</v>
      </c>
      <c r="C67" s="44">
        <v>-120.63351371434615</v>
      </c>
      <c r="D67" s="44">
        <v>-112.31808121174748</v>
      </c>
      <c r="E67" s="45">
        <v>-155.79722562536477</v>
      </c>
      <c r="F67" s="44">
        <v>-179.7385782423262</v>
      </c>
      <c r="G67" s="44">
        <v>-260.3378115861274</v>
      </c>
      <c r="H67" s="44">
        <v>-373.37361017154643</v>
      </c>
      <c r="I67" s="44">
        <v>0</v>
      </c>
    </row>
    <row r="68" spans="1:9" ht="15">
      <c r="A68" s="41" t="str">
        <f>HLOOKUP(INDICE!$F$2,Nombres!$C$3:$D$636,37,FALSE)</f>
        <v>Margen bruto</v>
      </c>
      <c r="B68" s="41">
        <f>+SUM(B64:B67)</f>
        <v>82.40901485767571</v>
      </c>
      <c r="C68" s="41">
        <f aca="true" t="shared" si="9" ref="C68:I68">+SUM(C64:C67)</f>
        <v>136.057389738593</v>
      </c>
      <c r="D68" s="41">
        <f t="shared" si="9"/>
        <v>193.74151242221922</v>
      </c>
      <c r="E68" s="42">
        <f t="shared" si="9"/>
        <v>212.87831845550016</v>
      </c>
      <c r="F68" s="50">
        <f t="shared" si="9"/>
        <v>178.0655814057823</v>
      </c>
      <c r="G68" s="50">
        <f t="shared" si="9"/>
        <v>291.59275126984085</v>
      </c>
      <c r="H68" s="50">
        <f t="shared" si="9"/>
        <v>457.83216089437684</v>
      </c>
      <c r="I68" s="50">
        <f t="shared" si="9"/>
        <v>0</v>
      </c>
    </row>
    <row r="69" spans="1:9" ht="15">
      <c r="A69" s="43" t="str">
        <f>HLOOKUP(INDICE!$F$2,Nombres!$C$3:$D$636,38,FALSE)</f>
        <v>Gastos de explotación</v>
      </c>
      <c r="B69" s="44">
        <v>-81.43692029518074</v>
      </c>
      <c r="C69" s="44">
        <v>-101.95501260295174</v>
      </c>
      <c r="D69" s="44">
        <v>-135.94985366862795</v>
      </c>
      <c r="E69" s="45">
        <v>-158.62495841405544</v>
      </c>
      <c r="F69" s="44">
        <v>-126.39885618997891</v>
      </c>
      <c r="G69" s="44">
        <v>-206.69956311969003</v>
      </c>
      <c r="H69" s="44">
        <v>-273.76190556033106</v>
      </c>
      <c r="I69" s="44">
        <v>0</v>
      </c>
    </row>
    <row r="70" spans="1:9" ht="15">
      <c r="A70" s="43" t="str">
        <f>HLOOKUP(INDICE!$F$2,Nombres!$C$3:$D$636,39,FALSE)</f>
        <v>  Gastos de administración</v>
      </c>
      <c r="B70" s="44">
        <v>-75.11440879728544</v>
      </c>
      <c r="C70" s="44">
        <v>-92.90758330934756</v>
      </c>
      <c r="D70" s="44">
        <v>-125.49814243709615</v>
      </c>
      <c r="E70" s="45">
        <v>-146.15097568190106</v>
      </c>
      <c r="F70" s="44">
        <v>-121.19807156650528</v>
      </c>
      <c r="G70" s="44">
        <v>-190.17481359519908</v>
      </c>
      <c r="H70" s="44">
        <v>-257.1904397082956</v>
      </c>
      <c r="I70" s="44">
        <v>0</v>
      </c>
    </row>
    <row r="71" spans="1:9" ht="15">
      <c r="A71" s="46" t="str">
        <f>HLOOKUP(INDICE!$F$2,Nombres!$C$3:$D$636,40,FALSE)</f>
        <v>  Gastos de personal</v>
      </c>
      <c r="B71" s="44">
        <v>-42.35650050557744</v>
      </c>
      <c r="C71" s="44">
        <v>-51.058801485578755</v>
      </c>
      <c r="D71" s="44">
        <v>-62.443679435242004</v>
      </c>
      <c r="E71" s="45">
        <v>-73.90796076098833</v>
      </c>
      <c r="F71" s="44">
        <v>-65.38320665900919</v>
      </c>
      <c r="G71" s="44">
        <v>-102.91532523012641</v>
      </c>
      <c r="H71" s="44">
        <v>-134.79946811086438</v>
      </c>
      <c r="I71" s="44">
        <v>0</v>
      </c>
    </row>
    <row r="72" spans="1:9" ht="15">
      <c r="A72" s="46" t="str">
        <f>HLOOKUP(INDICE!$F$2,Nombres!$C$3:$D$636,41,FALSE)</f>
        <v>  Otros gastos de administración</v>
      </c>
      <c r="B72" s="44">
        <v>-32.757908291707984</v>
      </c>
      <c r="C72" s="44">
        <v>-41.848781823768796</v>
      </c>
      <c r="D72" s="44">
        <v>-63.05446300185413</v>
      </c>
      <c r="E72" s="45">
        <v>-72.24301492091271</v>
      </c>
      <c r="F72" s="44">
        <v>-55.81486490749609</v>
      </c>
      <c r="G72" s="44">
        <v>-87.25948836507266</v>
      </c>
      <c r="H72" s="44">
        <v>-122.39097159743123</v>
      </c>
      <c r="I72" s="44">
        <v>0</v>
      </c>
    </row>
    <row r="73" spans="1:9" ht="15">
      <c r="A73" s="43" t="str">
        <f>HLOOKUP(INDICE!$F$2,Nombres!$C$3:$D$636,42,FALSE)</f>
        <v>  Amortización</v>
      </c>
      <c r="B73" s="44">
        <v>-6.322511497895308</v>
      </c>
      <c r="C73" s="44">
        <v>-9.047429293604198</v>
      </c>
      <c r="D73" s="44">
        <v>-10.451711231531833</v>
      </c>
      <c r="E73" s="45">
        <v>-12.473982732154406</v>
      </c>
      <c r="F73" s="44">
        <v>-5.200784623473628</v>
      </c>
      <c r="G73" s="44">
        <v>-16.524749524490936</v>
      </c>
      <c r="H73" s="44">
        <v>-16.57146585203543</v>
      </c>
      <c r="I73" s="44">
        <v>0</v>
      </c>
    </row>
    <row r="74" spans="1:9" ht="15">
      <c r="A74" s="41" t="str">
        <f>HLOOKUP(INDICE!$F$2,Nombres!$C$3:$D$636,43,FALSE)</f>
        <v>Margen neto</v>
      </c>
      <c r="B74" s="41">
        <f>+B68+B69</f>
        <v>0.9720945624949735</v>
      </c>
      <c r="C74" s="41">
        <f aca="true" t="shared" si="10" ref="C74:I74">+C68+C69</f>
        <v>34.10237713564126</v>
      </c>
      <c r="D74" s="41">
        <f t="shared" si="10"/>
        <v>57.791658753591264</v>
      </c>
      <c r="E74" s="42">
        <f t="shared" si="10"/>
        <v>54.25336004144472</v>
      </c>
      <c r="F74" s="50">
        <f t="shared" si="10"/>
        <v>51.66672521580338</v>
      </c>
      <c r="G74" s="50">
        <f t="shared" si="10"/>
        <v>84.89318815015082</v>
      </c>
      <c r="H74" s="50">
        <f t="shared" si="10"/>
        <v>184.07025533404578</v>
      </c>
      <c r="I74" s="50">
        <f t="shared" si="10"/>
        <v>0</v>
      </c>
    </row>
    <row r="75" spans="1:9" ht="15">
      <c r="A75" s="43" t="str">
        <f>HLOOKUP(INDICE!$F$2,Nombres!$C$3:$D$636,44,FALSE)</f>
        <v>Deterioro de activos financieros no valorados a valor razonable con cambios en resultados</v>
      </c>
      <c r="B75" s="44">
        <v>-15.615101998488411</v>
      </c>
      <c r="C75" s="44">
        <v>-27.718959161438097</v>
      </c>
      <c r="D75" s="44">
        <v>-28.695449320634744</v>
      </c>
      <c r="E75" s="45">
        <v>-25.39509786350324</v>
      </c>
      <c r="F75" s="44">
        <v>-41.013775494902646</v>
      </c>
      <c r="G75" s="44">
        <v>-18.085656400715305</v>
      </c>
      <c r="H75" s="44">
        <v>-57.47156810438207</v>
      </c>
      <c r="I75" s="44">
        <v>0</v>
      </c>
    </row>
    <row r="76" spans="1:9" ht="15">
      <c r="A76" s="43" t="str">
        <f>HLOOKUP(INDICE!$F$2,Nombres!$C$3:$D$636,45,FALSE)</f>
        <v>Provisiones o reversión de provisiones y otros resultados</v>
      </c>
      <c r="B76" s="44">
        <v>-1.4051403491540342</v>
      </c>
      <c r="C76" s="44">
        <v>-3.838717035244221</v>
      </c>
      <c r="D76" s="44">
        <v>-2.7218749098493333</v>
      </c>
      <c r="E76" s="45">
        <v>-8.035240004686466</v>
      </c>
      <c r="F76" s="44">
        <v>-4.173674872929576</v>
      </c>
      <c r="G76" s="44">
        <v>-11.788939667381314</v>
      </c>
      <c r="H76" s="44">
        <v>-5.242385459689109</v>
      </c>
      <c r="I76" s="44">
        <v>0</v>
      </c>
    </row>
    <row r="77" spans="1:9" ht="15">
      <c r="A77" s="41" t="str">
        <f>HLOOKUP(INDICE!$F$2,Nombres!$C$3:$D$636,46,FALSE)</f>
        <v>Resultado antes de impuestos</v>
      </c>
      <c r="B77" s="41">
        <f>+B74+B75+B76</f>
        <v>-16.04814778514747</v>
      </c>
      <c r="C77" s="41">
        <f aca="true" t="shared" si="11" ref="C77:I77">+C74+C75+C76</f>
        <v>2.544700938958945</v>
      </c>
      <c r="D77" s="41">
        <f t="shared" si="11"/>
        <v>26.374334523107187</v>
      </c>
      <c r="E77" s="42">
        <f t="shared" si="11"/>
        <v>20.82302217325502</v>
      </c>
      <c r="F77" s="50">
        <f t="shared" si="11"/>
        <v>6.47927484797116</v>
      </c>
      <c r="G77" s="50">
        <f t="shared" si="11"/>
        <v>55.0185920820542</v>
      </c>
      <c r="H77" s="50">
        <f t="shared" si="11"/>
        <v>121.3563017699746</v>
      </c>
      <c r="I77" s="50">
        <f t="shared" si="11"/>
        <v>0</v>
      </c>
    </row>
    <row r="78" spans="1:9" ht="15">
      <c r="A78" s="43" t="str">
        <f>HLOOKUP(INDICE!$F$2,Nombres!$C$3:$D$636,47,FALSE)</f>
        <v>Impuesto sobre beneficios</v>
      </c>
      <c r="B78" s="44">
        <v>3.8167940252902337</v>
      </c>
      <c r="C78" s="44">
        <v>-7.816398274662457</v>
      </c>
      <c r="D78" s="44">
        <v>-2.6159193340170024</v>
      </c>
      <c r="E78" s="45">
        <v>-4.990332695074432</v>
      </c>
      <c r="F78" s="44">
        <v>1.9582251989536736</v>
      </c>
      <c r="G78" s="44">
        <v>56.22361619669946</v>
      </c>
      <c r="H78" s="44">
        <v>-15.77866515565313</v>
      </c>
      <c r="I78" s="44">
        <v>0</v>
      </c>
    </row>
    <row r="79" spans="1:9" ht="15">
      <c r="A79" s="41" t="str">
        <f>HLOOKUP(INDICE!$F$2,Nombres!$C$3:$D$636,48,FALSE)</f>
        <v>Resultado del ejercicio</v>
      </c>
      <c r="B79" s="41">
        <f>+B77+B78</f>
        <v>-12.231353759857237</v>
      </c>
      <c r="C79" s="41">
        <f aca="true" t="shared" si="12" ref="C79:I79">+C77+C78</f>
        <v>-5.271697335703512</v>
      </c>
      <c r="D79" s="41">
        <f t="shared" si="12"/>
        <v>23.758415189090186</v>
      </c>
      <c r="E79" s="42">
        <f t="shared" si="12"/>
        <v>15.832689478180587</v>
      </c>
      <c r="F79" s="50">
        <f t="shared" si="12"/>
        <v>8.437500046924834</v>
      </c>
      <c r="G79" s="50">
        <f t="shared" si="12"/>
        <v>111.24220827875365</v>
      </c>
      <c r="H79" s="50">
        <f t="shared" si="12"/>
        <v>105.57763661432148</v>
      </c>
      <c r="I79" s="50">
        <f t="shared" si="12"/>
        <v>0</v>
      </c>
    </row>
    <row r="80" spans="1:9" ht="15">
      <c r="A80" s="43" t="str">
        <f>HLOOKUP(INDICE!$F$2,Nombres!$C$3:$D$636,49,FALSE)</f>
        <v>Minoritarios</v>
      </c>
      <c r="B80" s="44">
        <v>4.768448539517835</v>
      </c>
      <c r="C80" s="44">
        <v>2.9244391271570906</v>
      </c>
      <c r="D80" s="44">
        <v>-8.20444352972393</v>
      </c>
      <c r="E80" s="45">
        <v>-5.2909699768777205</v>
      </c>
      <c r="F80" s="44">
        <v>-1.3309965420293874</v>
      </c>
      <c r="G80" s="44">
        <v>-35.62023073936019</v>
      </c>
      <c r="H80" s="44">
        <v>-32.348135038610415</v>
      </c>
      <c r="I80" s="44">
        <v>0</v>
      </c>
    </row>
    <row r="81" spans="1:9" ht="15">
      <c r="A81" s="47" t="str">
        <f>HLOOKUP(INDICE!$F$2,Nombres!$C$3:$D$636,50,FALSE)</f>
        <v>Resultado atribuido</v>
      </c>
      <c r="B81" s="47">
        <f>+B79+B80</f>
        <v>-7.462905220339402</v>
      </c>
      <c r="C81" s="47">
        <f aca="true" t="shared" si="13" ref="C81:I81">+C79+C80</f>
        <v>-2.347258208546421</v>
      </c>
      <c r="D81" s="47">
        <f t="shared" si="13"/>
        <v>15.553971659366256</v>
      </c>
      <c r="E81" s="47">
        <f t="shared" si="13"/>
        <v>10.541719501302866</v>
      </c>
      <c r="F81" s="51">
        <f t="shared" si="13"/>
        <v>7.106503504895446</v>
      </c>
      <c r="G81" s="51">
        <f t="shared" si="13"/>
        <v>75.62197753939347</v>
      </c>
      <c r="H81" s="51">
        <f t="shared" si="13"/>
        <v>73.22950157571105</v>
      </c>
      <c r="I81" s="51">
        <f t="shared" si="13"/>
        <v>0</v>
      </c>
    </row>
    <row r="82" spans="1:9" ht="15">
      <c r="A82" s="62"/>
      <c r="B82" s="63">
        <v>0</v>
      </c>
      <c r="C82" s="63">
        <v>1.5987211554602254E-14</v>
      </c>
      <c r="D82" s="63">
        <v>3.019806626980426E-14</v>
      </c>
      <c r="E82" s="63">
        <v>4.973799150320701E-14</v>
      </c>
      <c r="F82" s="63">
        <v>2.4868995751603507E-14</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Efectivo, saldos en efectivo en bancos centrales y otros depósitos a la vista</v>
      </c>
      <c r="B87" s="44">
        <v>1364.6520219623512</v>
      </c>
      <c r="C87" s="44">
        <v>1382.6894284038253</v>
      </c>
      <c r="D87" s="44">
        <v>1375.4414514685177</v>
      </c>
      <c r="E87" s="45">
        <v>1529.016009717898</v>
      </c>
      <c r="F87" s="44">
        <v>1388.8085092494273</v>
      </c>
      <c r="G87" s="44">
        <v>1321.2420666829316</v>
      </c>
      <c r="H87" s="44">
        <v>1430.5249999999999</v>
      </c>
      <c r="I87" s="44">
        <v>0</v>
      </c>
    </row>
    <row r="88" spans="1:9" ht="15">
      <c r="A88" s="43" t="str">
        <f>HLOOKUP(INDICE!$F$2,Nombres!$C$3:$D$636,53,FALSE)</f>
        <v>Activos financieros a valor razonable</v>
      </c>
      <c r="B88" s="58">
        <v>1013.34144974887</v>
      </c>
      <c r="C88" s="58">
        <v>1131.3746395608391</v>
      </c>
      <c r="D88" s="58">
        <v>1255.0414424503447</v>
      </c>
      <c r="E88" s="64">
        <v>1290.7083739216348</v>
      </c>
      <c r="F88" s="44">
        <v>2534.4449154224335</v>
      </c>
      <c r="G88" s="44">
        <v>3042.7117925930875</v>
      </c>
      <c r="H88" s="44">
        <v>3762.2329999999997</v>
      </c>
      <c r="I88" s="44">
        <v>0</v>
      </c>
    </row>
    <row r="89" spans="1:9" ht="15">
      <c r="A89" s="43" t="str">
        <f>HLOOKUP(INDICE!$F$2,Nombres!$C$3:$D$636,54,FALSE)</f>
        <v>Activos financieros a coste amortizado</v>
      </c>
      <c r="B89" s="44">
        <v>2417.225666388075</v>
      </c>
      <c r="C89" s="44">
        <v>3102.5622750890684</v>
      </c>
      <c r="D89" s="44">
        <v>3313.668931002465</v>
      </c>
      <c r="E89" s="45">
        <v>3917.703186903861</v>
      </c>
      <c r="F89" s="44">
        <v>3662.734826217532</v>
      </c>
      <c r="G89" s="44">
        <v>4771.026144854735</v>
      </c>
      <c r="H89" s="44">
        <v>5177.993</v>
      </c>
      <c r="I89" s="44">
        <v>0</v>
      </c>
    </row>
    <row r="90" spans="1:9" ht="15">
      <c r="A90" s="43" t="str">
        <f>HLOOKUP(INDICE!$F$2,Nombres!$C$3:$D$636,55,FALSE)</f>
        <v>    de los que préstamos y anticipos a la clientela</v>
      </c>
      <c r="B90" s="44">
        <v>2014.4782970365475</v>
      </c>
      <c r="C90" s="44">
        <v>2156.0560078415524</v>
      </c>
      <c r="D90" s="44">
        <v>2318.426329578165</v>
      </c>
      <c r="E90" s="45">
        <v>2675.498815239674</v>
      </c>
      <c r="F90" s="44">
        <v>2876.7333473609096</v>
      </c>
      <c r="G90" s="44">
        <v>3603.1169339010817</v>
      </c>
      <c r="H90" s="44">
        <v>4059.781</v>
      </c>
      <c r="I90" s="44">
        <v>0</v>
      </c>
    </row>
    <row r="91" spans="1:9" ht="15" customHeight="1" hidden="1">
      <c r="A91" s="43"/>
      <c r="B91" s="44"/>
      <c r="C91" s="44"/>
      <c r="D91" s="44"/>
      <c r="E91" s="45"/>
      <c r="F91" s="44"/>
      <c r="G91" s="44"/>
      <c r="H91" s="44"/>
      <c r="I91" s="44"/>
    </row>
    <row r="92" spans="1:9" ht="15">
      <c r="A92" s="43" t="str">
        <f>HLOOKUP(INDICE!$F$2,Nombres!$C$3:$D$636,56,FALSE)</f>
        <v>Activos tangibles</v>
      </c>
      <c r="B92" s="44">
        <v>335.8045327568344</v>
      </c>
      <c r="C92" s="44">
        <v>357.07206620671263</v>
      </c>
      <c r="D92" s="44">
        <v>381.1570975422936</v>
      </c>
      <c r="E92" s="45">
        <v>431.0244028055565</v>
      </c>
      <c r="F92" s="44">
        <v>503.56883779049934</v>
      </c>
      <c r="G92" s="44">
        <v>605.0730674640646</v>
      </c>
      <c r="H92" s="44">
        <v>682.75</v>
      </c>
      <c r="I92" s="44">
        <v>0</v>
      </c>
    </row>
    <row r="93" spans="1:9" ht="15">
      <c r="A93" s="43" t="str">
        <f>HLOOKUP(INDICE!$F$2,Nombres!$C$3:$D$636,57,FALSE)</f>
        <v>Otros activos</v>
      </c>
      <c r="B93" s="58">
        <f>+B94-B92-B89-B88-B87</f>
        <v>221.66320407320677</v>
      </c>
      <c r="C93" s="58">
        <f aca="true" t="shared" si="15" ref="C93:I93">+C94-C92-C89-C88-C87</f>
        <v>234.35363566022352</v>
      </c>
      <c r="D93" s="58">
        <f t="shared" si="15"/>
        <v>216.93039591926072</v>
      </c>
      <c r="E93" s="64">
        <f t="shared" si="15"/>
        <v>233.42016650000824</v>
      </c>
      <c r="F93" s="44">
        <f t="shared" si="15"/>
        <v>257.32385003212835</v>
      </c>
      <c r="G93" s="44">
        <f t="shared" si="15"/>
        <v>293.64575531557693</v>
      </c>
      <c r="H93" s="44">
        <f t="shared" si="15"/>
        <v>296.7246464600014</v>
      </c>
      <c r="I93" s="44">
        <f t="shared" si="15"/>
        <v>0</v>
      </c>
    </row>
    <row r="94" spans="1:9" ht="15">
      <c r="A94" s="47" t="str">
        <f>HLOOKUP(INDICE!$F$2,Nombres!$C$3:$D$636,58,FALSE)</f>
        <v>Total activo / pasivo</v>
      </c>
      <c r="B94" s="47">
        <v>5352.686874929337</v>
      </c>
      <c r="C94" s="47">
        <v>6208.052044920669</v>
      </c>
      <c r="D94" s="47">
        <v>6542.239318382882</v>
      </c>
      <c r="E94" s="47">
        <v>7401.872139848959</v>
      </c>
      <c r="F94" s="51">
        <v>8346.88093871202</v>
      </c>
      <c r="G94" s="51">
        <v>10033.698826910397</v>
      </c>
      <c r="H94" s="51">
        <v>11350.225646460001</v>
      </c>
      <c r="I94" s="51">
        <v>0</v>
      </c>
    </row>
    <row r="95" spans="1:9" ht="15">
      <c r="A95" s="43" t="str">
        <f>HLOOKUP(INDICE!$F$2,Nombres!$C$3:$D$636,59,FALSE)</f>
        <v>Pasivos financieros mantenidos para negociar y designados a valor razonable con cambios en resultados</v>
      </c>
      <c r="B95" s="58">
        <v>2.781566512874356</v>
      </c>
      <c r="C95" s="58">
        <v>0.9899498350068551</v>
      </c>
      <c r="D95" s="58">
        <v>2.7818708719971386</v>
      </c>
      <c r="E95" s="64">
        <v>2.191409214958057</v>
      </c>
      <c r="F95" s="44">
        <v>2.283382733161249</v>
      </c>
      <c r="G95" s="44">
        <v>1.025425758322812</v>
      </c>
      <c r="H95" s="44">
        <v>3.865</v>
      </c>
      <c r="I95" s="44">
        <v>0</v>
      </c>
    </row>
    <row r="96" spans="1:9" ht="15">
      <c r="A96" s="43" t="str">
        <f>HLOOKUP(INDICE!$F$2,Nombres!$C$3:$D$636,60,FALSE)</f>
        <v>Depósitos de bancos centrales y entidades de crédito</v>
      </c>
      <c r="B96" s="58">
        <v>90.56371489902953</v>
      </c>
      <c r="C96" s="58">
        <v>84.11321358516979</v>
      </c>
      <c r="D96" s="58">
        <v>85.29742178006126</v>
      </c>
      <c r="E96" s="64">
        <v>91.19103049874536</v>
      </c>
      <c r="F96" s="44">
        <v>100.27734182002202</v>
      </c>
      <c r="G96" s="44">
        <v>142.5378038194444</v>
      </c>
      <c r="H96" s="44">
        <v>121.06600000000003</v>
      </c>
      <c r="I96" s="44">
        <v>0</v>
      </c>
    </row>
    <row r="97" spans="1:9" ht="15">
      <c r="A97" s="43" t="str">
        <f>HLOOKUP(INDICE!$F$2,Nombres!$C$3:$D$636,61,FALSE)</f>
        <v>Depósitos de la clientela</v>
      </c>
      <c r="B97" s="58">
        <v>3538.8654794922136</v>
      </c>
      <c r="C97" s="58">
        <v>4243.252596430614</v>
      </c>
      <c r="D97" s="58">
        <v>4396.010394943418</v>
      </c>
      <c r="E97" s="64">
        <v>4936.834274980958</v>
      </c>
      <c r="F97" s="44">
        <v>5552.831289766651</v>
      </c>
      <c r="G97" s="44">
        <v>6786.035770175659</v>
      </c>
      <c r="H97" s="44">
        <v>7411.194</v>
      </c>
      <c r="I97" s="44">
        <v>0</v>
      </c>
    </row>
    <row r="98" spans="1:9" ht="15">
      <c r="A98" s="43" t="str">
        <f>HLOOKUP(INDICE!$F$2,Nombres!$C$3:$D$636,62,FALSE)</f>
        <v>Valores representativos de deuda emitidos</v>
      </c>
      <c r="B98" s="44">
        <v>145.72302580211618</v>
      </c>
      <c r="C98" s="44">
        <v>144.7266128425215</v>
      </c>
      <c r="D98" s="44">
        <v>159.0040899825113</v>
      </c>
      <c r="E98" s="45">
        <v>185.51487579788125</v>
      </c>
      <c r="F98" s="44">
        <v>216.22011616204674</v>
      </c>
      <c r="G98" s="44">
        <v>254.85115044832807</v>
      </c>
      <c r="H98" s="44">
        <v>297.48515428999997</v>
      </c>
      <c r="I98" s="44">
        <v>0</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1077.4737743677658</v>
      </c>
      <c r="C100" s="58">
        <f aca="true" t="shared" si="16" ref="C100:I100">+C94-C95-C96-C97-C98-C101</f>
        <v>1222.8113210009983</v>
      </c>
      <c r="D100" s="58">
        <f t="shared" si="16"/>
        <v>1332.1869117742258</v>
      </c>
      <c r="E100" s="64">
        <f t="shared" si="16"/>
        <v>1563.808045120138</v>
      </c>
      <c r="F100" s="44">
        <f t="shared" si="16"/>
        <v>1740.7300986763166</v>
      </c>
      <c r="G100" s="44">
        <f t="shared" si="16"/>
        <v>2004.318554429467</v>
      </c>
      <c r="H100" s="44">
        <f t="shared" si="16"/>
        <v>2517.7167392700003</v>
      </c>
      <c r="I100" s="44">
        <f t="shared" si="16"/>
        <v>0</v>
      </c>
    </row>
    <row r="101" spans="1:9" ht="15">
      <c r="A101" s="43" t="str">
        <f>HLOOKUP(INDICE!$F$2,Nombres!$C$3:$D$636,282,FALSE)</f>
        <v>Dotación de capital regulatorio</v>
      </c>
      <c r="B101" s="58">
        <v>497.2793138553371</v>
      </c>
      <c r="C101" s="58">
        <v>512.1583512263585</v>
      </c>
      <c r="D101" s="58">
        <v>566.9586290306687</v>
      </c>
      <c r="E101" s="64">
        <v>622.3325042362779</v>
      </c>
      <c r="F101" s="44">
        <v>734.5387095538227</v>
      </c>
      <c r="G101" s="44">
        <v>844.9301222791756</v>
      </c>
      <c r="H101" s="44">
        <v>998.8987529000002</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Préstamos y anticipos a la clientela bruto (*)</v>
      </c>
      <c r="B107" s="44">
        <v>2113.193927679</v>
      </c>
      <c r="C107" s="44">
        <v>2263.211720004167</v>
      </c>
      <c r="D107" s="44">
        <v>2430.3841949255816</v>
      </c>
      <c r="E107" s="45">
        <v>2771.1935400848747</v>
      </c>
      <c r="F107" s="44">
        <v>2959.979765368878</v>
      </c>
      <c r="G107" s="44">
        <v>3692.500415028667</v>
      </c>
      <c r="H107" s="44">
        <v>4166.566950100001</v>
      </c>
      <c r="I107" s="44">
        <v>0</v>
      </c>
    </row>
    <row r="108" spans="1:9" ht="15">
      <c r="A108" s="43" t="str">
        <f>HLOOKUP(INDICE!$F$2,Nombres!$C$3:$D$636,67,FALSE)</f>
        <v>Depósitos de clientes en gestión (**)</v>
      </c>
      <c r="B108" s="44">
        <v>3538.8668174715767</v>
      </c>
      <c r="C108" s="44">
        <v>4243.2516962108475</v>
      </c>
      <c r="D108" s="44">
        <v>4396.010540971712</v>
      </c>
      <c r="E108" s="45">
        <v>4936.832365638575</v>
      </c>
      <c r="F108" s="44">
        <v>5552.830353253411</v>
      </c>
      <c r="G108" s="44">
        <v>6786.036476686759</v>
      </c>
      <c r="H108" s="44">
        <v>7411.194430590001</v>
      </c>
      <c r="I108" s="44">
        <v>0</v>
      </c>
    </row>
    <row r="109" spans="1:9" ht="15">
      <c r="A109" s="43" t="str">
        <f>HLOOKUP(INDICE!$F$2,Nombres!$C$3:$D$636,68,FALSE)</f>
        <v>Fondos de inversión y carteras gestionadas</v>
      </c>
      <c r="B109" s="44">
        <v>997.934113990816</v>
      </c>
      <c r="C109" s="44">
        <v>1067.7685434463842</v>
      </c>
      <c r="D109" s="44">
        <v>1334.2908104689905</v>
      </c>
      <c r="E109" s="45">
        <v>1392.8539084198994</v>
      </c>
      <c r="F109" s="44">
        <v>1705.270290436831</v>
      </c>
      <c r="G109" s="44">
        <v>1799.6441614902146</v>
      </c>
      <c r="H109" s="44">
        <v>2336.8586471999997</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HLOOKUP(INDICE!$F$2,Nombres!$C$3:$D$636,78,FALSE)</f>
        <v>(Millones de pesos argentinos)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13">
        <f>+B$6</f>
        <v>2021</v>
      </c>
      <c r="C118" s="313"/>
      <c r="D118" s="313"/>
      <c r="E118" s="314"/>
      <c r="F118" s="313">
        <f>+F$6</f>
        <v>2022</v>
      </c>
      <c r="G118" s="313"/>
      <c r="H118" s="313"/>
      <c r="I118" s="313"/>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21735.656959069278</v>
      </c>
      <c r="C120" s="41">
        <v>26758.454143550065</v>
      </c>
      <c r="D120" s="41">
        <v>32552.26818263314</v>
      </c>
      <c r="E120" s="42">
        <v>41353.91734199981</v>
      </c>
      <c r="F120" s="50">
        <v>39255.376981208814</v>
      </c>
      <c r="G120" s="50">
        <v>62174.86435180591</v>
      </c>
      <c r="H120" s="50">
        <v>98416.01296423678</v>
      </c>
      <c r="I120" s="50">
        <v>0</v>
      </c>
    </row>
    <row r="121" spans="1:9" ht="15">
      <c r="A121" s="43" t="str">
        <f>HLOOKUP(INDICE!$F$2,Nombres!$C$3:$D$636,34,FALSE)</f>
        <v>Comisiones netas</v>
      </c>
      <c r="B121" s="44">
        <v>3365.2045704127745</v>
      </c>
      <c r="C121" s="44">
        <v>6159.171520703305</v>
      </c>
      <c r="D121" s="44">
        <v>7016.5727384810925</v>
      </c>
      <c r="E121" s="45">
        <v>7036.341768693674</v>
      </c>
      <c r="F121" s="44">
        <v>7516.917595045193</v>
      </c>
      <c r="G121" s="44">
        <v>11488.56400352605</v>
      </c>
      <c r="H121" s="44">
        <v>12781.916439863795</v>
      </c>
      <c r="I121" s="44">
        <v>0</v>
      </c>
    </row>
    <row r="122" spans="1:9" ht="15">
      <c r="A122" s="43" t="str">
        <f>HLOOKUP(INDICE!$F$2,Nombres!$C$3:$D$636,35,FALSE)</f>
        <v>Resultados de operaciones financieras</v>
      </c>
      <c r="B122" s="44">
        <v>2776.0698261513107</v>
      </c>
      <c r="C122" s="44">
        <v>2951.9460733159035</v>
      </c>
      <c r="D122" s="44">
        <v>2940.694890179773</v>
      </c>
      <c r="E122" s="45">
        <v>2025.0348765523192</v>
      </c>
      <c r="F122" s="44">
        <v>4189.318622586353</v>
      </c>
      <c r="G122" s="44">
        <v>4370.724426444238</v>
      </c>
      <c r="H122" s="44">
        <v>9428.153383298692</v>
      </c>
      <c r="I122" s="44">
        <v>0</v>
      </c>
    </row>
    <row r="123" spans="1:9" ht="15">
      <c r="A123" s="43" t="str">
        <f>HLOOKUP(INDICE!$F$2,Nombres!$C$3:$D$636,36,FALSE)</f>
        <v>Otros ingresos y cargas de explotación</v>
      </c>
      <c r="B123" s="44">
        <v>-13047.324336326277</v>
      </c>
      <c r="C123" s="44">
        <v>-15001.86287632614</v>
      </c>
      <c r="D123" s="44">
        <v>-13818.287526209393</v>
      </c>
      <c r="E123" s="45">
        <v>-19570.77610866346</v>
      </c>
      <c r="F123" s="44">
        <v>-22889.981515788615</v>
      </c>
      <c r="G123" s="44">
        <v>-35347.64479436862</v>
      </c>
      <c r="H123" s="44">
        <v>-58397.54509880628</v>
      </c>
      <c r="I123" s="44">
        <v>0</v>
      </c>
    </row>
    <row r="124" spans="1:9" ht="15">
      <c r="A124" s="41" t="str">
        <f>HLOOKUP(INDICE!$F$2,Nombres!$C$3:$D$636,37,FALSE)</f>
        <v>Margen bruto</v>
      </c>
      <c r="B124" s="41">
        <f>+SUM(B120:B123)</f>
        <v>14829.607019307085</v>
      </c>
      <c r="C124" s="41">
        <f aca="true" t="shared" si="19" ref="C124:I124">+SUM(C120:C123)</f>
        <v>20867.708861243136</v>
      </c>
      <c r="D124" s="41">
        <f t="shared" si="19"/>
        <v>28691.248285084606</v>
      </c>
      <c r="E124" s="42">
        <f t="shared" si="19"/>
        <v>30844.51787858234</v>
      </c>
      <c r="F124" s="50">
        <f t="shared" si="19"/>
        <v>28071.631683051743</v>
      </c>
      <c r="G124" s="50">
        <f t="shared" si="19"/>
        <v>42686.507987407575</v>
      </c>
      <c r="H124" s="50">
        <f t="shared" si="19"/>
        <v>62228.53768859299</v>
      </c>
      <c r="I124" s="50">
        <f t="shared" si="19"/>
        <v>0</v>
      </c>
    </row>
    <row r="125" spans="1:9" ht="15">
      <c r="A125" s="43" t="str">
        <f>HLOOKUP(INDICE!$F$2,Nombres!$C$3:$D$636,38,FALSE)</f>
        <v>Gastos de explotación</v>
      </c>
      <c r="B125" s="44">
        <v>-11442.394257914146</v>
      </c>
      <c r="C125" s="44">
        <v>-14054.76614190039</v>
      </c>
      <c r="D125" s="44">
        <v>-18711.769598807507</v>
      </c>
      <c r="E125" s="45">
        <v>-21468.59057887973</v>
      </c>
      <c r="F125" s="44">
        <v>-17950.782923453222</v>
      </c>
      <c r="G125" s="44">
        <v>-29061.619875948454</v>
      </c>
      <c r="H125" s="44">
        <v>-40001.25263425957</v>
      </c>
      <c r="I125" s="44">
        <v>0</v>
      </c>
    </row>
    <row r="126" spans="1:9" ht="15">
      <c r="A126" s="43" t="str">
        <f>HLOOKUP(INDICE!$F$2,Nombres!$C$3:$D$636,39,FALSE)</f>
        <v>  Gastos de administración</v>
      </c>
      <c r="B126" s="44">
        <v>-10642.577286227179</v>
      </c>
      <c r="C126" s="44">
        <v>-12904.468709681145</v>
      </c>
      <c r="D126" s="44">
        <v>-17407.34715520446</v>
      </c>
      <c r="E126" s="45">
        <v>-19882.872983606692</v>
      </c>
      <c r="F126" s="44">
        <v>-17229.864800695963</v>
      </c>
      <c r="G126" s="44">
        <v>-26848.452972028725</v>
      </c>
      <c r="H126" s="44">
        <v>-37444.18619563557</v>
      </c>
      <c r="I126" s="44">
        <v>0</v>
      </c>
    </row>
    <row r="127" spans="1:9" ht="15">
      <c r="A127" s="46" t="str">
        <f>HLOOKUP(INDICE!$F$2,Nombres!$C$3:$D$636,40,FALSE)</f>
        <v>  Gastos de personal</v>
      </c>
      <c r="B127" s="44">
        <v>-5999.705498722209</v>
      </c>
      <c r="C127" s="44">
        <v>-7096.519460579362</v>
      </c>
      <c r="D127" s="44">
        <v>-8638.174647986692</v>
      </c>
      <c r="E127" s="45">
        <v>-10043.280688462253</v>
      </c>
      <c r="F127" s="44">
        <v>-9299.289704738145</v>
      </c>
      <c r="G127" s="44">
        <v>-14536.936502022949</v>
      </c>
      <c r="H127" s="44">
        <v>-19622.974953376615</v>
      </c>
      <c r="I127" s="44">
        <v>0</v>
      </c>
    </row>
    <row r="128" spans="1:9" ht="15">
      <c r="A128" s="46" t="str">
        <f>HLOOKUP(INDICE!$F$2,Nombres!$C$3:$D$636,41,FALSE)</f>
        <v>  Otros gastos de administración</v>
      </c>
      <c r="B128" s="44">
        <v>-4642.8717875049715</v>
      </c>
      <c r="C128" s="44">
        <v>-5807.9492491017845</v>
      </c>
      <c r="D128" s="44">
        <v>-8769.172507217772</v>
      </c>
      <c r="E128" s="45">
        <v>-9839.59229514444</v>
      </c>
      <c r="F128" s="44">
        <v>-7930.575095957818</v>
      </c>
      <c r="G128" s="44">
        <v>-12311.516470005772</v>
      </c>
      <c r="H128" s="44">
        <v>-17821.211242258956</v>
      </c>
      <c r="I128" s="44">
        <v>0</v>
      </c>
    </row>
    <row r="129" spans="1:9" ht="15">
      <c r="A129" s="43" t="str">
        <f>HLOOKUP(INDICE!$F$2,Nombres!$C$3:$D$636,42,FALSE)</f>
        <v>  Amortización</v>
      </c>
      <c r="B129" s="44">
        <v>-799.8169716869681</v>
      </c>
      <c r="C129" s="44">
        <v>-1150.297432219244</v>
      </c>
      <c r="D129" s="44">
        <v>-1304.4224436030456</v>
      </c>
      <c r="E129" s="45">
        <v>-1585.7175952730377</v>
      </c>
      <c r="F129" s="44">
        <v>-720.918122757257</v>
      </c>
      <c r="G129" s="44">
        <v>-2213.166903919725</v>
      </c>
      <c r="H129" s="44">
        <v>-2557.0664386239896</v>
      </c>
      <c r="I129" s="44">
        <v>0</v>
      </c>
    </row>
    <row r="130" spans="1:9" ht="15">
      <c r="A130" s="41" t="str">
        <f>HLOOKUP(INDICE!$F$2,Nombres!$C$3:$D$636,43,FALSE)</f>
        <v>Margen neto</v>
      </c>
      <c r="B130" s="41">
        <f>+B124+B125</f>
        <v>3387.212761392939</v>
      </c>
      <c r="C130" s="41">
        <f aca="true" t="shared" si="20" ref="C130:I130">+C124+C125</f>
        <v>6812.9427193427455</v>
      </c>
      <c r="D130" s="41">
        <f t="shared" si="20"/>
        <v>9979.4786862771</v>
      </c>
      <c r="E130" s="42">
        <f t="shared" si="20"/>
        <v>9375.92729970261</v>
      </c>
      <c r="F130" s="50">
        <f t="shared" si="20"/>
        <v>10120.84875959852</v>
      </c>
      <c r="G130" s="50">
        <f t="shared" si="20"/>
        <v>13624.88811145912</v>
      </c>
      <c r="H130" s="50">
        <f t="shared" si="20"/>
        <v>22227.28505433342</v>
      </c>
      <c r="I130" s="50">
        <f t="shared" si="20"/>
        <v>0</v>
      </c>
    </row>
    <row r="131" spans="1:9" ht="15">
      <c r="A131" s="43" t="str">
        <f>HLOOKUP(INDICE!$F$2,Nombres!$C$3:$D$636,44,FALSE)</f>
        <v>Deterioro de activos financieros no valorados a valor razonable con cambios en resultados</v>
      </c>
      <c r="B131" s="44">
        <v>-2215.0768220999025</v>
      </c>
      <c r="C131" s="44">
        <v>-3837.3749453017717</v>
      </c>
      <c r="D131" s="44">
        <v>-3868.3082401255815</v>
      </c>
      <c r="E131" s="45">
        <v>-3297.189114074396</v>
      </c>
      <c r="F131" s="44">
        <v>-5830.017454215773</v>
      </c>
      <c r="G131" s="44">
        <v>-2525.9553703188435</v>
      </c>
      <c r="H131" s="44">
        <v>-8358.365569115002</v>
      </c>
      <c r="I131" s="44">
        <v>0</v>
      </c>
    </row>
    <row r="132" spans="1:9" ht="15">
      <c r="A132" s="43" t="str">
        <f>HLOOKUP(INDICE!$F$2,Nombres!$C$3:$D$636,45,FALSE)</f>
        <v>Provisiones o reversión de provisiones y otros resultados</v>
      </c>
      <c r="B132" s="44">
        <v>-211.11372749569747</v>
      </c>
      <c r="C132" s="44">
        <v>-550.4613365749893</v>
      </c>
      <c r="D132" s="44">
        <v>-374.4727047255634</v>
      </c>
      <c r="E132" s="45">
        <v>-1130.9304131954575</v>
      </c>
      <c r="F132" s="44">
        <v>-595.4500498128259</v>
      </c>
      <c r="G132" s="44">
        <v>-1678.693143285328</v>
      </c>
      <c r="H132" s="44">
        <v>-766.3003617940602</v>
      </c>
      <c r="I132" s="44">
        <v>0</v>
      </c>
    </row>
    <row r="133" spans="1:9" ht="15">
      <c r="A133" s="41" t="str">
        <f>HLOOKUP(INDICE!$F$2,Nombres!$C$3:$D$636,46,FALSE)</f>
        <v>Resultado antes de impuestos</v>
      </c>
      <c r="B133" s="41">
        <f>+B130+B131+B132</f>
        <v>961.0222117973387</v>
      </c>
      <c r="C133" s="41">
        <f aca="true" t="shared" si="21" ref="C133:I133">+C130+C131+C132</f>
        <v>2425.1064374659845</v>
      </c>
      <c r="D133" s="41">
        <f t="shared" si="21"/>
        <v>5736.6977414259545</v>
      </c>
      <c r="E133" s="42">
        <f t="shared" si="21"/>
        <v>4947.807772432756</v>
      </c>
      <c r="F133" s="50">
        <f t="shared" si="21"/>
        <v>3695.381255569922</v>
      </c>
      <c r="G133" s="50">
        <f t="shared" si="21"/>
        <v>9420.23959785495</v>
      </c>
      <c r="H133" s="50">
        <f t="shared" si="21"/>
        <v>13102.61912342436</v>
      </c>
      <c r="I133" s="50">
        <f t="shared" si="21"/>
        <v>0</v>
      </c>
    </row>
    <row r="134" spans="1:9" ht="15">
      <c r="A134" s="43" t="str">
        <f>HLOOKUP(INDICE!$F$2,Nombres!$C$3:$D$636,47,FALSE)</f>
        <v>Impuesto sobre beneficios</v>
      </c>
      <c r="B134" s="44">
        <v>-370.41243705480065</v>
      </c>
      <c r="C134" s="44">
        <v>-1153.2452280933553</v>
      </c>
      <c r="D134" s="44">
        <v>-1220.5962790118053</v>
      </c>
      <c r="E134" s="45">
        <v>-1478.2837493599184</v>
      </c>
      <c r="F134" s="44">
        <v>-600.9203642154448</v>
      </c>
      <c r="G134" s="44">
        <v>6457.137612384988</v>
      </c>
      <c r="H134" s="44">
        <v>223.69144816936569</v>
      </c>
      <c r="I134" s="44">
        <v>0</v>
      </c>
    </row>
    <row r="135" spans="1:9" ht="15">
      <c r="A135" s="41" t="str">
        <f>HLOOKUP(INDICE!$F$2,Nombres!$C$3:$D$636,48,FALSE)</f>
        <v>Resultado del ejercicio</v>
      </c>
      <c r="B135" s="41">
        <f>+B133+B134</f>
        <v>590.6097747425381</v>
      </c>
      <c r="C135" s="41">
        <f aca="true" t="shared" si="22" ref="C135:I135">+C133+C134</f>
        <v>1271.8612093726292</v>
      </c>
      <c r="D135" s="41">
        <f t="shared" si="22"/>
        <v>4516.101462414149</v>
      </c>
      <c r="E135" s="42">
        <f t="shared" si="22"/>
        <v>3469.5240230728377</v>
      </c>
      <c r="F135" s="50">
        <f t="shared" si="22"/>
        <v>3094.460891354477</v>
      </c>
      <c r="G135" s="50">
        <f t="shared" si="22"/>
        <v>15877.377210239938</v>
      </c>
      <c r="H135" s="50">
        <f t="shared" si="22"/>
        <v>13326.310571593725</v>
      </c>
      <c r="I135" s="50">
        <f t="shared" si="22"/>
        <v>0</v>
      </c>
    </row>
    <row r="136" spans="1:9" ht="15">
      <c r="A136" s="43" t="str">
        <f>HLOOKUP(INDICE!$F$2,Nombres!$C$3:$D$636,49,FALSE)</f>
        <v>Minoritarios</v>
      </c>
      <c r="B136" s="44">
        <v>-115.43152613378948</v>
      </c>
      <c r="C136" s="44">
        <v>-270.1339852288121</v>
      </c>
      <c r="D136" s="44">
        <v>-1540.1517393508057</v>
      </c>
      <c r="E136" s="45">
        <v>-1144.853022958522</v>
      </c>
      <c r="F136" s="44">
        <v>-822.4883287865507</v>
      </c>
      <c r="G136" s="44">
        <v>-5080.723364363719</v>
      </c>
      <c r="H136" s="44">
        <v>-4033.1617812182426</v>
      </c>
      <c r="I136" s="44">
        <v>0</v>
      </c>
    </row>
    <row r="137" spans="1:9" ht="15">
      <c r="A137" s="47" t="str">
        <f>HLOOKUP(INDICE!$F$2,Nombres!$C$3:$D$636,50,FALSE)</f>
        <v>Resultado atribuido</v>
      </c>
      <c r="B137" s="47">
        <f>+B135+B136</f>
        <v>475.1782486087486</v>
      </c>
      <c r="C137" s="47">
        <f aca="true" t="shared" si="23" ref="C137:I137">+C135+C136</f>
        <v>1001.7272241438171</v>
      </c>
      <c r="D137" s="47">
        <f t="shared" si="23"/>
        <v>2975.9497230633433</v>
      </c>
      <c r="E137" s="47">
        <f t="shared" si="23"/>
        <v>2324.6710001143156</v>
      </c>
      <c r="F137" s="51">
        <f t="shared" si="23"/>
        <v>2271.9725625679266</v>
      </c>
      <c r="G137" s="51">
        <f t="shared" si="23"/>
        <v>10796.653845876219</v>
      </c>
      <c r="H137" s="51">
        <f t="shared" si="23"/>
        <v>9293.148790375482</v>
      </c>
      <c r="I137" s="51">
        <f t="shared" si="23"/>
        <v>0</v>
      </c>
    </row>
    <row r="138" spans="1:9" ht="15">
      <c r="A138" s="62"/>
      <c r="B138" s="63">
        <v>2.0463630789890885E-12</v>
      </c>
      <c r="C138" s="63">
        <v>0</v>
      </c>
      <c r="D138" s="63">
        <v>-7.275957614183426E-12</v>
      </c>
      <c r="E138" s="63">
        <v>5.4569682106375694E-12</v>
      </c>
      <c r="F138" s="63">
        <v>-4.092726157978177E-12</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HLOOKUP(INDICE!$F$2,Nombres!$C$3:$D$636,78,FALSE)</f>
        <v>(Millones de pesos argentinos)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Efectivo, saldos en efectivo en bancos centrales y otros depósitos a la vista</v>
      </c>
      <c r="B143" s="44">
        <v>195668.35391870118</v>
      </c>
      <c r="C143" s="44">
        <v>198254.61735477528</v>
      </c>
      <c r="D143" s="44">
        <v>197215.37827158908</v>
      </c>
      <c r="E143" s="45">
        <v>219235.4101425981</v>
      </c>
      <c r="F143" s="44">
        <v>199131.99155514664</v>
      </c>
      <c r="G143" s="44">
        <v>189444.0898891105</v>
      </c>
      <c r="H143" s="44">
        <v>205113.44099798083</v>
      </c>
      <c r="I143" s="44">
        <v>0</v>
      </c>
    </row>
    <row r="144" spans="1:9" ht="15">
      <c r="A144" s="43" t="str">
        <f>HLOOKUP(INDICE!$F$2,Nombres!$C$3:$D$636,53,FALSE)</f>
        <v>Activos financieros a valor razonable</v>
      </c>
      <c r="B144" s="58">
        <v>145296.2735106854</v>
      </c>
      <c r="C144" s="58">
        <v>162220.26555158006</v>
      </c>
      <c r="D144" s="58">
        <v>179952.02380668602</v>
      </c>
      <c r="E144" s="64">
        <v>185066.0672829731</v>
      </c>
      <c r="F144" s="44">
        <v>363397.1567236727</v>
      </c>
      <c r="G144" s="44">
        <v>436274.15511361416</v>
      </c>
      <c r="H144" s="44">
        <v>539441.503270587</v>
      </c>
      <c r="I144" s="44">
        <v>0</v>
      </c>
    </row>
    <row r="145" spans="1:9" ht="15">
      <c r="A145" s="43" t="str">
        <f>HLOOKUP(INDICE!$F$2,Nombres!$C$3:$D$636,54,FALSE)</f>
        <v>Activos financieros a coste amortizado</v>
      </c>
      <c r="B145" s="44">
        <v>346589.8702235161</v>
      </c>
      <c r="C145" s="44">
        <v>444855.71671522193</v>
      </c>
      <c r="D145" s="44">
        <v>475124.89244579175</v>
      </c>
      <c r="E145" s="45">
        <v>561733.3366942953</v>
      </c>
      <c r="F145" s="44">
        <v>525175.123586529</v>
      </c>
      <c r="G145" s="44">
        <v>684085.6256706354</v>
      </c>
      <c r="H145" s="44">
        <v>742437.8893717045</v>
      </c>
      <c r="I145" s="44">
        <v>0</v>
      </c>
    </row>
    <row r="146" spans="1:9" ht="15">
      <c r="A146" s="43" t="str">
        <f>HLOOKUP(INDICE!$F$2,Nombres!$C$3:$D$636,55,FALSE)</f>
        <v>    de los que préstamos y anticipos a la clientela</v>
      </c>
      <c r="B146" s="44">
        <v>288842.6104548462</v>
      </c>
      <c r="C146" s="44">
        <v>309142.49436588</v>
      </c>
      <c r="D146" s="44">
        <v>332423.6921131029</v>
      </c>
      <c r="E146" s="45">
        <v>383621.9348699468</v>
      </c>
      <c r="F146" s="44">
        <v>412475.6125973583</v>
      </c>
      <c r="G146" s="44">
        <v>516626.9115398509</v>
      </c>
      <c r="H146" s="44">
        <v>582104.9269381687</v>
      </c>
      <c r="I146" s="44">
        <v>0</v>
      </c>
    </row>
    <row r="147" spans="1:9" ht="15" customHeight="1" hidden="1">
      <c r="A147" s="43"/>
      <c r="B147" s="44"/>
      <c r="C147" s="44"/>
      <c r="D147" s="44"/>
      <c r="E147" s="45"/>
      <c r="F147" s="44"/>
      <c r="G147" s="44"/>
      <c r="H147" s="44"/>
      <c r="I147" s="44"/>
    </row>
    <row r="148" spans="1:9" ht="15">
      <c r="A148" s="43" t="str">
        <f>HLOOKUP(INDICE!$F$2,Nombres!$C$3:$D$636,56,FALSE)</f>
        <v>Activos tangibles</v>
      </c>
      <c r="B148" s="44">
        <v>38640.42866451309</v>
      </c>
      <c r="C148" s="44">
        <v>42632.280572879325</v>
      </c>
      <c r="D148" s="44">
        <v>45614.14656548944</v>
      </c>
      <c r="E148" s="45">
        <v>52552.231697507785</v>
      </c>
      <c r="F148" s="44">
        <v>64524.32673778189</v>
      </c>
      <c r="G148" s="44">
        <v>80714.48404019405</v>
      </c>
      <c r="H148" s="44">
        <v>97894.96991759767</v>
      </c>
      <c r="I148" s="44">
        <v>0</v>
      </c>
    </row>
    <row r="149" spans="1:9" ht="15">
      <c r="A149" s="43" t="str">
        <f>HLOOKUP(INDICE!$F$2,Nombres!$C$3:$D$636,57,FALSE)</f>
        <v>Otros activos</v>
      </c>
      <c r="B149" s="58">
        <f>+B150-B148-B145-B144-B143</f>
        <v>31873.68512389154</v>
      </c>
      <c r="C149" s="58">
        <f aca="true" t="shared" si="25" ref="C149:H149">+C150-C148-C145-C144-C143</f>
        <v>33524.9983625453</v>
      </c>
      <c r="D149" s="58">
        <f t="shared" si="25"/>
        <v>30913.072646801593</v>
      </c>
      <c r="E149" s="64">
        <f t="shared" si="25"/>
        <v>33142.45294802869</v>
      </c>
      <c r="F149" s="44">
        <f t="shared" si="25"/>
        <v>36579.72450088704</v>
      </c>
      <c r="G149" s="44">
        <f t="shared" si="25"/>
        <v>41816.94821815172</v>
      </c>
      <c r="H149" s="44">
        <f t="shared" si="25"/>
        <v>42545.368493609305</v>
      </c>
      <c r="I149" s="44">
        <f>+I150-I148-I145-I144-I143</f>
        <v>0</v>
      </c>
    </row>
    <row r="150" spans="1:9" ht="15">
      <c r="A150" s="47" t="str">
        <f>HLOOKUP(INDICE!$F$2,Nombres!$C$3:$D$636,58,FALSE)</f>
        <v>Total activo / pasivo</v>
      </c>
      <c r="B150" s="47">
        <v>758068.6114413072</v>
      </c>
      <c r="C150" s="47">
        <v>881487.8785570019</v>
      </c>
      <c r="D150" s="47">
        <v>928819.5137363579</v>
      </c>
      <c r="E150" s="47">
        <v>1051729.498765403</v>
      </c>
      <c r="F150" s="51">
        <v>1188808.3231040174</v>
      </c>
      <c r="G150" s="51">
        <v>1432335.3029317057</v>
      </c>
      <c r="H150" s="51">
        <v>1627433.1720514793</v>
      </c>
      <c r="I150" s="51">
        <v>0</v>
      </c>
    </row>
    <row r="151" spans="1:9" ht="15">
      <c r="A151" s="43" t="str">
        <f>HLOOKUP(INDICE!$F$2,Nombres!$C$3:$D$636,59,FALSE)</f>
        <v>Pasivos financieros mantenidos para negociar y designados a valor razonable con cambios en resultados</v>
      </c>
      <c r="B151" s="58">
        <v>398.83027477353664</v>
      </c>
      <c r="C151" s="58">
        <v>141.94230584830007</v>
      </c>
      <c r="D151" s="58">
        <v>398.8739147986835</v>
      </c>
      <c r="E151" s="64">
        <v>314.2115549988507</v>
      </c>
      <c r="F151" s="44">
        <v>327.3990244938593</v>
      </c>
      <c r="G151" s="44">
        <v>147.02896193883774</v>
      </c>
      <c r="H151" s="44">
        <v>554.1765781494179</v>
      </c>
      <c r="I151" s="44">
        <v>0</v>
      </c>
    </row>
    <row r="152" spans="1:9" ht="15">
      <c r="A152" s="43" t="str">
        <f>HLOOKUP(INDICE!$F$2,Nombres!$C$3:$D$636,60,FALSE)</f>
        <v>Depósitos de bancos centrales y entidades de crédito</v>
      </c>
      <c r="B152" s="58">
        <v>12985.327199804304</v>
      </c>
      <c r="C152" s="58">
        <v>12060.43282840376</v>
      </c>
      <c r="D152" s="58">
        <v>12230.22854515963</v>
      </c>
      <c r="E152" s="64">
        <v>13075.273800702174</v>
      </c>
      <c r="F152" s="44">
        <v>14378.099393464245</v>
      </c>
      <c r="G152" s="44">
        <v>20437.54524646643</v>
      </c>
      <c r="H152" s="44">
        <v>17358.846470954053</v>
      </c>
      <c r="I152" s="44">
        <v>0</v>
      </c>
    </row>
    <row r="153" spans="1:9" ht="15">
      <c r="A153" s="43" t="str">
        <f>HLOOKUP(INDICE!$F$2,Nombres!$C$3:$D$636,61,FALSE)</f>
        <v>Depósitos de la clientela</v>
      </c>
      <c r="B153" s="58">
        <v>507414.3239213696</v>
      </c>
      <c r="C153" s="58">
        <v>608411.6957602976</v>
      </c>
      <c r="D153" s="58">
        <v>630314.6178988395</v>
      </c>
      <c r="E153" s="64">
        <v>707859.7478395109</v>
      </c>
      <c r="F153" s="44">
        <v>796183.4523166625</v>
      </c>
      <c r="G153" s="44">
        <v>973004.4197452771</v>
      </c>
      <c r="H153" s="44">
        <v>1062641.6897597662</v>
      </c>
      <c r="I153" s="44">
        <v>0</v>
      </c>
    </row>
    <row r="154" spans="1:9" ht="15">
      <c r="A154" s="43" t="str">
        <f>HLOOKUP(INDICE!$F$2,Nombres!$C$3:$D$636,62,FALSE)</f>
        <v>Valores representativos de deuda emitidos</v>
      </c>
      <c r="B154" s="44">
        <v>20894.252987476346</v>
      </c>
      <c r="C154" s="44">
        <v>20751.38397728956</v>
      </c>
      <c r="D154" s="44">
        <v>22798.536222062157</v>
      </c>
      <c r="E154" s="45">
        <v>26599.74102599847</v>
      </c>
      <c r="F154" s="44">
        <v>31002.360699030454</v>
      </c>
      <c r="G154" s="44">
        <v>36541.407113298046</v>
      </c>
      <c r="H154" s="44">
        <v>42654.41264028041</v>
      </c>
      <c r="I154" s="44">
        <v>0</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+B150-B151-B152-B153-B154-B157</f>
        <v>145080.13328717608</v>
      </c>
      <c r="C156" s="58">
        <f aca="true" t="shared" si="26" ref="C156:I156">+C150-C151-C152-C153-C154-C157</f>
        <v>166692.4276309313</v>
      </c>
      <c r="D156" s="58">
        <f t="shared" si="26"/>
        <v>181789.98866928119</v>
      </c>
      <c r="E156" s="64">
        <f t="shared" si="26"/>
        <v>214653.52193124234</v>
      </c>
      <c r="F156" s="44">
        <f t="shared" si="26"/>
        <v>241600.3283660772</v>
      </c>
      <c r="G156" s="44">
        <f t="shared" si="26"/>
        <v>281058.82856155524</v>
      </c>
      <c r="H156" s="44">
        <f t="shared" si="26"/>
        <v>360998.61508878635</v>
      </c>
      <c r="I156" s="44">
        <f t="shared" si="26"/>
        <v>0</v>
      </c>
    </row>
    <row r="157" spans="1:9" ht="15.75" customHeight="1">
      <c r="A157" s="43" t="str">
        <f>HLOOKUP(INDICE!$F$2,Nombres!$C$3:$D$636,282,FALSE)</f>
        <v>Dotación de capital regulatorio</v>
      </c>
      <c r="B157" s="58">
        <v>71295.74377070741</v>
      </c>
      <c r="C157" s="58">
        <v>73429.99605423138</v>
      </c>
      <c r="D157" s="58">
        <v>81287.26848621668</v>
      </c>
      <c r="E157" s="64">
        <v>89227.00261295025</v>
      </c>
      <c r="F157" s="44">
        <v>105316.68330428928</v>
      </c>
      <c r="G157" s="44">
        <v>121146.07330316995</v>
      </c>
      <c r="H157" s="44">
        <v>143225.4315135428</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HLOOKUP(INDICE!$F$2,Nombres!$C$3:$D$636,78,FALSE)</f>
        <v>(Millones de pesos argentinos)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Préstamos y anticipos a la clientela bruto (*)</v>
      </c>
      <c r="B163" s="44">
        <v>302996.7864960612</v>
      </c>
      <c r="C163" s="44">
        <v>324506.83741774067</v>
      </c>
      <c r="D163" s="44">
        <v>348476.5838893369</v>
      </c>
      <c r="E163" s="45">
        <v>397342.9633723176</v>
      </c>
      <c r="F163" s="44">
        <v>424411.76138774696</v>
      </c>
      <c r="G163" s="44">
        <v>529443.0128889758</v>
      </c>
      <c r="H163" s="44">
        <v>597416.2522734476</v>
      </c>
      <c r="I163" s="44">
        <v>0</v>
      </c>
    </row>
    <row r="164" spans="1:9" ht="15">
      <c r="A164" s="43" t="str">
        <f>HLOOKUP(INDICE!$F$2,Nombres!$C$3:$D$636,67,FALSE)</f>
        <v>Depósitos de clientes en gestión (**)</v>
      </c>
      <c r="B164" s="44">
        <v>507414.515765309</v>
      </c>
      <c r="C164" s="44">
        <v>608411.566683788</v>
      </c>
      <c r="D164" s="44">
        <v>630314.6388368629</v>
      </c>
      <c r="E164" s="45">
        <v>707859.4740716382</v>
      </c>
      <c r="F164" s="44">
        <v>796183.3180362736</v>
      </c>
      <c r="G164" s="44">
        <v>973004.5210471927</v>
      </c>
      <c r="H164" s="44">
        <v>1062641.7514991954</v>
      </c>
      <c r="I164" s="44">
        <v>0</v>
      </c>
    </row>
    <row r="165" spans="1:9" ht="15">
      <c r="A165" s="43" t="str">
        <f>HLOOKUP(INDICE!$F$2,Nombres!$C$3:$D$636,68,FALSE)</f>
        <v>Fondos de inversión y carteras gestionadas</v>
      </c>
      <c r="B165" s="44">
        <v>143087.1183725748</v>
      </c>
      <c r="C165" s="44">
        <v>153100.21155568052</v>
      </c>
      <c r="D165" s="44">
        <v>191315.06225146668</v>
      </c>
      <c r="E165" s="45">
        <v>199712.03436744696</v>
      </c>
      <c r="F165" s="44">
        <v>244507.33618994747</v>
      </c>
      <c r="G165" s="44">
        <v>258038.97627457322</v>
      </c>
      <c r="H165" s="44">
        <v>335066.57923005783</v>
      </c>
      <c r="I165" s="44">
        <v>0</v>
      </c>
    </row>
    <row r="166" spans="1:9" ht="15">
      <c r="A166" s="43" t="str">
        <f>HLOOKUP(INDICE!$F$2,Nombres!$C$3:$D$636,69,FALSE)</f>
        <v>Fondos de pensiones</v>
      </c>
      <c r="B166" s="44">
        <v>0</v>
      </c>
      <c r="C166" s="44">
        <v>0</v>
      </c>
      <c r="D166" s="44">
        <v>0</v>
      </c>
      <c r="E166" s="45">
        <v>0</v>
      </c>
      <c r="F166" s="44">
        <v>0</v>
      </c>
      <c r="G166" s="44">
        <v>0</v>
      </c>
      <c r="H166" s="44">
        <v>0</v>
      </c>
      <c r="I166" s="44">
        <v>0</v>
      </c>
    </row>
    <row r="167" spans="1:15" ht="15">
      <c r="A167" s="43"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62" t="str">
        <f>HLOOKUP(INDICE!$F$2,Nombres!$C$3:$D$636,71,FALSE)</f>
        <v>(*) No incluye las adquisiciones temporales de activos.</v>
      </c>
      <c r="B168" s="58"/>
      <c r="C168" s="58"/>
      <c r="D168" s="58"/>
      <c r="E168" s="58"/>
      <c r="F168" s="58"/>
      <c r="G168" s="58"/>
      <c r="H168" s="58"/>
      <c r="I168" s="58"/>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392</v>
      </c>
    </row>
  </sheetData>
  <sheetProtection/>
  <mergeCells count="6">
    <mergeCell ref="B118:E118"/>
    <mergeCell ref="F118:I118"/>
    <mergeCell ref="B6:E6"/>
    <mergeCell ref="F6:I6"/>
    <mergeCell ref="B62:E62"/>
    <mergeCell ref="F62:I62"/>
  </mergeCells>
  <conditionalFormatting sqref="B26:I26">
    <cfRule type="cellIs" priority="3" dxfId="131" operator="notBetween">
      <formula>0.5</formula>
      <formula>-0.5</formula>
    </cfRule>
  </conditionalFormatting>
  <conditionalFormatting sqref="B82:I82">
    <cfRule type="cellIs" priority="2" dxfId="131" operator="notBetween">
      <formula>0.5</formula>
      <formula>-0.5</formula>
    </cfRule>
  </conditionalFormatting>
  <conditionalFormatting sqref="B138:I138">
    <cfRule type="cellIs" priority="1" dxfId="131" operator="notBetween">
      <formula>0.5</formula>
      <formula>-0.5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GONZALEZ SOBRADO, SONIA</cp:lastModifiedBy>
  <dcterms:created xsi:type="dcterms:W3CDTF">2019-04-26T12:12:53Z</dcterms:created>
  <dcterms:modified xsi:type="dcterms:W3CDTF">2022-10-27T14:45:01Z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