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483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<sst xmlns="http://schemas.openxmlformats.org/spreadsheetml/2006/main" count="670" uniqueCount="556">
  <si>
    <t>IDIOMA/LANGUAGE</t>
  </si>
  <si>
    <t>1er Trim.</t>
  </si>
  <si>
    <t>2º Trim.</t>
  </si>
  <si>
    <t>3er Trim.</t>
  </si>
  <si>
    <t>4º Trim.</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</si>
  <si>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</si>
  <si>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</si>
  <si>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</si>
  <si>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</si>
  <si>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</si>
  <si>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</si>
  <si>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</si>
  <si>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</si>
  <si>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</si>
  <si>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</si>
  <si>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</si>
  <si>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</si>
  <si>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</si>
  <si>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</si>
  <si>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</si>
  <si>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</si>
  <si>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</si>
  <si>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</si>
  <si>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</si>
  <si>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</si>
  <si>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</si>
  <si>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</si>
  <si>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</si>
  <si>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</si>
  <si>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</si>
  <si>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</si>
  <si>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</si>
  <si>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</si>
  <si>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</si>
  <si>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</si>
  <si>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</si>
  <si>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</si>
  <si>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</si>
  <si>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</si>
  <si>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</si>
  <si>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</si>
  <si>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</si>
  <si>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</si>
  <si>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</si>
  <si>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</si>
  <si>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</si>
  <si>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</si>
  <si>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</si>
  <si>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</si>
  <si>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</si>
  <si>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</si>
  <si>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</si>
  <si>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</si>
  <si>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</si>
  <si>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</si>
  <si>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</si>
  <si>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</si>
  <si>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</si>
  <si>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</si>
  <si>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</si>
  <si>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</si>
  <si>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</si>
  <si>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</si>
  <si>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</si>
  <si>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</si>
  <si>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</si>
  <si>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</si>
  <si>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</si>
  <si>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</si>
  <si>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</si>
  <si>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</si>
  <si>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</si>
  <si>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</si>
  <si>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</si>
  <si>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</si>
  <si>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</si>
  <si>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</si>
  <si>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</si>
  <si>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</si>
  <si>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</si>
  <si>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</si>
  <si>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</si>
  <si>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</si>
  <si>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</si>
  <si>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</si>
  <si>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</si>
  <si>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</si>
  <si>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</si>
  <si>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</si>
  <si>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</si>
  <si>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</si>
  <si>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</si>
  <si>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</si>
  <si>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</si>
  <si>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</si>
  <si>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</si>
  <si>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</si>
  <si>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</si>
  <si>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</si>
  <si>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</si>
  <si>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</si>
  <si>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</si>
  <si>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</si>
  <si>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</si>
  <si>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</si>
  <si>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</si>
  <si>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</si>
  <si>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</si>
  <si>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</si>
  <si>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</si>
  <si>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</si>
  <si>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</si>
  <si>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</si>
  <si>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</si>
  <si>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</si>
  <si>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</si>
  <si>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</si>
  <si>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</si>
  <si>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</si>
  <si>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</si>
  <si>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</si>
  <si>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</si>
  <si>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</si>
  <si>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</si>
  <si>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</si>
  <si>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</si>
  <si>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</si>
  <si>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</si>
  <si>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</si>
  <si>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</si>
  <si>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</si>
  <si>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</si>
  <si>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</si>
  <si>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</si>
  <si>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</si>
  <si>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</si>
  <si>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</si>
  <si>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</si>
  <si>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</si>
  <si>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</si>
  <si>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</si>
  <si>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</si>
  <si>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</si>
  <si>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</si>
  <si>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</si>
  <si>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</si>
  <si>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</si>
  <si>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</si>
  <si>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</si>
  <si>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</si>
  <si>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</si>
  <si>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</si>
  <si>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</si>
  <si>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</si>
  <si>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</si>
  <si>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</si>
  <si>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</si>
  <si>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</si>
  <si>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</si>
  <si>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</si>
  <si>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</si>
  <si>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</si>
  <si>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</si>
  <si>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</si>
  <si>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</si>
  <si>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</si>
  <si>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</si>
  <si>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</si>
  <si>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</si>
  <si>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</si>
  <si>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</si>
  <si>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</si>
  <si>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</si>
  <si>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</si>
  <si>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</si>
  <si>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</si>
  <si>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</si>
  <si>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</si>
  <si>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</si>
  <si>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</si>
  <si>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</si>
  <si>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</si>
  <si>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</si>
  <si>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</si>
  <si>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</si>
  <si>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</si>
  <si>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</si>
  <si>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</si>
  <si>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</si>
  <si>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</si>
  <si>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</si>
  <si>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</si>
  <si>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</si>
  <si>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</si>
  <si>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</si>
  <si>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</si>
  <si>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</si>
  <si>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</si>
  <si>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</si>
  <si>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</si>
  <si>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</si>
  <si>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</si>
  <si>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</si>
  <si>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</si>
  <si>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</si>
  <si>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</si>
  <si>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</si>
  <si>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</si>
  <si>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</si>
  <si>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</si>
  <si>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</si>
  <si>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</si>
  <si>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</si>
  <si>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</si>
  <si>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</si>
  <si>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</si>
  <si>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</si>
  <si>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</si>
  <si>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</si>
  <si>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</si>
  <si>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</si>
  <si>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</si>
  <si>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</si>
  <si>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</si>
  <si>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</si>
  <si>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</si>
  <si>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</si>
  <si>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</si>
  <si>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</si>
  <si>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</si>
  <si>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</si>
  <si>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</si>
  <si>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</si>
  <si>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</si>
  <si>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</si>
  <si>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</si>
  <si>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</si>
  <si>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</si>
  <si>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</si>
  <si>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</si>
  <si>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</si>
  <si>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</si>
  <si>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</si>
  <si>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</si>
  <si>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</si>
  <si>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</si>
  <si>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</si>
  <si>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</si>
  <si>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</si>
  <si>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</si>
  <si>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</si>
  <si>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</si>
  <si>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</si>
  <si>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</si>
  <si>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</si>
  <si>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</si>
  <si>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</si>
  <si>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</si>
  <si>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</si>
  <si>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</si>
  <si>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</si>
  <si>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</si>
  <si>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</si>
  <si>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</si>
  <si>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</si>
  <si>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</si>
  <si>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</si>
  <si>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</si>
  <si>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</si>
  <si>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</si>
  <si>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</si>
  <si>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</si>
  <si>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</si>
  <si>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</si>
  <si>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</si>
  <si>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</si>
  <si>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</si>
  <si>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</si>
  <si>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</si>
  <si>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</si>
  <si>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</si>
  <si>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</si>
  <si>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</si>
  <si>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</si>
  <si>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</si>
  <si>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</si>
  <si>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</si>
  <si>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</si>
  <si>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</si>
  <si>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</si>
  <si>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</si>
  <si>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</si>
  <si>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</si>
  <si>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</si>
  <si>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</si>
  <si>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</si>
  <si>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</si>
  <si>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</si>
  <si>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</si>
  <si>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</si>
  <si>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</si>
  <si>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</si>
  <si>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</si>
  <si>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</si>
  <si>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</si>
  <si>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</si>
  <si>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</si>
  <si>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</si>
  <si>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</si>
  <si>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</si>
  <si>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</si>
  <si>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</si>
  <si>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</si>
  <si>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</si>
  <si>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</si>
  <si>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</si>
  <si>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</si>
  <si>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</si>
  <si>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</si>
  <si>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</si>
  <si>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</si>
  <si>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</si>
  <si>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</si>
  <si>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</si>
  <si>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</si>
  <si>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</si>
  <si>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</si>
  <si>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</si>
  <si>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</si>
  <si>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</si>
  <si>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</si>
  <si>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</si>
  <si>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</si>
  <si>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</si>
  <si>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</si>
  <si>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</si>
  <si>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</si>
  <si>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</si>
  <si>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</si>
  <si>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</si>
  <si>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</si>
  <si>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</si>
  <si>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</si>
  <si>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</si>
  <si>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</si>
  <si>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</si>
  <si>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</si>
  <si>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</si>
  <si>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</si>
  <si>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</si>
  <si>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</si>
  <si>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</si>
  <si>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</si>
  <si>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</si>
  <si>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</si>
  <si>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</si>
  <si>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</si>
  <si>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</si>
  <si>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</si>
  <si>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</si>
  <si>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</si>
  <si>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</si>
  <si>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</si>
  <si>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</si>
  <si>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</si>
  <si>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</si>
  <si>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</si>
  <si>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</si>
  <si>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</si>
  <si>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</si>
  <si>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</si>
  <si>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</si>
  <si>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</si>
  <si>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</si>
  <si>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</si>
  <si>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</si>
  <si>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</si>
  <si>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</si>
  <si>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</si>
  <si>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</si>
  <si>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</si>
  <si>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</si>
  <si>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</si>
  <si>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</si>
  <si>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</si>
  <si>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</si>
  <si>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</si>
  <si>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</si>
  <si>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</si>
  <si>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</si>
  <si>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</si>
  <si>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</si>
  <si>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</si>
  <si>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</si>
  <si>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</si>
  <si>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</si>
  <si>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</si>
  <si>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</si>
  <si>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</si>
  <si>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</si>
  <si>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</si>
  <si>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</si>
  <si>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</si>
  <si>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</si>
  <si>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</si>
  <si>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</si>
  <si>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</si>
  <si>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</si>
  <si>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</si>
  <si>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</si>
  <si>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</si>
  <si>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</si>
  <si>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</si>
  <si>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</si>
  <si>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</si>
  <si>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</si>
  <si>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</si>
  <si>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</si>
  <si>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</si>
  <si>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</si>
  <si>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</si>
  <si>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</si>
  <si>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</si>
  <si>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</si>
  <si>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</si>
  <si>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</si>
  <si>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</si>
  <si>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</si>
  <si>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</si>
  <si>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</si>
  <si>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</si>
  <si>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</si>
  <si>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</si>
  <si>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</si>
  <si>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</si>
  <si>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</si>
  <si>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</si>
  <si>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</si>
  <si>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</si>
  <si>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</si>
  <si>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</si>
  <si>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</si>
  <si>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</si>
  <si>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</si>
  <si>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</si>
  <si>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</si>
  <si>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</si>
  <si>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</si>
  <si>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</si>
  <si>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</si>
  <si>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</si>
  <si>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</si>
  <si>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</si>
  <si>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</si>
  <si>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</si>
  <si>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</si>
  <si>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</si>
  <si>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</si>
  <si>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</si>
  <si>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</si>
  <si>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</si>
  <si>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</si>
  <si>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</si>
  <si>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</si>
  <si>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</si>
  <si>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</si>
  <si>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</si>
  <si>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</si>
  <si>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</si>
  <si>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</si>
  <si>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</si>
  <si>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</si>
  <si>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</si>
  <si>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</si>
  <si>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</si>
  <si>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</si>
  <si>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</si>
  <si>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</si>
  <si>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</si>
  <si>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</si>
  <si>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</si>
  <si>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</si>
  <si>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</si>
  <si>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</si>
  <si>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</si>
  <si>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</si>
  <si>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</si>
  <si>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</si>
  <si>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</si>
  <si>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</si>
  <si>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</si>
  <si>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</si>
  <si>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</si>
  <si>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</si>
  <si>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</si>
  <si>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</si>
  <si>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</si>
  <si>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</si>
  <si>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</si>
  <si>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</si>
  <si>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</si>
  <si>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</si>
  <si>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</si>
  <si>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</si>
  <si>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</si>
  <si>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</si>
  <si>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</si>
  <si>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</si>
  <si>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</si>
  <si>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</si>
  <si>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</si>
  <si>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</si>
  <si>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</si>
  <si>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</si>
  <si>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</si>
  <si>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</si>
  <si>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</si>
  <si>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</si>
  <si>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</si>
  <si>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</si>
  <si>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</si>
  <si>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</si>
  <si>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</si>
  <si>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</si>
  <si>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</si>
  <si>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</si>
  <si>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</si>
  <si>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</si>
  <si>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</si>
  <si>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</si>
  <si>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</si>
  <si>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</si>
  <si>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</si>
  <si>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</si>
  <si>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</si>
  <si>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</si>
  <si>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</si>
  <si>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</si>
  <si>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</si>
  <si>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</si>
  <si>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</si>
  <si>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</si>
  <si>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</si>
  <si>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</si>
  <si>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</si>
  <si>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</si>
  <si>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</si>
  <si>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</si>
  <si>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</si>
  <si>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</si>
  <si>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</si>
  <si>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</si>
  <si>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</si>
  <si>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</si>
  <si>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</si>
  <si>
    <t>Resultado Atribuido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</si>
</sst>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 numFmtId="178" formatCode="0.00000%"/>
    <numFmt numFmtId="179" formatCode="0.000000%"/>
    <numFmt numFmtId="180" formatCode="0.0000000%"/>
    <numFmt numFmtId="181" formatCode="0.000"/>
    <numFmt numFmtId="182"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0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10" fontId="15" fillId="0" borderId="0" xfId="54" applyNumberFormat="1" applyFont="1" applyFill="1" applyBorder="1">
      <alignment/>
      <protection/>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10" fontId="0" fillId="0" borderId="0" xfId="63" applyNumberFormat="1" applyFont="1" applyFill="1" applyAlignment="1">
      <alignment/>
    </xf>
    <xf numFmtId="0" fontId="0" fillId="0" borderId="0" xfId="57" applyFont="1" applyAlignment="1">
      <alignment horizontal="right"/>
      <protection/>
    </xf>
    <xf numFmtId="14" fontId="18" fillId="0" borderId="0" xfId="0" applyNumberFormat="1" applyFont="1" applyFill="1" applyAlignment="1">
      <alignment vertical="center"/>
    </xf>
    <xf numFmtId="165" fontId="16" fillId="0" borderId="0" xfId="0" applyNumberFormat="1" applyFont="1" applyFill="1" applyBorder="1" applyAlignment="1">
      <alignment horizontal="right" vertical="center"/>
    </xf>
    <xf numFmtId="165" fontId="15" fillId="0" borderId="10" xfId="0" applyNumberFormat="1" applyFont="1" applyFill="1" applyBorder="1" applyAlignment="1">
      <alignment/>
    </xf>
    <xf numFmtId="165" fontId="15" fillId="0" borderId="0" xfId="0" applyNumberFormat="1" applyFont="1" applyFill="1" applyBorder="1" applyAlignment="1">
      <alignment horizontal="right"/>
    </xf>
    <xf numFmtId="165" fontId="15" fillId="0" borderId="0" xfId="59" applyNumberFormat="1" applyFont="1" applyFill="1" applyBorder="1">
      <alignment/>
      <protection/>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0" fontId="71" fillId="0" borderId="0" xfId="57" applyFont="1">
      <alignment/>
      <protection/>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0" fontId="0" fillId="0" borderId="0" xfId="0" applyFill="1" applyBorder="1" applyAlignment="1">
      <alignment horizontal="right"/>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3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10585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10410825" y="3429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581025</xdr:colOff>
      <xdr:row>6</xdr:row>
      <xdr:rowOff>9525</xdr:rowOff>
    </xdr:to>
    <xdr:sp>
      <xdr:nvSpPr>
        <xdr:cNvPr id="1" name="2 Rectángulo redondeado">
          <a:hlinkClick r:id="rId1"/>
        </xdr:cNvPr>
        <xdr:cNvSpPr>
          <a:spLocks/>
        </xdr:cNvSpPr>
      </xdr:nvSpPr>
      <xdr:spPr>
        <a:xfrm>
          <a:off x="10382250" y="457200"/>
          <a:ext cx="11906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1572875" y="523875"/>
          <a:ext cx="12382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733425</xdr:colOff>
      <xdr:row>5</xdr:row>
      <xdr:rowOff>123825</xdr:rowOff>
    </xdr:to>
    <xdr:sp>
      <xdr:nvSpPr>
        <xdr:cNvPr id="1" name="2 Rectángulo redondeado">
          <a:hlinkClick r:id="rId1"/>
        </xdr:cNvPr>
        <xdr:cNvSpPr>
          <a:spLocks/>
        </xdr:cNvSpPr>
      </xdr:nvSpPr>
      <xdr:spPr>
        <a:xfrm>
          <a:off x="10515600" y="35242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8553450" y="123825"/>
          <a:ext cx="95250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77350" y="133350"/>
          <a:ext cx="1200150"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9963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8115300" y="323850"/>
          <a:ext cx="952500"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8096250"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3449300"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15375" y="200025"/>
          <a:ext cx="1066800"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9315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9058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8782050" y="266700"/>
          <a:ext cx="981075"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152400</xdr:rowOff>
    </xdr:to>
    <xdr:sp>
      <xdr:nvSpPr>
        <xdr:cNvPr id="1" name="2 Rectángulo redondeado">
          <a:hlinkClick r:id="rId1"/>
        </xdr:cNvPr>
        <xdr:cNvSpPr>
          <a:spLocks/>
        </xdr:cNvSpPr>
      </xdr:nvSpPr>
      <xdr:spPr>
        <a:xfrm>
          <a:off x="11906250" y="6000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10744200" y="590550"/>
          <a:ext cx="12001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161925</xdr:rowOff>
    </xdr:from>
    <xdr:to>
      <xdr:col>10</xdr:col>
      <xdr:colOff>628650</xdr:colOff>
      <xdr:row>6</xdr:row>
      <xdr:rowOff>171450</xdr:rowOff>
    </xdr:to>
    <xdr:sp>
      <xdr:nvSpPr>
        <xdr:cNvPr id="1" name="2 Rectángulo redondeado">
          <a:hlinkClick r:id="rId1"/>
        </xdr:cNvPr>
        <xdr:cNvSpPr>
          <a:spLocks/>
        </xdr:cNvSpPr>
      </xdr:nvSpPr>
      <xdr:spPr>
        <a:xfrm>
          <a:off x="10382250" y="638175"/>
          <a:ext cx="12382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10582275" y="552450"/>
          <a:ext cx="1200150"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10591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10477500" y="514350"/>
          <a:ext cx="121920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10648950" y="438150"/>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85">
      <selection activeCell="C324" sqref="C324"/>
    </sheetView>
  </sheetViews>
  <sheetFormatPr defaultColWidth="11.421875" defaultRowHeight="15"/>
  <cols>
    <col min="2" max="2" width="6.421875" style="0" customWidth="1"/>
    <col min="3" max="3" width="107.421875" style="0" customWidth="1"/>
    <col min="4" max="4" width="54.421875" style="0" customWidth="1"/>
  </cols>
  <sheetData>
    <row r="1" spans="1:4" ht="15">
      <c r="A1" s="225"/>
      <c r="B1" s="225"/>
      <c r="C1" s="226"/>
      <c r="D1" s="226"/>
    </row>
    <row r="2" spans="1:4" ht="15">
      <c r="A2" s="225"/>
      <c r="B2" s="225" t="s">
        <v>11</v>
      </c>
      <c r="C2" s="226" t="s">
        <v>12</v>
      </c>
      <c r="D2" s="226" t="s">
        <v>13</v>
      </c>
    </row>
    <row r="3" spans="1:9" ht="19.5">
      <c r="A3" s="225"/>
      <c r="B3" s="225">
        <v>1</v>
      </c>
      <c r="C3" s="227">
        <v>7</v>
      </c>
      <c r="D3" s="227">
        <v>8</v>
      </c>
      <c r="I3" s="228" t="s">
        <v>0</v>
      </c>
    </row>
    <row r="4" spans="2:9" ht="19.5">
      <c r="B4">
        <v>2</v>
      </c>
      <c r="C4" s="229" t="s">
        <v>521</v>
      </c>
      <c r="D4" s="229" t="s">
        <v>522</v>
      </c>
      <c r="I4" s="228" t="s">
        <v>14</v>
      </c>
    </row>
    <row r="5" spans="2:9" ht="19.5">
      <c r="B5">
        <v>3</v>
      </c>
      <c r="C5" s="229" t="s">
        <v>15</v>
      </c>
      <c r="D5" s="229" t="s">
        <v>16</v>
      </c>
      <c r="I5" s="228" t="s">
        <v>17</v>
      </c>
    </row>
    <row r="6" spans="2:4" ht="15.75">
      <c r="B6">
        <v>4</v>
      </c>
      <c r="C6" s="229" t="s">
        <v>18</v>
      </c>
      <c r="D6" s="229" t="s">
        <v>19</v>
      </c>
    </row>
    <row r="7" spans="2:4" ht="15.75">
      <c r="B7">
        <v>5</v>
      </c>
      <c r="C7" s="229" t="s">
        <v>20</v>
      </c>
      <c r="D7" s="229" t="s">
        <v>21</v>
      </c>
    </row>
    <row r="8" spans="2:4" ht="15.75">
      <c r="B8">
        <v>6</v>
      </c>
      <c r="C8" s="229" t="s">
        <v>22</v>
      </c>
      <c r="D8" s="229" t="s">
        <v>23</v>
      </c>
    </row>
    <row r="9" spans="2:4" ht="15.75">
      <c r="B9">
        <v>7</v>
      </c>
      <c r="C9" s="229" t="s">
        <v>24</v>
      </c>
      <c r="D9" s="229" t="s">
        <v>25</v>
      </c>
    </row>
    <row r="10" spans="2:4" ht="15.75">
      <c r="B10">
        <v>8</v>
      </c>
      <c r="C10" s="229" t="s">
        <v>26</v>
      </c>
      <c r="D10" s="229" t="s">
        <v>27</v>
      </c>
    </row>
    <row r="11" spans="2:4" ht="15.75">
      <c r="B11">
        <v>9</v>
      </c>
      <c r="C11" s="229" t="s">
        <v>28</v>
      </c>
      <c r="D11" s="229" t="s">
        <v>28</v>
      </c>
    </row>
    <row r="12" spans="2:4" ht="15.75">
      <c r="B12">
        <v>10</v>
      </c>
      <c r="C12" s="230" t="s">
        <v>29</v>
      </c>
      <c r="D12" s="230" t="s">
        <v>30</v>
      </c>
    </row>
    <row r="13" spans="2:4" ht="15.75">
      <c r="B13">
        <v>11</v>
      </c>
      <c r="C13" s="230" t="s">
        <v>31</v>
      </c>
      <c r="D13" s="230" t="s">
        <v>32</v>
      </c>
    </row>
    <row r="14" spans="2:4" ht="15.75">
      <c r="B14">
        <v>12</v>
      </c>
      <c r="C14" s="230" t="s">
        <v>33</v>
      </c>
      <c r="D14" s="230" t="s">
        <v>34</v>
      </c>
    </row>
    <row r="15" spans="2:4" ht="15.75">
      <c r="B15">
        <v>13</v>
      </c>
      <c r="C15" s="230" t="s">
        <v>35</v>
      </c>
      <c r="D15" s="230" t="s">
        <v>36</v>
      </c>
    </row>
    <row r="16" spans="2:4" ht="15.75">
      <c r="B16">
        <v>14</v>
      </c>
      <c r="C16" s="230" t="s">
        <v>6</v>
      </c>
      <c r="D16" s="230" t="s">
        <v>6</v>
      </c>
    </row>
    <row r="17" spans="2:4" ht="15.75">
      <c r="B17">
        <v>15</v>
      </c>
      <c r="C17" s="230" t="s">
        <v>7</v>
      </c>
      <c r="D17" s="230" t="s">
        <v>7</v>
      </c>
    </row>
    <row r="18" spans="2:4" ht="15.75">
      <c r="B18">
        <v>16</v>
      </c>
      <c r="C18" s="230" t="s">
        <v>8</v>
      </c>
      <c r="D18" s="230" t="s">
        <v>8</v>
      </c>
    </row>
    <row r="19" spans="2:4" ht="15.75">
      <c r="B19">
        <v>17</v>
      </c>
      <c r="C19" s="230" t="s">
        <v>9</v>
      </c>
      <c r="D19" s="230" t="s">
        <v>37</v>
      </c>
    </row>
    <row r="20" spans="2:4" ht="15.75">
      <c r="B20">
        <v>18</v>
      </c>
      <c r="C20" s="230" t="s">
        <v>38</v>
      </c>
      <c r="D20" s="230" t="s">
        <v>39</v>
      </c>
    </row>
    <row r="21" spans="2:4" ht="15.75">
      <c r="B21">
        <v>19</v>
      </c>
      <c r="C21" s="230" t="s">
        <v>40</v>
      </c>
      <c r="D21" s="230" t="s">
        <v>41</v>
      </c>
    </row>
    <row r="22" spans="2:4" ht="15.75">
      <c r="B22">
        <v>20</v>
      </c>
      <c r="C22" s="230" t="s">
        <v>42</v>
      </c>
      <c r="D22" s="230" t="s">
        <v>43</v>
      </c>
    </row>
    <row r="23" spans="2:4" ht="15.75">
      <c r="B23">
        <v>21</v>
      </c>
      <c r="C23" s="230" t="s">
        <v>44</v>
      </c>
      <c r="D23" s="230" t="s">
        <v>44</v>
      </c>
    </row>
    <row r="24" spans="2:4" ht="15.75">
      <c r="B24">
        <v>22</v>
      </c>
      <c r="C24" s="230" t="s">
        <v>45</v>
      </c>
      <c r="D24" s="230" t="s">
        <v>46</v>
      </c>
    </row>
    <row r="25" spans="2:4" ht="15.75">
      <c r="B25">
        <v>23</v>
      </c>
      <c r="C25" s="230" t="s">
        <v>47</v>
      </c>
      <c r="D25" s="230" t="s">
        <v>48</v>
      </c>
    </row>
    <row r="26" spans="2:4" ht="15.75">
      <c r="B26">
        <v>24</v>
      </c>
      <c r="C26" s="230" t="s">
        <v>49</v>
      </c>
      <c r="D26" s="230" t="s">
        <v>50</v>
      </c>
    </row>
    <row r="27" spans="2:4" ht="15.75">
      <c r="B27">
        <v>25</v>
      </c>
      <c r="C27" s="230" t="s">
        <v>51</v>
      </c>
      <c r="D27" s="230" t="s">
        <v>52</v>
      </c>
    </row>
    <row r="28" spans="2:4" ht="15.75">
      <c r="B28">
        <v>26</v>
      </c>
      <c r="C28" s="230" t="s">
        <v>53</v>
      </c>
      <c r="D28" s="230" t="s">
        <v>54</v>
      </c>
    </row>
    <row r="29" spans="2:4" ht="15.75">
      <c r="B29">
        <v>27</v>
      </c>
      <c r="C29" s="230" t="s">
        <v>55</v>
      </c>
      <c r="D29" s="230" t="s">
        <v>56</v>
      </c>
    </row>
    <row r="30" spans="2:4" ht="15.75">
      <c r="B30">
        <v>28</v>
      </c>
      <c r="C30" s="230" t="s">
        <v>57</v>
      </c>
      <c r="D30" s="230" t="s">
        <v>58</v>
      </c>
    </row>
    <row r="31" spans="2:4" ht="15.75">
      <c r="B31">
        <v>29</v>
      </c>
      <c r="C31" s="230" t="s">
        <v>59</v>
      </c>
      <c r="D31" s="230" t="s">
        <v>60</v>
      </c>
    </row>
    <row r="32" spans="2:4" ht="15.75">
      <c r="B32">
        <v>30</v>
      </c>
      <c r="C32" s="230" t="s">
        <v>61</v>
      </c>
      <c r="D32" s="230" t="s">
        <v>62</v>
      </c>
    </row>
    <row r="33" spans="2:4" ht="15.75">
      <c r="B33">
        <v>31</v>
      </c>
      <c r="C33" s="230" t="s">
        <v>63</v>
      </c>
      <c r="D33" t="s">
        <v>64</v>
      </c>
    </row>
    <row r="34" spans="2:4" ht="15.75">
      <c r="B34">
        <v>32</v>
      </c>
      <c r="C34" s="230" t="s">
        <v>65</v>
      </c>
      <c r="D34" t="s">
        <v>66</v>
      </c>
    </row>
    <row r="35" spans="2:4" ht="15.75">
      <c r="B35">
        <v>33</v>
      </c>
      <c r="C35" s="230" t="s">
        <v>67</v>
      </c>
      <c r="D35" t="s">
        <v>68</v>
      </c>
    </row>
    <row r="36" spans="2:4" ht="15.75">
      <c r="B36">
        <v>34</v>
      </c>
      <c r="C36" s="230" t="s">
        <v>69</v>
      </c>
      <c r="D36" t="s">
        <v>70</v>
      </c>
    </row>
    <row r="37" spans="2:4" ht="15.75">
      <c r="B37">
        <v>35</v>
      </c>
      <c r="C37" s="230" t="s">
        <v>71</v>
      </c>
      <c r="D37" t="s">
        <v>72</v>
      </c>
    </row>
    <row r="38" spans="2:4" ht="15.75">
      <c r="B38">
        <v>36</v>
      </c>
      <c r="C38" s="230" t="s">
        <v>73</v>
      </c>
      <c r="D38" t="s">
        <v>74</v>
      </c>
    </row>
    <row r="39" spans="2:4" ht="15.75">
      <c r="B39">
        <v>37</v>
      </c>
      <c r="C39" s="230" t="s">
        <v>75</v>
      </c>
      <c r="D39" t="s">
        <v>76</v>
      </c>
    </row>
    <row r="40" spans="2:4" ht="15.75">
      <c r="B40">
        <v>38</v>
      </c>
      <c r="C40" s="230" t="s">
        <v>77</v>
      </c>
      <c r="D40" t="s">
        <v>78</v>
      </c>
    </row>
    <row r="41" spans="2:4" ht="15.75">
      <c r="B41">
        <v>39</v>
      </c>
      <c r="C41" s="230" t="s">
        <v>79</v>
      </c>
      <c r="D41" t="s">
        <v>80</v>
      </c>
    </row>
    <row r="42" spans="2:4" ht="15.75">
      <c r="B42">
        <v>40</v>
      </c>
      <c r="C42" s="230" t="s">
        <v>81</v>
      </c>
      <c r="D42" t="s">
        <v>82</v>
      </c>
    </row>
    <row r="43" spans="2:4" ht="15.75">
      <c r="B43">
        <v>41</v>
      </c>
      <c r="C43" s="230" t="s">
        <v>83</v>
      </c>
      <c r="D43" t="s">
        <v>84</v>
      </c>
    </row>
    <row r="44" spans="2:4" ht="15.75">
      <c r="B44">
        <v>42</v>
      </c>
      <c r="C44" s="230" t="s">
        <v>85</v>
      </c>
      <c r="D44" t="s">
        <v>86</v>
      </c>
    </row>
    <row r="45" spans="2:10" ht="15.75">
      <c r="B45">
        <v>43</v>
      </c>
      <c r="C45" s="230" t="s">
        <v>87</v>
      </c>
      <c r="D45" t="s">
        <v>88</v>
      </c>
      <c r="J45" t="s">
        <v>530</v>
      </c>
    </row>
    <row r="46" spans="2:4" ht="15.75">
      <c r="B46">
        <v>44</v>
      </c>
      <c r="C46" s="230" t="s">
        <v>89</v>
      </c>
      <c r="D46" t="s">
        <v>90</v>
      </c>
    </row>
    <row r="47" spans="2:4" ht="15.75">
      <c r="B47">
        <v>45</v>
      </c>
      <c r="C47" s="230" t="s">
        <v>91</v>
      </c>
      <c r="D47" t="s">
        <v>92</v>
      </c>
    </row>
    <row r="48" spans="2:4" ht="15.75">
      <c r="B48">
        <v>46</v>
      </c>
      <c r="C48" s="230" t="s">
        <v>93</v>
      </c>
      <c r="D48" t="s">
        <v>94</v>
      </c>
    </row>
    <row r="49" spans="2:4" ht="15.75">
      <c r="B49">
        <v>47</v>
      </c>
      <c r="C49" s="230" t="s">
        <v>95</v>
      </c>
      <c r="D49" t="s">
        <v>96</v>
      </c>
    </row>
    <row r="50" spans="2:4" ht="15.75">
      <c r="B50">
        <v>48</v>
      </c>
      <c r="C50" s="230" t="s">
        <v>97</v>
      </c>
      <c r="D50" t="s">
        <v>98</v>
      </c>
    </row>
    <row r="51" spans="2:4" ht="15.75">
      <c r="B51">
        <v>49</v>
      </c>
      <c r="C51" s="230" t="s">
        <v>99</v>
      </c>
      <c r="D51" t="s">
        <v>100</v>
      </c>
    </row>
    <row r="52" spans="2:4" ht="15.75">
      <c r="B52">
        <v>50</v>
      </c>
      <c r="C52" s="230" t="s">
        <v>101</v>
      </c>
      <c r="D52" t="s">
        <v>102</v>
      </c>
    </row>
    <row r="53" spans="2:4" ht="15.75">
      <c r="B53">
        <v>51</v>
      </c>
      <c r="C53" s="230" t="s">
        <v>103</v>
      </c>
      <c r="D53" t="s">
        <v>104</v>
      </c>
    </row>
    <row r="54" spans="2:4" ht="15.75">
      <c r="B54">
        <v>52</v>
      </c>
      <c r="C54" s="230" t="s">
        <v>105</v>
      </c>
      <c r="D54" t="s">
        <v>106</v>
      </c>
    </row>
    <row r="55" spans="2:4" ht="15.75">
      <c r="B55">
        <v>53</v>
      </c>
      <c r="C55" s="230" t="s">
        <v>107</v>
      </c>
      <c r="D55" t="s">
        <v>108</v>
      </c>
    </row>
    <row r="56" spans="2:4" ht="15.75">
      <c r="B56">
        <v>54</v>
      </c>
      <c r="C56" s="230" t="s">
        <v>109</v>
      </c>
      <c r="D56" t="s">
        <v>110</v>
      </c>
    </row>
    <row r="57" spans="2:4" ht="15.75">
      <c r="B57">
        <v>55</v>
      </c>
      <c r="C57" s="230" t="s">
        <v>111</v>
      </c>
      <c r="D57" t="s">
        <v>112</v>
      </c>
    </row>
    <row r="58" spans="2:4" ht="15.75">
      <c r="B58">
        <v>56</v>
      </c>
      <c r="C58" s="230" t="s">
        <v>113</v>
      </c>
      <c r="D58" t="s">
        <v>114</v>
      </c>
    </row>
    <row r="59" spans="2:4" ht="15.75">
      <c r="B59">
        <v>57</v>
      </c>
      <c r="C59" s="230" t="s">
        <v>115</v>
      </c>
      <c r="D59" t="s">
        <v>116</v>
      </c>
    </row>
    <row r="60" spans="2:4" ht="15.75">
      <c r="B60">
        <v>58</v>
      </c>
      <c r="C60" s="230" t="s">
        <v>117</v>
      </c>
      <c r="D60" t="s">
        <v>118</v>
      </c>
    </row>
    <row r="61" spans="2:4" ht="15.75">
      <c r="B61">
        <v>59</v>
      </c>
      <c r="C61" s="230" t="s">
        <v>119</v>
      </c>
      <c r="D61" t="s">
        <v>120</v>
      </c>
    </row>
    <row r="62" spans="2:4" ht="15.75">
      <c r="B62">
        <v>60</v>
      </c>
      <c r="C62" s="230" t="s">
        <v>121</v>
      </c>
      <c r="D62" t="s">
        <v>122</v>
      </c>
    </row>
    <row r="63" spans="2:4" ht="15.75">
      <c r="B63">
        <v>61</v>
      </c>
      <c r="C63" s="230" t="s">
        <v>123</v>
      </c>
      <c r="D63" t="s">
        <v>124</v>
      </c>
    </row>
    <row r="64" spans="2:4" ht="15.75">
      <c r="B64">
        <v>62</v>
      </c>
      <c r="C64" s="230" t="s">
        <v>125</v>
      </c>
      <c r="D64" t="s">
        <v>126</v>
      </c>
    </row>
    <row r="65" spans="2:4" ht="15.75">
      <c r="B65">
        <v>63</v>
      </c>
      <c r="C65" s="230" t="s">
        <v>127</v>
      </c>
      <c r="D65" t="s">
        <v>128</v>
      </c>
    </row>
    <row r="66" spans="2:4" ht="15.75">
      <c r="B66">
        <v>64</v>
      </c>
      <c r="C66" s="230" t="s">
        <v>129</v>
      </c>
      <c r="D66" t="s">
        <v>130</v>
      </c>
    </row>
    <row r="67" spans="2:4" ht="15.75">
      <c r="B67">
        <v>65</v>
      </c>
      <c r="C67" s="230" t="s">
        <v>131</v>
      </c>
      <c r="D67" t="s">
        <v>132</v>
      </c>
    </row>
    <row r="68" spans="2:4" ht="15.75">
      <c r="B68">
        <v>66</v>
      </c>
      <c r="C68" s="230" t="s">
        <v>133</v>
      </c>
      <c r="D68" s="59" t="s">
        <v>134</v>
      </c>
    </row>
    <row r="69" spans="2:4" ht="15.75">
      <c r="B69">
        <v>67</v>
      </c>
      <c r="C69" s="230" t="s">
        <v>135</v>
      </c>
      <c r="D69" s="59" t="s">
        <v>136</v>
      </c>
    </row>
    <row r="70" spans="2:4" ht="15.75">
      <c r="B70">
        <v>68</v>
      </c>
      <c r="C70" s="230" t="s">
        <v>523</v>
      </c>
      <c r="D70" s="59" t="s">
        <v>524</v>
      </c>
    </row>
    <row r="71" spans="2:4" ht="15.75">
      <c r="B71">
        <v>69</v>
      </c>
      <c r="C71" s="230" t="s">
        <v>137</v>
      </c>
      <c r="D71" s="59" t="s">
        <v>138</v>
      </c>
    </row>
    <row r="72" spans="2:4" ht="15.75">
      <c r="B72">
        <v>70</v>
      </c>
      <c r="C72" s="230" t="s">
        <v>139</v>
      </c>
      <c r="D72" s="59" t="s">
        <v>140</v>
      </c>
    </row>
    <row r="73" spans="2:4" ht="15.75">
      <c r="B73">
        <v>71</v>
      </c>
      <c r="C73" s="230" t="s">
        <v>141</v>
      </c>
      <c r="D73" s="231" t="s">
        <v>142</v>
      </c>
    </row>
    <row r="74" spans="2:4" ht="15.75">
      <c r="B74">
        <v>72</v>
      </c>
      <c r="C74" s="230" t="s">
        <v>143</v>
      </c>
      <c r="D74" s="231"/>
    </row>
    <row r="75" spans="2:4" ht="15.75">
      <c r="B75">
        <v>73</v>
      </c>
      <c r="C75" s="230" t="s">
        <v>144</v>
      </c>
      <c r="D75" s="160" t="s">
        <v>145</v>
      </c>
    </row>
    <row r="76" spans="2:4" ht="15.75">
      <c r="B76">
        <v>74</v>
      </c>
      <c r="C76" s="230" t="s">
        <v>146</v>
      </c>
      <c r="D76" s="160" t="s">
        <v>147</v>
      </c>
    </row>
    <row r="77" spans="2:4" ht="15.75">
      <c r="B77">
        <v>75</v>
      </c>
      <c r="C77" s="230" t="s">
        <v>148</v>
      </c>
      <c r="D77" s="160" t="s">
        <v>149</v>
      </c>
    </row>
    <row r="78" spans="2:4" ht="15.75">
      <c r="B78">
        <v>76</v>
      </c>
      <c r="C78" s="230" t="s">
        <v>150</v>
      </c>
      <c r="D78" s="160" t="s">
        <v>151</v>
      </c>
    </row>
    <row r="79" spans="2:4" ht="15.75">
      <c r="B79">
        <v>77</v>
      </c>
      <c r="C79" s="230" t="s">
        <v>152</v>
      </c>
      <c r="D79" s="160" t="s">
        <v>153</v>
      </c>
    </row>
    <row r="80" spans="2:4" ht="15.75">
      <c r="B80">
        <v>78</v>
      </c>
      <c r="C80" s="230" t="s">
        <v>154</v>
      </c>
      <c r="D80" s="160" t="s">
        <v>155</v>
      </c>
    </row>
    <row r="81" spans="2:4" ht="15.75">
      <c r="B81">
        <v>79</v>
      </c>
      <c r="C81" s="230" t="s">
        <v>156</v>
      </c>
      <c r="D81" s="160" t="s">
        <v>157</v>
      </c>
    </row>
    <row r="82" spans="2:4" ht="15.75">
      <c r="B82">
        <v>80</v>
      </c>
      <c r="C82" s="230" t="s">
        <v>158</v>
      </c>
      <c r="D82" s="160" t="s">
        <v>158</v>
      </c>
    </row>
    <row r="83" spans="2:4" ht="15.75">
      <c r="B83">
        <v>81</v>
      </c>
      <c r="C83" s="230" t="s">
        <v>159</v>
      </c>
      <c r="D83" s="160" t="s">
        <v>160</v>
      </c>
    </row>
    <row r="84" spans="2:4" ht="15">
      <c r="B84">
        <v>82</v>
      </c>
      <c r="C84" t="s">
        <v>161</v>
      </c>
      <c r="D84" t="s">
        <v>162</v>
      </c>
    </row>
    <row r="85" spans="2:4" ht="15">
      <c r="B85">
        <v>83</v>
      </c>
      <c r="C85" t="s">
        <v>163</v>
      </c>
      <c r="D85" t="s">
        <v>164</v>
      </c>
    </row>
    <row r="86" spans="2:4" ht="15.75">
      <c r="B86">
        <v>84</v>
      </c>
      <c r="C86" s="230" t="s">
        <v>165</v>
      </c>
      <c r="D86" t="s">
        <v>166</v>
      </c>
    </row>
    <row r="87" spans="2:4" ht="15">
      <c r="B87">
        <v>85</v>
      </c>
      <c r="C87" t="s">
        <v>167</v>
      </c>
      <c r="D87" t="s">
        <v>168</v>
      </c>
    </row>
    <row r="88" spans="2:4" ht="15">
      <c r="B88">
        <v>86</v>
      </c>
      <c r="C88" t="s">
        <v>169</v>
      </c>
      <c r="D88" t="s">
        <v>170</v>
      </c>
    </row>
    <row r="89" spans="2:4" ht="15">
      <c r="B89">
        <v>87</v>
      </c>
      <c r="C89" t="s">
        <v>411</v>
      </c>
      <c r="D89" t="s">
        <v>412</v>
      </c>
    </row>
    <row r="90" spans="2:4" ht="15">
      <c r="B90">
        <v>88</v>
      </c>
      <c r="C90" t="s">
        <v>57</v>
      </c>
      <c r="D90" t="s">
        <v>58</v>
      </c>
    </row>
    <row r="91" spans="2:4" ht="15">
      <c r="B91">
        <v>89</v>
      </c>
      <c r="C91" s="232" t="s">
        <v>171</v>
      </c>
      <c r="D91" t="s">
        <v>172</v>
      </c>
    </row>
    <row r="92" spans="2:4" ht="15">
      <c r="B92">
        <v>90</v>
      </c>
      <c r="C92" t="s">
        <v>173</v>
      </c>
      <c r="D92" t="s">
        <v>173</v>
      </c>
    </row>
    <row r="93" spans="2:4" ht="15">
      <c r="B93">
        <v>91</v>
      </c>
      <c r="C93" t="s">
        <v>174</v>
      </c>
      <c r="D93" t="s">
        <v>175</v>
      </c>
    </row>
    <row r="94" spans="2:4" ht="15">
      <c r="B94">
        <v>92</v>
      </c>
      <c r="C94" t="s">
        <v>1</v>
      </c>
      <c r="D94" t="s">
        <v>176</v>
      </c>
    </row>
    <row r="95" spans="2:4" ht="15">
      <c r="B95">
        <v>93</v>
      </c>
      <c r="C95" t="s">
        <v>2</v>
      </c>
      <c r="D95" t="s">
        <v>177</v>
      </c>
    </row>
    <row r="96" spans="2:4" ht="15">
      <c r="B96">
        <v>94</v>
      </c>
      <c r="C96" t="s">
        <v>3</v>
      </c>
      <c r="D96" t="s">
        <v>178</v>
      </c>
    </row>
    <row r="97" spans="2:4" ht="15">
      <c r="B97">
        <v>95</v>
      </c>
      <c r="C97" t="s">
        <v>4</v>
      </c>
      <c r="D97" t="s">
        <v>179</v>
      </c>
    </row>
    <row r="98" spans="2:4" ht="15">
      <c r="B98">
        <v>96</v>
      </c>
      <c r="C98" s="233" t="s">
        <v>180</v>
      </c>
      <c r="D98" s="233" t="s">
        <v>181</v>
      </c>
    </row>
    <row r="99" spans="2:4" ht="15">
      <c r="B99">
        <v>97</v>
      </c>
      <c r="C99" s="233" t="s">
        <v>182</v>
      </c>
      <c r="D99" s="233" t="s">
        <v>183</v>
      </c>
    </row>
    <row r="100" spans="2:4" ht="15">
      <c r="B100">
        <v>98</v>
      </c>
      <c r="C100" s="233" t="s">
        <v>184</v>
      </c>
      <c r="D100" s="233" t="s">
        <v>185</v>
      </c>
    </row>
    <row r="101" spans="2:4" ht="15">
      <c r="B101">
        <v>99</v>
      </c>
      <c r="C101" s="233" t="s">
        <v>186</v>
      </c>
      <c r="D101" t="s">
        <v>187</v>
      </c>
    </row>
    <row r="102" spans="2:4" ht="15">
      <c r="B102">
        <v>100</v>
      </c>
      <c r="C102" s="233" t="s">
        <v>354</v>
      </c>
      <c r="D102" t="s">
        <v>355</v>
      </c>
    </row>
    <row r="103" spans="2:4" ht="15">
      <c r="B103">
        <v>101</v>
      </c>
      <c r="C103" t="s">
        <v>188</v>
      </c>
      <c r="D103" t="s">
        <v>189</v>
      </c>
    </row>
    <row r="104" spans="2:4" ht="15" customHeight="1">
      <c r="B104">
        <v>102</v>
      </c>
      <c r="C104" t="s">
        <v>190</v>
      </c>
      <c r="D104" t="s">
        <v>191</v>
      </c>
    </row>
    <row r="105" spans="2:4" ht="15">
      <c r="B105">
        <v>103</v>
      </c>
      <c r="C105" t="s">
        <v>192</v>
      </c>
      <c r="D105" t="s">
        <v>193</v>
      </c>
    </row>
    <row r="106" spans="2:4" ht="15">
      <c r="B106">
        <v>104</v>
      </c>
      <c r="C106" t="s">
        <v>194</v>
      </c>
      <c r="D106" t="s">
        <v>195</v>
      </c>
    </row>
    <row r="107" spans="2:4" ht="15">
      <c r="B107">
        <v>105</v>
      </c>
      <c r="C107" s="211" t="s">
        <v>196</v>
      </c>
      <c r="D107" t="s">
        <v>197</v>
      </c>
    </row>
    <row r="108" spans="2:4" ht="15">
      <c r="B108">
        <v>106</v>
      </c>
      <c r="C108" s="211" t="s">
        <v>198</v>
      </c>
      <c r="D108" t="s">
        <v>199</v>
      </c>
    </row>
    <row r="109" spans="2:4" ht="15">
      <c r="B109">
        <v>107</v>
      </c>
      <c r="C109" t="s">
        <v>200</v>
      </c>
      <c r="D109" t="s">
        <v>201</v>
      </c>
    </row>
    <row r="110" spans="2:4" ht="15">
      <c r="B110">
        <v>108</v>
      </c>
      <c r="C110" s="211" t="s">
        <v>202</v>
      </c>
      <c r="D110" t="s">
        <v>203</v>
      </c>
    </row>
    <row r="111" spans="2:4" ht="15">
      <c r="B111">
        <v>109</v>
      </c>
      <c r="C111" s="211" t="s">
        <v>204</v>
      </c>
      <c r="D111" t="s">
        <v>205</v>
      </c>
    </row>
    <row r="112" spans="2:4" ht="15">
      <c r="B112">
        <v>110</v>
      </c>
      <c r="C112" s="211" t="s">
        <v>206</v>
      </c>
      <c r="D112" t="s">
        <v>207</v>
      </c>
    </row>
    <row r="113" spans="2:4" ht="15">
      <c r="B113">
        <v>111</v>
      </c>
      <c r="C113" s="211" t="s">
        <v>10</v>
      </c>
      <c r="D113" t="s">
        <v>208</v>
      </c>
    </row>
    <row r="114" spans="2:4" ht="15">
      <c r="B114">
        <v>112</v>
      </c>
      <c r="C114" s="213" t="s">
        <v>209</v>
      </c>
      <c r="D114" t="s">
        <v>210</v>
      </c>
    </row>
    <row r="115" spans="2:4" ht="15">
      <c r="B115">
        <v>113</v>
      </c>
      <c r="C115" s="213" t="s">
        <v>59</v>
      </c>
      <c r="D115" t="s">
        <v>60</v>
      </c>
    </row>
    <row r="116" spans="2:4" ht="15">
      <c r="B116">
        <v>114</v>
      </c>
      <c r="C116" s="211" t="s">
        <v>211</v>
      </c>
      <c r="D116" t="s">
        <v>212</v>
      </c>
    </row>
    <row r="117" spans="2:4" ht="15">
      <c r="B117">
        <v>115</v>
      </c>
      <c r="C117" s="211" t="s">
        <v>213</v>
      </c>
      <c r="D117" t="s">
        <v>214</v>
      </c>
    </row>
    <row r="118" spans="2:4" ht="15">
      <c r="B118">
        <v>116</v>
      </c>
      <c r="C118" s="211" t="s">
        <v>215</v>
      </c>
      <c r="D118" t="s">
        <v>216</v>
      </c>
    </row>
    <row r="119" spans="2:4" ht="15.75">
      <c r="B119">
        <v>117</v>
      </c>
      <c r="C119" s="230"/>
      <c r="D119" s="59"/>
    </row>
    <row r="120" spans="2:4" ht="15.75">
      <c r="B120">
        <v>118</v>
      </c>
      <c r="C120" s="206" t="s">
        <v>217</v>
      </c>
      <c r="D120" t="s">
        <v>218</v>
      </c>
    </row>
    <row r="121" spans="2:3" ht="15">
      <c r="B121">
        <v>119</v>
      </c>
      <c r="C121" s="223" t="s">
        <v>219</v>
      </c>
    </row>
    <row r="122" spans="2:4" ht="18">
      <c r="B122">
        <v>120</v>
      </c>
      <c r="C122" s="202" t="s">
        <v>61</v>
      </c>
      <c r="D122" t="s">
        <v>62</v>
      </c>
    </row>
    <row r="123" spans="2:4" ht="15">
      <c r="B123">
        <v>121</v>
      </c>
      <c r="C123" t="s">
        <v>220</v>
      </c>
      <c r="D123" t="s">
        <v>221</v>
      </c>
    </row>
    <row r="124" spans="2:4" ht="15">
      <c r="B124">
        <v>122</v>
      </c>
      <c r="C124" t="s">
        <v>222</v>
      </c>
      <c r="D124" t="s">
        <v>221</v>
      </c>
    </row>
    <row r="125" spans="2:4" ht="15">
      <c r="B125">
        <v>123</v>
      </c>
      <c r="C125" t="s">
        <v>223</v>
      </c>
      <c r="D125" t="s">
        <v>224</v>
      </c>
    </row>
    <row r="126" spans="2:4" ht="15">
      <c r="B126">
        <v>124</v>
      </c>
      <c r="C126" t="s">
        <v>225</v>
      </c>
      <c r="D126" t="s">
        <v>226</v>
      </c>
    </row>
    <row r="127" spans="2:4" ht="15">
      <c r="B127">
        <v>125</v>
      </c>
      <c r="C127" t="s">
        <v>227</v>
      </c>
      <c r="D127" t="s">
        <v>228</v>
      </c>
    </row>
    <row r="128" spans="2:4" ht="15">
      <c r="B128">
        <v>126</v>
      </c>
      <c r="C128" t="s">
        <v>229</v>
      </c>
      <c r="D128" t="s">
        <v>229</v>
      </c>
    </row>
    <row r="129" spans="2:4" ht="15">
      <c r="B129">
        <v>127</v>
      </c>
      <c r="C129" t="s">
        <v>230</v>
      </c>
      <c r="D129" t="s">
        <v>230</v>
      </c>
    </row>
    <row r="130" spans="2:4" ht="15">
      <c r="B130">
        <v>128</v>
      </c>
      <c r="C130" t="s">
        <v>231</v>
      </c>
      <c r="D130" t="s">
        <v>231</v>
      </c>
    </row>
    <row r="131" spans="2:4" ht="15">
      <c r="B131">
        <v>129</v>
      </c>
      <c r="C131" t="s">
        <v>232</v>
      </c>
      <c r="D131" t="s">
        <v>232</v>
      </c>
    </row>
    <row r="132" spans="2:4" ht="15">
      <c r="B132">
        <v>130</v>
      </c>
      <c r="C132" t="s">
        <v>233</v>
      </c>
      <c r="D132" t="s">
        <v>233</v>
      </c>
    </row>
    <row r="133" spans="2:4" ht="15">
      <c r="B133">
        <v>131</v>
      </c>
      <c r="C133" s="43" t="s">
        <v>234</v>
      </c>
      <c r="D133" t="s">
        <v>235</v>
      </c>
    </row>
    <row r="134" spans="2:4" ht="15">
      <c r="B134">
        <v>132</v>
      </c>
      <c r="C134" s="43" t="s">
        <v>236</v>
      </c>
      <c r="D134" t="s">
        <v>237</v>
      </c>
    </row>
    <row r="135" spans="2:4" ht="15">
      <c r="B135">
        <v>133</v>
      </c>
      <c r="C135" s="43" t="s">
        <v>238</v>
      </c>
      <c r="D135" t="s">
        <v>239</v>
      </c>
    </row>
    <row r="136" spans="2:4" ht="15">
      <c r="B136">
        <v>134</v>
      </c>
      <c r="C136" s="43" t="s">
        <v>240</v>
      </c>
      <c r="D136" t="s">
        <v>241</v>
      </c>
    </row>
    <row r="137" spans="2:4" ht="15">
      <c r="B137">
        <v>135</v>
      </c>
      <c r="C137" s="43" t="s">
        <v>109</v>
      </c>
      <c r="D137" t="s">
        <v>110</v>
      </c>
    </row>
    <row r="138" spans="2:4" ht="15">
      <c r="B138">
        <v>136</v>
      </c>
      <c r="C138" s="43" t="s">
        <v>242</v>
      </c>
      <c r="D138" t="s">
        <v>243</v>
      </c>
    </row>
    <row r="139" spans="2:4" ht="15">
      <c r="B139">
        <v>137</v>
      </c>
      <c r="C139" s="43" t="s">
        <v>244</v>
      </c>
      <c r="D139" t="s">
        <v>245</v>
      </c>
    </row>
    <row r="140" spans="2:4" ht="15">
      <c r="B140">
        <v>138</v>
      </c>
      <c r="C140" s="43" t="s">
        <v>246</v>
      </c>
      <c r="D140" t="s">
        <v>247</v>
      </c>
    </row>
    <row r="141" spans="2:4" ht="15">
      <c r="B141">
        <v>139</v>
      </c>
      <c r="C141" s="43" t="s">
        <v>248</v>
      </c>
      <c r="D141" t="s">
        <v>249</v>
      </c>
    </row>
    <row r="142" spans="2:4" ht="15">
      <c r="B142">
        <v>140</v>
      </c>
      <c r="C142" s="43" t="s">
        <v>250</v>
      </c>
      <c r="D142" t="s">
        <v>251</v>
      </c>
    </row>
    <row r="143" spans="2:4" ht="15">
      <c r="B143">
        <v>141</v>
      </c>
      <c r="C143" s="43" t="s">
        <v>252</v>
      </c>
      <c r="D143" s="59" t="s">
        <v>253</v>
      </c>
    </row>
    <row r="144" spans="2:4" ht="15">
      <c r="B144">
        <v>142</v>
      </c>
      <c r="C144" s="59" t="s">
        <v>254</v>
      </c>
      <c r="D144" s="59" t="s">
        <v>255</v>
      </c>
    </row>
    <row r="145" spans="2:4" ht="15">
      <c r="B145">
        <v>143</v>
      </c>
      <c r="C145" s="59" t="s">
        <v>256</v>
      </c>
      <c r="D145" t="s">
        <v>257</v>
      </c>
    </row>
    <row r="146" spans="2:4" ht="15">
      <c r="B146">
        <v>144</v>
      </c>
      <c r="C146" s="43" t="s">
        <v>258</v>
      </c>
      <c r="D146" t="s">
        <v>259</v>
      </c>
    </row>
    <row r="147" spans="2:4" ht="15">
      <c r="B147">
        <v>145</v>
      </c>
      <c r="C147" s="43" t="s">
        <v>260</v>
      </c>
      <c r="D147" t="s">
        <v>261</v>
      </c>
    </row>
    <row r="148" spans="2:4" ht="15">
      <c r="B148">
        <v>146</v>
      </c>
      <c r="C148" s="102" t="s">
        <v>262</v>
      </c>
      <c r="D148" t="s">
        <v>263</v>
      </c>
    </row>
    <row r="149" spans="2:4" ht="15">
      <c r="B149">
        <v>147</v>
      </c>
      <c r="C149" s="59" t="s">
        <v>264</v>
      </c>
      <c r="D149" t="s">
        <v>100</v>
      </c>
    </row>
    <row r="150" spans="2:4" ht="15">
      <c r="B150">
        <v>148</v>
      </c>
      <c r="C150" s="59" t="s">
        <v>265</v>
      </c>
      <c r="D150" t="s">
        <v>266</v>
      </c>
    </row>
    <row r="151" spans="2:4" ht="15">
      <c r="B151">
        <v>149</v>
      </c>
      <c r="C151" s="59" t="s">
        <v>267</v>
      </c>
      <c r="D151" t="s">
        <v>268</v>
      </c>
    </row>
    <row r="152" spans="2:4" ht="15">
      <c r="B152">
        <v>150</v>
      </c>
      <c r="C152" s="102" t="s">
        <v>269</v>
      </c>
      <c r="D152" t="s">
        <v>270</v>
      </c>
    </row>
    <row r="153" spans="2:4" ht="15">
      <c r="B153">
        <v>151</v>
      </c>
      <c r="C153" s="47" t="s">
        <v>271</v>
      </c>
      <c r="D153" t="s">
        <v>272</v>
      </c>
    </row>
    <row r="154" spans="2:4" ht="15">
      <c r="B154">
        <v>152</v>
      </c>
      <c r="C154" s="59" t="s">
        <v>273</v>
      </c>
      <c r="D154" t="s">
        <v>274</v>
      </c>
    </row>
    <row r="155" spans="2:4" ht="15">
      <c r="B155">
        <v>153</v>
      </c>
      <c r="C155" s="59" t="s">
        <v>275</v>
      </c>
      <c r="D155" t="s">
        <v>276</v>
      </c>
    </row>
    <row r="156" spans="2:4" ht="15">
      <c r="B156">
        <v>154</v>
      </c>
      <c r="C156" s="59" t="s">
        <v>277</v>
      </c>
      <c r="D156" t="s">
        <v>278</v>
      </c>
    </row>
    <row r="157" spans="2:4" ht="15">
      <c r="B157">
        <v>155</v>
      </c>
      <c r="C157" s="59" t="s">
        <v>279</v>
      </c>
      <c r="D157" t="s">
        <v>280</v>
      </c>
    </row>
    <row r="158" spans="2:4" ht="15">
      <c r="B158">
        <v>156</v>
      </c>
      <c r="C158" s="59" t="s">
        <v>281</v>
      </c>
      <c r="D158" t="s">
        <v>282</v>
      </c>
    </row>
    <row r="159" spans="2:4" ht="15">
      <c r="B159">
        <v>157</v>
      </c>
      <c r="C159" s="59" t="s">
        <v>283</v>
      </c>
      <c r="D159" t="s">
        <v>284</v>
      </c>
    </row>
    <row r="160" spans="2:4" ht="15">
      <c r="B160">
        <v>158</v>
      </c>
      <c r="C160" s="59" t="s">
        <v>285</v>
      </c>
      <c r="D160" t="s">
        <v>286</v>
      </c>
    </row>
    <row r="161" spans="2:4" ht="15">
      <c r="B161">
        <v>159</v>
      </c>
      <c r="C161" s="114" t="s">
        <v>287</v>
      </c>
      <c r="D161" t="s">
        <v>288</v>
      </c>
    </row>
    <row r="162" spans="2:4" ht="15">
      <c r="B162">
        <v>160</v>
      </c>
      <c r="C162" s="114" t="s">
        <v>289</v>
      </c>
      <c r="D162" t="s">
        <v>290</v>
      </c>
    </row>
    <row r="163" spans="2:4" ht="15">
      <c r="B163">
        <v>161</v>
      </c>
      <c r="C163" s="59" t="s">
        <v>53</v>
      </c>
      <c r="D163" t="s">
        <v>54</v>
      </c>
    </row>
    <row r="164" spans="2:4" ht="15">
      <c r="B164">
        <v>162</v>
      </c>
      <c r="C164" s="59" t="s">
        <v>291</v>
      </c>
      <c r="D164" t="s">
        <v>292</v>
      </c>
    </row>
    <row r="165" spans="2:5" ht="15">
      <c r="B165">
        <v>163</v>
      </c>
      <c r="C165" s="59" t="s">
        <v>293</v>
      </c>
      <c r="D165" t="s">
        <v>294</v>
      </c>
      <c r="E165" s="234"/>
    </row>
    <row r="166" spans="2:4" ht="15">
      <c r="B166">
        <v>164</v>
      </c>
      <c r="C166" t="s">
        <v>295</v>
      </c>
      <c r="D166" t="s">
        <v>296</v>
      </c>
    </row>
    <row r="167" spans="2:4" ht="15.75">
      <c r="B167">
        <v>165</v>
      </c>
      <c r="C167" s="235" t="s">
        <v>297</v>
      </c>
      <c r="D167" t="s">
        <v>298</v>
      </c>
    </row>
    <row r="168" spans="2:4" ht="15">
      <c r="B168">
        <v>166</v>
      </c>
      <c r="C168" s="160" t="s">
        <v>291</v>
      </c>
      <c r="D168" t="s">
        <v>292</v>
      </c>
    </row>
    <row r="169" spans="2:4" ht="15">
      <c r="B169">
        <v>167</v>
      </c>
      <c r="C169" t="s">
        <v>1</v>
      </c>
      <c r="D169" t="s">
        <v>176</v>
      </c>
    </row>
    <row r="170" spans="2:4" ht="15">
      <c r="B170">
        <v>168</v>
      </c>
      <c r="C170" t="s">
        <v>2</v>
      </c>
      <c r="D170" t="s">
        <v>177</v>
      </c>
    </row>
    <row r="171" spans="2:4" ht="15">
      <c r="B171">
        <v>169</v>
      </c>
      <c r="C171" t="s">
        <v>3</v>
      </c>
      <c r="D171" t="s">
        <v>178</v>
      </c>
    </row>
    <row r="172" spans="2:4" ht="15">
      <c r="B172">
        <v>170</v>
      </c>
      <c r="C172" t="s">
        <v>4</v>
      </c>
      <c r="D172" t="s">
        <v>179</v>
      </c>
    </row>
    <row r="173" spans="2:4" ht="15">
      <c r="B173">
        <v>171</v>
      </c>
      <c r="C173" t="s">
        <v>299</v>
      </c>
      <c r="D173" t="s">
        <v>300</v>
      </c>
    </row>
    <row r="174" spans="2:4" ht="15">
      <c r="B174">
        <v>172</v>
      </c>
      <c r="C174" t="s">
        <v>165</v>
      </c>
      <c r="D174" t="s">
        <v>166</v>
      </c>
    </row>
    <row r="175" spans="2:4" ht="15">
      <c r="B175">
        <v>173</v>
      </c>
      <c r="C175" t="s">
        <v>415</v>
      </c>
      <c r="D175" s="182" t="s">
        <v>417</v>
      </c>
    </row>
    <row r="176" spans="2:4" ht="15">
      <c r="B176">
        <v>174</v>
      </c>
      <c r="C176" t="s">
        <v>416</v>
      </c>
      <c r="D176" s="182" t="s">
        <v>414</v>
      </c>
    </row>
    <row r="177" spans="2:4" ht="15">
      <c r="B177">
        <v>175</v>
      </c>
      <c r="C177" s="185" t="s">
        <v>26</v>
      </c>
      <c r="D177" t="s">
        <v>27</v>
      </c>
    </row>
    <row r="178" spans="2:4" ht="15">
      <c r="B178">
        <v>176</v>
      </c>
      <c r="C178" s="185" t="s">
        <v>301</v>
      </c>
      <c r="D178" s="41" t="s">
        <v>302</v>
      </c>
    </row>
    <row r="179" spans="2:4" ht="15">
      <c r="B179">
        <v>177</v>
      </c>
      <c r="C179" s="185" t="s">
        <v>303</v>
      </c>
      <c r="D179" t="s">
        <v>304</v>
      </c>
    </row>
    <row r="180" spans="2:4" ht="15">
      <c r="B180">
        <v>178</v>
      </c>
      <c r="C180" s="185" t="s">
        <v>305</v>
      </c>
      <c r="D180" t="s">
        <v>306</v>
      </c>
    </row>
    <row r="181" spans="2:4" ht="15">
      <c r="B181">
        <v>179</v>
      </c>
      <c r="C181" s="185" t="s">
        <v>307</v>
      </c>
      <c r="D181" t="s">
        <v>308</v>
      </c>
    </row>
    <row r="182" spans="2:4" ht="15">
      <c r="B182">
        <v>180</v>
      </c>
      <c r="C182" s="185" t="s">
        <v>309</v>
      </c>
      <c r="D182" t="s">
        <v>310</v>
      </c>
    </row>
    <row r="183" spans="2:4" ht="15">
      <c r="B183">
        <v>181</v>
      </c>
      <c r="C183" s="185" t="s">
        <v>6</v>
      </c>
      <c r="D183" t="s">
        <v>6</v>
      </c>
    </row>
    <row r="184" spans="2:4" ht="15">
      <c r="B184">
        <v>182</v>
      </c>
      <c r="C184" s="185" t="s">
        <v>8</v>
      </c>
      <c r="D184" t="s">
        <v>8</v>
      </c>
    </row>
    <row r="185" spans="2:4" ht="15">
      <c r="B185">
        <v>183</v>
      </c>
      <c r="C185" s="185" t="s">
        <v>9</v>
      </c>
      <c r="D185" t="s">
        <v>37</v>
      </c>
    </row>
    <row r="186" spans="2:4" ht="15">
      <c r="B186">
        <v>184</v>
      </c>
      <c r="C186" t="s">
        <v>311</v>
      </c>
      <c r="D186" t="s">
        <v>312</v>
      </c>
    </row>
    <row r="187" spans="2:4" ht="15">
      <c r="B187">
        <v>185</v>
      </c>
      <c r="C187" t="s">
        <v>313</v>
      </c>
      <c r="D187" t="s">
        <v>314</v>
      </c>
    </row>
    <row r="188" spans="2:4" ht="15">
      <c r="B188">
        <v>186</v>
      </c>
      <c r="C188" t="s">
        <v>315</v>
      </c>
      <c r="D188" t="s">
        <v>316</v>
      </c>
    </row>
    <row r="189" spans="2:4" ht="15">
      <c r="B189">
        <v>187</v>
      </c>
      <c r="C189" t="s">
        <v>317</v>
      </c>
      <c r="D189" t="s">
        <v>268</v>
      </c>
    </row>
    <row r="190" spans="2:3" ht="15">
      <c r="B190">
        <v>188</v>
      </c>
      <c r="C190" s="211" t="s">
        <v>318</v>
      </c>
    </row>
    <row r="191" spans="2:3" ht="15">
      <c r="B191">
        <v>189</v>
      </c>
      <c r="C191" s="211" t="s">
        <v>319</v>
      </c>
    </row>
    <row r="192" spans="2:3" ht="15">
      <c r="B192">
        <v>190</v>
      </c>
      <c r="C192" s="211" t="s">
        <v>320</v>
      </c>
    </row>
    <row r="193" spans="2:4" ht="15">
      <c r="B193">
        <v>191</v>
      </c>
      <c r="C193" s="211" t="s">
        <v>202</v>
      </c>
      <c r="D193" t="s">
        <v>203</v>
      </c>
    </row>
    <row r="194" spans="2:3" ht="15">
      <c r="B194">
        <v>192</v>
      </c>
      <c r="C194" s="211" t="s">
        <v>204</v>
      </c>
    </row>
    <row r="195" spans="2:3" ht="15">
      <c r="B195">
        <v>193</v>
      </c>
      <c r="C195" s="211" t="s">
        <v>10</v>
      </c>
    </row>
    <row r="196" spans="2:3" ht="15">
      <c r="B196">
        <v>194</v>
      </c>
      <c r="C196" s="213" t="s">
        <v>209</v>
      </c>
    </row>
    <row r="197" spans="2:3" ht="15">
      <c r="B197">
        <v>195</v>
      </c>
      <c r="C197" s="211" t="s">
        <v>321</v>
      </c>
    </row>
    <row r="198" spans="2:3" ht="15">
      <c r="B198">
        <v>196</v>
      </c>
      <c r="C198" s="211" t="s">
        <v>322</v>
      </c>
    </row>
    <row r="199" spans="2:3" ht="15">
      <c r="B199">
        <v>197</v>
      </c>
      <c r="C199" s="211" t="s">
        <v>206</v>
      </c>
    </row>
    <row r="200" spans="2:3" ht="15">
      <c r="B200">
        <v>198</v>
      </c>
      <c r="C200" s="211" t="s">
        <v>198</v>
      </c>
    </row>
    <row r="201" spans="2:3" ht="15">
      <c r="B201">
        <v>199</v>
      </c>
      <c r="C201" s="211" t="s">
        <v>323</v>
      </c>
    </row>
    <row r="202" spans="2:3" ht="15">
      <c r="B202">
        <v>200</v>
      </c>
      <c r="C202" s="211" t="s">
        <v>196</v>
      </c>
    </row>
    <row r="203" spans="2:3" ht="15">
      <c r="B203">
        <v>201</v>
      </c>
      <c r="C203" s="211" t="s">
        <v>324</v>
      </c>
    </row>
    <row r="204" spans="2:3" ht="15">
      <c r="B204">
        <v>202</v>
      </c>
      <c r="C204" s="213" t="s">
        <v>325</v>
      </c>
    </row>
    <row r="205" spans="2:4" ht="15">
      <c r="B205">
        <v>203</v>
      </c>
      <c r="C205" s="211" t="s">
        <v>326</v>
      </c>
      <c r="D205" t="s">
        <v>327</v>
      </c>
    </row>
    <row r="206" spans="2:4" ht="15">
      <c r="B206">
        <v>204</v>
      </c>
      <c r="C206" s="211" t="s">
        <v>328</v>
      </c>
      <c r="D206" t="s">
        <v>328</v>
      </c>
    </row>
    <row r="207" spans="2:4" ht="15">
      <c r="B207">
        <v>205</v>
      </c>
      <c r="C207" s="211" t="s">
        <v>329</v>
      </c>
      <c r="D207" s="211" t="s">
        <v>330</v>
      </c>
    </row>
    <row r="208" spans="2:4" ht="15">
      <c r="B208">
        <v>206</v>
      </c>
      <c r="C208" t="s">
        <v>525</v>
      </c>
      <c r="D208" t="s">
        <v>526</v>
      </c>
    </row>
    <row r="209" spans="2:4" ht="15">
      <c r="B209">
        <v>207</v>
      </c>
      <c r="C209" t="s">
        <v>331</v>
      </c>
      <c r="D209" t="s">
        <v>332</v>
      </c>
    </row>
    <row r="210" spans="2:4" ht="15">
      <c r="B210">
        <v>208</v>
      </c>
      <c r="C210" s="211" t="s">
        <v>333</v>
      </c>
      <c r="D210" t="s">
        <v>334</v>
      </c>
    </row>
    <row r="211" spans="2:4" ht="15">
      <c r="B211">
        <v>209</v>
      </c>
      <c r="C211" s="211" t="s">
        <v>196</v>
      </c>
      <c r="D211" t="s">
        <v>197</v>
      </c>
    </row>
    <row r="212" spans="2:4" ht="15">
      <c r="B212">
        <v>210</v>
      </c>
      <c r="C212" s="211" t="s">
        <v>335</v>
      </c>
      <c r="D212" t="s">
        <v>336</v>
      </c>
    </row>
    <row r="213" spans="2:4" ht="15">
      <c r="B213">
        <v>211</v>
      </c>
      <c r="C213" s="211" t="s">
        <v>337</v>
      </c>
      <c r="D213" t="s">
        <v>361</v>
      </c>
    </row>
    <row r="214" spans="2:4" ht="15">
      <c r="B214">
        <v>212</v>
      </c>
      <c r="C214" s="211" t="s">
        <v>338</v>
      </c>
      <c r="D214" t="s">
        <v>339</v>
      </c>
    </row>
    <row r="215" spans="2:4" ht="15">
      <c r="B215">
        <v>213</v>
      </c>
      <c r="C215" s="211" t="s">
        <v>340</v>
      </c>
      <c r="D215" t="s">
        <v>341</v>
      </c>
    </row>
    <row r="216" spans="2:4" ht="15">
      <c r="B216">
        <v>214</v>
      </c>
      <c r="C216" s="211" t="s">
        <v>202</v>
      </c>
      <c r="D216" t="s">
        <v>203</v>
      </c>
    </row>
    <row r="217" spans="2:4" ht="15">
      <c r="B217">
        <v>215</v>
      </c>
      <c r="C217" s="211" t="s">
        <v>10</v>
      </c>
      <c r="D217" t="s">
        <v>342</v>
      </c>
    </row>
    <row r="218" spans="2:4" ht="15">
      <c r="B218">
        <v>216</v>
      </c>
      <c r="C218" s="211" t="s">
        <v>324</v>
      </c>
      <c r="D218" t="s">
        <v>343</v>
      </c>
    </row>
    <row r="219" spans="2:4" ht="15">
      <c r="B219">
        <v>217</v>
      </c>
      <c r="C219" s="211" t="s">
        <v>344</v>
      </c>
      <c r="D219" t="s">
        <v>327</v>
      </c>
    </row>
    <row r="220" spans="2:8" ht="15" customHeight="1">
      <c r="B220">
        <v>218</v>
      </c>
      <c r="C220" s="211" t="s">
        <v>345</v>
      </c>
      <c r="D220" s="211" t="s">
        <v>346</v>
      </c>
      <c r="E220" s="211"/>
      <c r="F220" s="211"/>
      <c r="G220" s="211"/>
      <c r="H220" s="211"/>
    </row>
    <row r="221" spans="2:4" ht="15" customHeight="1">
      <c r="B221">
        <v>219</v>
      </c>
      <c r="C221" t="s">
        <v>393</v>
      </c>
      <c r="D221" t="s">
        <v>347</v>
      </c>
    </row>
    <row r="222" spans="2:4" ht="15">
      <c r="B222">
        <v>220</v>
      </c>
      <c r="C222" t="s">
        <v>348</v>
      </c>
      <c r="D222" t="s">
        <v>349</v>
      </c>
    </row>
    <row r="223" spans="2:4" ht="15">
      <c r="B223">
        <v>221</v>
      </c>
      <c r="C223" t="s">
        <v>350</v>
      </c>
      <c r="D223" t="s">
        <v>351</v>
      </c>
    </row>
    <row r="224" spans="2:4" ht="15">
      <c r="B224">
        <v>222</v>
      </c>
      <c r="C224" t="s">
        <v>358</v>
      </c>
      <c r="D224" t="s">
        <v>358</v>
      </c>
    </row>
    <row r="225" spans="2:4" ht="15">
      <c r="B225">
        <v>223</v>
      </c>
      <c r="C225" t="s">
        <v>356</v>
      </c>
      <c r="D225" t="s">
        <v>357</v>
      </c>
    </row>
    <row r="226" spans="2:4" ht="15">
      <c r="B226">
        <v>224</v>
      </c>
      <c r="C226" t="s">
        <v>359</v>
      </c>
      <c r="D226" t="s">
        <v>360</v>
      </c>
    </row>
    <row r="227" spans="2:4" ht="15">
      <c r="B227">
        <v>225</v>
      </c>
      <c r="C227" t="s">
        <v>352</v>
      </c>
      <c r="D227" t="s">
        <v>353</v>
      </c>
    </row>
    <row r="228" spans="2:4" ht="15">
      <c r="B228">
        <v>226</v>
      </c>
      <c r="C228" t="s">
        <v>362</v>
      </c>
      <c r="D228" t="s">
        <v>363</v>
      </c>
    </row>
    <row r="229" spans="2:4" ht="15">
      <c r="B229">
        <v>227</v>
      </c>
      <c r="C229" s="233" t="s">
        <v>354</v>
      </c>
      <c r="D229" t="s">
        <v>355</v>
      </c>
    </row>
    <row r="230" spans="2:4" ht="15">
      <c r="B230">
        <v>228</v>
      </c>
      <c r="C230" t="s">
        <v>392</v>
      </c>
      <c r="D230" t="s">
        <v>364</v>
      </c>
    </row>
    <row r="231" spans="2:4" ht="15">
      <c r="B231">
        <v>229</v>
      </c>
      <c r="C231" t="s">
        <v>365</v>
      </c>
      <c r="D231" t="s">
        <v>366</v>
      </c>
    </row>
    <row r="232" spans="2:4" ht="15">
      <c r="B232">
        <v>230</v>
      </c>
      <c r="C232" s="213" t="s">
        <v>15</v>
      </c>
      <c r="D232" t="s">
        <v>16</v>
      </c>
    </row>
    <row r="233" spans="2:4" ht="15">
      <c r="B233">
        <v>231</v>
      </c>
      <c r="C233" s="211" t="s">
        <v>367</v>
      </c>
      <c r="D233" t="s">
        <v>368</v>
      </c>
    </row>
    <row r="234" spans="2:4" ht="15">
      <c r="B234">
        <v>232</v>
      </c>
      <c r="C234" s="211" t="s">
        <v>24</v>
      </c>
      <c r="D234" t="s">
        <v>25</v>
      </c>
    </row>
    <row r="235" spans="2:4" ht="15">
      <c r="B235">
        <v>233</v>
      </c>
      <c r="C235" s="211" t="s">
        <v>369</v>
      </c>
      <c r="D235" t="s">
        <v>370</v>
      </c>
    </row>
    <row r="236" spans="2:4" ht="15">
      <c r="B236">
        <v>234</v>
      </c>
      <c r="C236" s="211" t="s">
        <v>371</v>
      </c>
      <c r="D236" t="s">
        <v>372</v>
      </c>
    </row>
    <row r="237" spans="2:4" ht="15">
      <c r="B237">
        <v>235</v>
      </c>
      <c r="C237" s="211" t="s">
        <v>30</v>
      </c>
      <c r="D237" t="s">
        <v>30</v>
      </c>
    </row>
    <row r="238" spans="2:4" ht="15">
      <c r="B238">
        <v>236</v>
      </c>
      <c r="C238" s="211" t="s">
        <v>373</v>
      </c>
      <c r="D238" t="s">
        <v>374</v>
      </c>
    </row>
    <row r="239" spans="2:4" ht="15">
      <c r="B239">
        <v>237</v>
      </c>
      <c r="C239" s="211" t="s">
        <v>32</v>
      </c>
      <c r="D239" t="s">
        <v>32</v>
      </c>
    </row>
    <row r="240" spans="2:4" ht="15">
      <c r="B240">
        <v>238</v>
      </c>
      <c r="C240" s="211" t="s">
        <v>375</v>
      </c>
      <c r="D240" t="s">
        <v>36</v>
      </c>
    </row>
    <row r="241" spans="2:4" ht="15">
      <c r="B241">
        <v>239</v>
      </c>
      <c r="C241" s="211" t="s">
        <v>376</v>
      </c>
      <c r="D241" t="s">
        <v>377</v>
      </c>
    </row>
    <row r="242" spans="2:4" ht="15">
      <c r="B242">
        <v>240</v>
      </c>
      <c r="C242" s="211" t="s">
        <v>378</v>
      </c>
      <c r="D242" t="s">
        <v>379</v>
      </c>
    </row>
    <row r="243" spans="2:4" ht="15">
      <c r="B243">
        <v>241</v>
      </c>
      <c r="C243" s="211" t="s">
        <v>380</v>
      </c>
      <c r="D243" t="s">
        <v>381</v>
      </c>
    </row>
    <row r="244" spans="2:4" ht="15">
      <c r="B244">
        <v>242</v>
      </c>
      <c r="C244" s="211" t="s">
        <v>382</v>
      </c>
      <c r="D244" t="s">
        <v>383</v>
      </c>
    </row>
    <row r="245" spans="2:4" ht="15">
      <c r="B245">
        <v>243</v>
      </c>
      <c r="C245" t="s">
        <v>384</v>
      </c>
      <c r="D245" t="s">
        <v>385</v>
      </c>
    </row>
    <row r="246" spans="2:4" ht="15">
      <c r="B246">
        <v>244</v>
      </c>
      <c r="C246" t="s">
        <v>386</v>
      </c>
      <c r="D246" t="s">
        <v>387</v>
      </c>
    </row>
    <row r="247" spans="2:4" ht="15.75">
      <c r="B247">
        <v>245</v>
      </c>
      <c r="C247" s="230" t="s">
        <v>388</v>
      </c>
      <c r="D247" s="230" t="s">
        <v>389</v>
      </c>
    </row>
    <row r="248" spans="2:4" ht="15">
      <c r="B248">
        <v>246</v>
      </c>
      <c r="C248" s="211" t="s">
        <v>390</v>
      </c>
      <c r="D248" t="s">
        <v>390</v>
      </c>
    </row>
    <row r="249" spans="2:4" ht="15">
      <c r="B249">
        <v>247</v>
      </c>
      <c r="C249" t="s">
        <v>394</v>
      </c>
      <c r="D249" t="s">
        <v>395</v>
      </c>
    </row>
    <row r="250" spans="2:4" ht="15">
      <c r="B250">
        <v>248</v>
      </c>
      <c r="C250" t="s">
        <v>396</v>
      </c>
      <c r="D250" t="s">
        <v>397</v>
      </c>
    </row>
    <row r="251" spans="2:4" ht="15">
      <c r="B251">
        <v>249</v>
      </c>
      <c r="C251" t="s">
        <v>398</v>
      </c>
      <c r="D251" t="s">
        <v>399</v>
      </c>
    </row>
    <row r="252" spans="2:4" ht="15">
      <c r="B252">
        <v>250</v>
      </c>
      <c r="C252" t="s">
        <v>400</v>
      </c>
      <c r="D252" t="s">
        <v>401</v>
      </c>
    </row>
    <row r="253" spans="2:4" ht="15">
      <c r="B253">
        <v>251</v>
      </c>
      <c r="C253" t="s">
        <v>402</v>
      </c>
      <c r="D253" t="s">
        <v>403</v>
      </c>
    </row>
    <row r="254" spans="2:4" ht="15">
      <c r="B254">
        <v>252</v>
      </c>
      <c r="C254" t="s">
        <v>404</v>
      </c>
      <c r="D254" t="s">
        <v>405</v>
      </c>
    </row>
    <row r="255" spans="2:4" ht="15">
      <c r="B255">
        <v>253</v>
      </c>
      <c r="C255" t="s">
        <v>406</v>
      </c>
      <c r="D255" t="s">
        <v>407</v>
      </c>
    </row>
    <row r="256" spans="2:4" ht="15">
      <c r="B256">
        <v>254</v>
      </c>
      <c r="C256" t="s">
        <v>408</v>
      </c>
      <c r="D256" t="s">
        <v>409</v>
      </c>
    </row>
    <row r="257" spans="2:4" ht="15">
      <c r="B257">
        <v>255</v>
      </c>
      <c r="C257" t="s">
        <v>422</v>
      </c>
      <c r="D257" t="s">
        <v>410</v>
      </c>
    </row>
    <row r="258" spans="2:4" ht="15">
      <c r="B258">
        <v>256</v>
      </c>
      <c r="C258" t="s">
        <v>548</v>
      </c>
      <c r="D258" t="s">
        <v>549</v>
      </c>
    </row>
    <row r="259" spans="2:4" ht="15">
      <c r="B259">
        <v>257</v>
      </c>
      <c r="C259" t="s">
        <v>421</v>
      </c>
      <c r="D259" t="s">
        <v>423</v>
      </c>
    </row>
    <row r="260" spans="2:4" ht="15">
      <c r="B260">
        <v>258</v>
      </c>
      <c r="C260" t="s">
        <v>418</v>
      </c>
      <c r="D260" t="s">
        <v>419</v>
      </c>
    </row>
    <row r="261" spans="2:4" ht="15">
      <c r="B261">
        <v>259</v>
      </c>
      <c r="C261" t="s">
        <v>424</v>
      </c>
      <c r="D261" t="s">
        <v>425</v>
      </c>
    </row>
    <row r="262" spans="2:4" ht="15">
      <c r="B262">
        <v>260</v>
      </c>
      <c r="C262" t="s">
        <v>426</v>
      </c>
      <c r="D262" t="s">
        <v>427</v>
      </c>
    </row>
    <row r="263" spans="2:4" ht="15">
      <c r="B263">
        <v>261</v>
      </c>
      <c r="C263" t="s">
        <v>428</v>
      </c>
      <c r="D263" t="s">
        <v>429</v>
      </c>
    </row>
    <row r="264" spans="2:4" ht="15">
      <c r="B264">
        <v>262</v>
      </c>
      <c r="C264" t="s">
        <v>430</v>
      </c>
      <c r="D264" t="s">
        <v>431</v>
      </c>
    </row>
    <row r="265" spans="2:4" ht="15">
      <c r="B265">
        <v>263</v>
      </c>
      <c r="C265" t="s">
        <v>432</v>
      </c>
      <c r="D265" t="s">
        <v>433</v>
      </c>
    </row>
    <row r="266" spans="2:4" ht="15">
      <c r="B266">
        <v>264</v>
      </c>
      <c r="C266" t="s">
        <v>445</v>
      </c>
      <c r="D266" t="s">
        <v>446</v>
      </c>
    </row>
    <row r="267" spans="2:4" ht="15" customHeight="1">
      <c r="B267">
        <v>265</v>
      </c>
      <c r="C267" t="s">
        <v>434</v>
      </c>
      <c r="D267" t="s">
        <v>435</v>
      </c>
    </row>
    <row r="268" spans="2:4" ht="15">
      <c r="B268">
        <v>266</v>
      </c>
      <c r="C268" t="s">
        <v>444</v>
      </c>
      <c r="D268" t="s">
        <v>443</v>
      </c>
    </row>
    <row r="269" spans="2:4" ht="15">
      <c r="B269">
        <v>267</v>
      </c>
      <c r="C269" t="s">
        <v>436</v>
      </c>
      <c r="D269" t="s">
        <v>437</v>
      </c>
    </row>
    <row r="270" spans="2:4" ht="15">
      <c r="B270">
        <v>268</v>
      </c>
      <c r="C270" t="s">
        <v>447</v>
      </c>
      <c r="D270" t="s">
        <v>438</v>
      </c>
    </row>
    <row r="271" spans="2:4" ht="15">
      <c r="B271">
        <v>269</v>
      </c>
      <c r="C271" t="s">
        <v>440</v>
      </c>
      <c r="D271" t="s">
        <v>439</v>
      </c>
    </row>
    <row r="272" spans="2:4" ht="15">
      <c r="B272">
        <v>270</v>
      </c>
      <c r="C272" t="s">
        <v>442</v>
      </c>
      <c r="D272" t="s">
        <v>441</v>
      </c>
    </row>
    <row r="273" spans="2:4" ht="15">
      <c r="B273">
        <v>271</v>
      </c>
      <c r="C273" t="s">
        <v>448</v>
      </c>
      <c r="D273" t="s">
        <v>449</v>
      </c>
    </row>
    <row r="274" spans="2:4" ht="15">
      <c r="B274">
        <v>272</v>
      </c>
      <c r="C274" t="s">
        <v>450</v>
      </c>
      <c r="D274" t="s">
        <v>451</v>
      </c>
    </row>
    <row r="275" spans="2:4" ht="15">
      <c r="B275">
        <v>273</v>
      </c>
      <c r="C275" s="276" t="s">
        <v>452</v>
      </c>
      <c r="D275" s="276" t="s">
        <v>453</v>
      </c>
    </row>
    <row r="276" spans="2:4" ht="15.75">
      <c r="B276">
        <v>274</v>
      </c>
      <c r="C276" s="277" t="s">
        <v>550</v>
      </c>
      <c r="D276" t="s">
        <v>454</v>
      </c>
    </row>
    <row r="277" spans="2:4" ht="15">
      <c r="B277">
        <v>275</v>
      </c>
      <c r="C277" s="277" t="s">
        <v>455</v>
      </c>
      <c r="D277" t="s">
        <v>456</v>
      </c>
    </row>
    <row r="278" spans="2:4" ht="15">
      <c r="B278">
        <v>276</v>
      </c>
      <c r="C278" s="277" t="s">
        <v>457</v>
      </c>
      <c r="D278" t="s">
        <v>458</v>
      </c>
    </row>
    <row r="279" spans="2:4" ht="15">
      <c r="B279">
        <v>277</v>
      </c>
      <c r="C279" s="277" t="s">
        <v>459</v>
      </c>
      <c r="D279" t="s">
        <v>460</v>
      </c>
    </row>
    <row r="280" spans="2:4" ht="15">
      <c r="B280">
        <v>278</v>
      </c>
      <c r="C280" s="277" t="s">
        <v>461</v>
      </c>
      <c r="D280" t="s">
        <v>462</v>
      </c>
    </row>
    <row r="281" spans="2:4" ht="15">
      <c r="B281">
        <v>279</v>
      </c>
      <c r="C281" s="277" t="s">
        <v>463</v>
      </c>
      <c r="D281" t="s">
        <v>464</v>
      </c>
    </row>
    <row r="282" spans="2:4" ht="15.75">
      <c r="B282">
        <v>280</v>
      </c>
      <c r="C282" s="230" t="s">
        <v>465</v>
      </c>
      <c r="D282" s="230" t="s">
        <v>465</v>
      </c>
    </row>
    <row r="283" spans="2:4" ht="15">
      <c r="B283">
        <v>281</v>
      </c>
      <c r="C283" s="277" t="s">
        <v>466</v>
      </c>
      <c r="D283" t="s">
        <v>467</v>
      </c>
    </row>
    <row r="284" spans="2:4" ht="15.75">
      <c r="B284">
        <v>282</v>
      </c>
      <c r="C284" s="230" t="s">
        <v>468</v>
      </c>
      <c r="D284" t="s">
        <v>469</v>
      </c>
    </row>
    <row r="285" spans="2:4" ht="15.75">
      <c r="B285">
        <v>283</v>
      </c>
      <c r="C285" s="230" t="s">
        <v>35</v>
      </c>
      <c r="D285" s="230" t="s">
        <v>527</v>
      </c>
    </row>
    <row r="286" spans="2:4" ht="15.75">
      <c r="B286">
        <v>284</v>
      </c>
      <c r="C286" s="230" t="s">
        <v>470</v>
      </c>
      <c r="D286" t="s">
        <v>471</v>
      </c>
    </row>
    <row r="287" spans="2:4" ht="15.75">
      <c r="B287">
        <v>285</v>
      </c>
      <c r="C287" s="230" t="s">
        <v>472</v>
      </c>
      <c r="D287" s="211" t="s">
        <v>473</v>
      </c>
    </row>
    <row r="288" spans="2:4" ht="15.75">
      <c r="B288">
        <v>286</v>
      </c>
      <c r="C288" s="230" t="s">
        <v>474</v>
      </c>
      <c r="D288" s="211" t="s">
        <v>475</v>
      </c>
    </row>
    <row r="289" spans="2:4" ht="15.75">
      <c r="B289">
        <v>287</v>
      </c>
      <c r="C289" s="230" t="s">
        <v>476</v>
      </c>
      <c r="D289" s="213" t="s">
        <v>477</v>
      </c>
    </row>
    <row r="290" spans="2:4" ht="15.75">
      <c r="B290">
        <v>288</v>
      </c>
      <c r="C290" s="230" t="s">
        <v>478</v>
      </c>
      <c r="D290" s="213" t="s">
        <v>479</v>
      </c>
    </row>
    <row r="291" spans="2:4" ht="15.75">
      <c r="B291">
        <v>289</v>
      </c>
      <c r="C291" s="230" t="s">
        <v>480</v>
      </c>
      <c r="D291" s="211" t="s">
        <v>481</v>
      </c>
    </row>
    <row r="292" spans="2:4" ht="15.75">
      <c r="B292">
        <v>290</v>
      </c>
      <c r="C292" s="230" t="s">
        <v>482</v>
      </c>
      <c r="D292" s="211" t="s">
        <v>483</v>
      </c>
    </row>
    <row r="293" spans="2:4" ht="15.75">
      <c r="B293">
        <v>291</v>
      </c>
      <c r="C293" s="230" t="s">
        <v>484</v>
      </c>
      <c r="D293" s="213" t="s">
        <v>485</v>
      </c>
    </row>
    <row r="294" spans="2:4" ht="15.75">
      <c r="B294">
        <v>292</v>
      </c>
      <c r="C294" s="230" t="s">
        <v>486</v>
      </c>
      <c r="D294" s="211" t="s">
        <v>487</v>
      </c>
    </row>
    <row r="295" spans="2:4" ht="15.75">
      <c r="B295">
        <v>293</v>
      </c>
      <c r="C295" s="230" t="s">
        <v>488</v>
      </c>
      <c r="D295" s="211" t="s">
        <v>489</v>
      </c>
    </row>
    <row r="296" spans="2:4" ht="15.75">
      <c r="B296">
        <v>294</v>
      </c>
      <c r="C296" s="230" t="s">
        <v>490</v>
      </c>
      <c r="D296" s="213" t="s">
        <v>491</v>
      </c>
    </row>
    <row r="297" spans="2:4" ht="15.75">
      <c r="B297">
        <v>295</v>
      </c>
      <c r="C297" s="230" t="s">
        <v>492</v>
      </c>
      <c r="D297" s="230" t="s">
        <v>493</v>
      </c>
    </row>
    <row r="298" spans="2:4" ht="15">
      <c r="B298">
        <v>296</v>
      </c>
      <c r="C298" s="211" t="s">
        <v>494</v>
      </c>
      <c r="D298" t="s">
        <v>495</v>
      </c>
    </row>
    <row r="299" spans="2:11" ht="15">
      <c r="B299">
        <v>297</v>
      </c>
      <c r="C299" t="s">
        <v>531</v>
      </c>
      <c r="D299" t="s">
        <v>532</v>
      </c>
      <c r="E299" s="278"/>
      <c r="F299" s="278"/>
      <c r="G299" s="278"/>
      <c r="H299" s="278"/>
      <c r="I299" s="278"/>
      <c r="J299" s="278"/>
      <c r="K299" s="278"/>
    </row>
    <row r="300" spans="2:4" ht="15">
      <c r="B300">
        <v>298</v>
      </c>
      <c r="C300" t="s">
        <v>502</v>
      </c>
      <c r="D300" t="s">
        <v>503</v>
      </c>
    </row>
    <row r="301" spans="2:4" ht="15.75">
      <c r="B301">
        <v>299</v>
      </c>
      <c r="C301" s="230" t="s">
        <v>496</v>
      </c>
      <c r="D301" t="s">
        <v>497</v>
      </c>
    </row>
    <row r="302" spans="2:4" ht="15.75">
      <c r="B302">
        <v>300</v>
      </c>
      <c r="C302" s="230" t="s">
        <v>498</v>
      </c>
      <c r="D302" s="230" t="s">
        <v>499</v>
      </c>
    </row>
    <row r="303" spans="2:4" ht="15">
      <c r="B303">
        <v>301</v>
      </c>
      <c r="C303" t="s">
        <v>500</v>
      </c>
      <c r="D303" t="s">
        <v>501</v>
      </c>
    </row>
    <row r="304" spans="2:4" ht="15">
      <c r="B304">
        <v>302</v>
      </c>
      <c r="C304" t="s">
        <v>504</v>
      </c>
      <c r="D304" t="s">
        <v>505</v>
      </c>
    </row>
    <row r="305" spans="2:4" ht="15.75">
      <c r="B305">
        <v>303</v>
      </c>
      <c r="C305" s="282" t="s">
        <v>506</v>
      </c>
      <c r="D305" s="282" t="s">
        <v>507</v>
      </c>
    </row>
    <row r="306" spans="2:4" ht="15.75">
      <c r="B306">
        <v>304</v>
      </c>
      <c r="C306" s="277" t="s">
        <v>551</v>
      </c>
      <c r="D306" t="s">
        <v>508</v>
      </c>
    </row>
    <row r="307" spans="2:4" ht="15">
      <c r="B307">
        <v>305</v>
      </c>
      <c r="C307" t="s">
        <v>509</v>
      </c>
      <c r="D307" t="s">
        <v>510</v>
      </c>
    </row>
    <row r="308" spans="2:4" ht="15">
      <c r="B308">
        <v>306</v>
      </c>
      <c r="C308" t="s">
        <v>511</v>
      </c>
      <c r="D308" t="s">
        <v>512</v>
      </c>
    </row>
    <row r="309" spans="2:4" ht="15">
      <c r="B309">
        <v>307</v>
      </c>
      <c r="C309" t="s">
        <v>513</v>
      </c>
      <c r="D309" t="s">
        <v>514</v>
      </c>
    </row>
    <row r="310" spans="2:4" ht="15">
      <c r="B310">
        <v>308</v>
      </c>
      <c r="C310" t="s">
        <v>515</v>
      </c>
      <c r="D310" t="s">
        <v>516</v>
      </c>
    </row>
    <row r="311" spans="2:4" ht="15.75">
      <c r="B311">
        <v>309</v>
      </c>
      <c r="C311" s="277" t="s">
        <v>552</v>
      </c>
      <c r="D311" t="s">
        <v>517</v>
      </c>
    </row>
    <row r="312" spans="2:4" ht="15.75">
      <c r="B312">
        <v>310</v>
      </c>
      <c r="C312" s="277" t="s">
        <v>553</v>
      </c>
      <c r="D312" t="s">
        <v>518</v>
      </c>
    </row>
    <row r="313" spans="2:4" ht="15">
      <c r="B313">
        <v>311</v>
      </c>
      <c r="C313" t="s">
        <v>533</v>
      </c>
      <c r="D313" t="s">
        <v>534</v>
      </c>
    </row>
    <row r="314" spans="2:4" ht="15">
      <c r="B314">
        <v>312</v>
      </c>
      <c r="C314" t="s">
        <v>528</v>
      </c>
      <c r="D314" t="s">
        <v>529</v>
      </c>
    </row>
    <row r="315" spans="2:4" ht="15">
      <c r="B315">
        <v>313</v>
      </c>
      <c r="C315" t="s">
        <v>535</v>
      </c>
      <c r="D315" t="s">
        <v>554</v>
      </c>
    </row>
    <row r="316" spans="2:4" ht="15">
      <c r="B316">
        <v>314</v>
      </c>
      <c r="C316" t="s">
        <v>536</v>
      </c>
      <c r="D316" t="s">
        <v>537</v>
      </c>
    </row>
    <row r="317" spans="2:4" ht="15">
      <c r="B317">
        <v>315</v>
      </c>
      <c r="C317" t="s">
        <v>538</v>
      </c>
      <c r="D317" t="s">
        <v>539</v>
      </c>
    </row>
    <row r="318" spans="2:4" ht="15">
      <c r="B318">
        <v>316</v>
      </c>
      <c r="C318" t="s">
        <v>540</v>
      </c>
      <c r="D318" t="s">
        <v>541</v>
      </c>
    </row>
    <row r="319" spans="2:4" ht="15">
      <c r="B319">
        <v>317</v>
      </c>
      <c r="C319" t="s">
        <v>542</v>
      </c>
      <c r="D319" t="s">
        <v>543</v>
      </c>
    </row>
    <row r="320" spans="2:4" ht="15">
      <c r="B320">
        <v>318</v>
      </c>
      <c r="C320" t="s">
        <v>519</v>
      </c>
      <c r="D320" t="s">
        <v>503</v>
      </c>
    </row>
    <row r="321" spans="2:4" ht="15">
      <c r="B321">
        <v>319</v>
      </c>
      <c r="C321" t="s">
        <v>544</v>
      </c>
      <c r="D321" t="s">
        <v>545</v>
      </c>
    </row>
    <row r="322" spans="2:4" ht="15">
      <c r="B322">
        <v>320</v>
      </c>
      <c r="C322" t="s">
        <v>546</v>
      </c>
      <c r="D322" t="s">
        <v>547</v>
      </c>
    </row>
    <row r="1000" ht="15">
      <c r="A1000" t="s">
        <v>391</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33.449</v>
      </c>
      <c r="C8" s="50">
        <v>36.57300000000001</v>
      </c>
      <c r="D8" s="50">
        <v>34.124</v>
      </c>
      <c r="E8" s="268">
        <v>34.707</v>
      </c>
      <c r="F8" s="50">
        <v>33.682</v>
      </c>
      <c r="G8" s="50">
        <v>33.482</v>
      </c>
      <c r="H8" s="50">
        <v>32.52799999999999</v>
      </c>
      <c r="I8" s="50">
        <v>28.72499999999999</v>
      </c>
    </row>
    <row r="9" spans="1:9" ht="15">
      <c r="A9" s="43" t="str">
        <f>HLOOKUP(INDICE!$F$2,Nombres!$C$3:$D$636,34,FALSE)</f>
        <v>Comisiones netas</v>
      </c>
      <c r="B9" s="44">
        <v>-4.187999999999999</v>
      </c>
      <c r="C9" s="44">
        <v>-4.568000000000001</v>
      </c>
      <c r="D9" s="44">
        <v>-0.8979999999999991</v>
      </c>
      <c r="E9" s="45">
        <v>2.3269999999999964</v>
      </c>
      <c r="F9" s="44">
        <v>5</v>
      </c>
      <c r="G9" s="44">
        <v>3.191</v>
      </c>
      <c r="H9" s="44">
        <v>3.9139999999999993</v>
      </c>
      <c r="I9" s="44">
        <v>26.009999999999998</v>
      </c>
    </row>
    <row r="10" spans="1:9" ht="15">
      <c r="A10" s="43" t="str">
        <f>HLOOKUP(INDICE!$F$2,Nombres!$C$3:$D$636,35,FALSE)</f>
        <v>Resultados de operaciones financieras</v>
      </c>
      <c r="B10" s="44">
        <v>0.04000000000000001</v>
      </c>
      <c r="C10" s="44">
        <v>-0.034</v>
      </c>
      <c r="D10" s="44">
        <v>0.517</v>
      </c>
      <c r="E10" s="45">
        <v>0.44</v>
      </c>
      <c r="F10" s="44">
        <v>1.4220000000000002</v>
      </c>
      <c r="G10" s="44">
        <v>1.581</v>
      </c>
      <c r="H10" s="44">
        <v>1.4719999999999998</v>
      </c>
      <c r="I10" s="44">
        <v>1.2320000000000007</v>
      </c>
    </row>
    <row r="11" spans="1:9" ht="15">
      <c r="A11" s="43" t="str">
        <f>HLOOKUP(INDICE!$F$2,Nombres!$C$3:$D$636,36,FALSE)</f>
        <v>Otros ingresos y cargas de explotación</v>
      </c>
      <c r="B11" s="44">
        <v>-0.5</v>
      </c>
      <c r="C11" s="44">
        <v>0.39100000000000007</v>
      </c>
      <c r="D11" s="44">
        <v>0.182</v>
      </c>
      <c r="E11" s="45">
        <v>-0.081</v>
      </c>
      <c r="F11" s="44">
        <v>-0.11699999999999999</v>
      </c>
      <c r="G11" s="44">
        <v>-0.206</v>
      </c>
      <c r="H11" s="44">
        <v>-0.21999999999999997</v>
      </c>
      <c r="I11" s="44">
        <v>-0.44000000000000006</v>
      </c>
    </row>
    <row r="12" spans="1:9" ht="15">
      <c r="A12" s="41" t="str">
        <f>HLOOKUP(INDICE!$F$2,Nombres!$C$3:$D$636,37,FALSE)</f>
        <v>Margen bruto</v>
      </c>
      <c r="B12" s="50">
        <f aca="true" t="shared" si="0" ref="B12:I12">+SUM(B8:B11)</f>
        <v>28.801</v>
      </c>
      <c r="C12" s="50">
        <f t="shared" si="0"/>
        <v>32.36200000000001</v>
      </c>
      <c r="D12" s="50">
        <f t="shared" si="0"/>
        <v>33.92500000000001</v>
      </c>
      <c r="E12" s="268">
        <f t="shared" si="0"/>
        <v>37.392999999999994</v>
      </c>
      <c r="F12" s="50">
        <f t="shared" si="0"/>
        <v>39.987</v>
      </c>
      <c r="G12" s="50">
        <f t="shared" si="0"/>
        <v>38.048</v>
      </c>
      <c r="H12" s="50">
        <f t="shared" si="0"/>
        <v>37.693999999999996</v>
      </c>
      <c r="I12" s="50">
        <f t="shared" si="0"/>
        <v>55.52699999999999</v>
      </c>
    </row>
    <row r="13" spans="1:9" ht="15">
      <c r="A13" s="43" t="str">
        <f>HLOOKUP(INDICE!$F$2,Nombres!$C$3:$D$636,38,FALSE)</f>
        <v>Gastos de explotación</v>
      </c>
      <c r="B13" s="44">
        <v>-14.449659</v>
      </c>
      <c r="C13" s="44">
        <v>-13.405659000000002</v>
      </c>
      <c r="D13" s="44">
        <v>-8.705659</v>
      </c>
      <c r="E13" s="45">
        <v>-11.887659</v>
      </c>
      <c r="F13" s="44">
        <v>-12.910109000000002</v>
      </c>
      <c r="G13" s="44">
        <v>-13.933108</v>
      </c>
      <c r="H13" s="44">
        <v>-15.075778619999998</v>
      </c>
      <c r="I13" s="44">
        <v>-22.772778609999996</v>
      </c>
    </row>
    <row r="14" spans="1:9" ht="15">
      <c r="A14" s="43" t="str">
        <f>HLOOKUP(INDICE!$F$2,Nombres!$C$3:$D$636,39,FALSE)</f>
        <v>  Gastos de administración</v>
      </c>
      <c r="B14" s="44">
        <v>-13.328659000000002</v>
      </c>
      <c r="C14" s="44">
        <v>-12.290659000000003</v>
      </c>
      <c r="D14" s="44">
        <v>-7.638659</v>
      </c>
      <c r="E14" s="45">
        <v>-10.706659</v>
      </c>
      <c r="F14" s="44">
        <v>-11.585109</v>
      </c>
      <c r="G14" s="44">
        <v>-12.615108</v>
      </c>
      <c r="H14" s="44">
        <v>-13.81577862</v>
      </c>
      <c r="I14" s="44">
        <v>-21.872778609999997</v>
      </c>
    </row>
    <row r="15" spans="1:9" ht="15">
      <c r="A15" s="46" t="str">
        <f>HLOOKUP(INDICE!$F$2,Nombres!$C$3:$D$636,40,FALSE)</f>
        <v>  Gastos de personal</v>
      </c>
      <c r="B15" s="44">
        <v>-5.585</v>
      </c>
      <c r="C15" s="44">
        <v>-5.62</v>
      </c>
      <c r="D15" s="44">
        <v>-5.567</v>
      </c>
      <c r="E15" s="45">
        <v>-5.902999999999999</v>
      </c>
      <c r="F15" s="44">
        <v>-5.876999999999999</v>
      </c>
      <c r="G15" s="44">
        <v>-5.970000000000001</v>
      </c>
      <c r="H15" s="44">
        <v>-6.629999999999999</v>
      </c>
      <c r="I15" s="44">
        <v>-6.361000000000001</v>
      </c>
    </row>
    <row r="16" spans="1:9" ht="15">
      <c r="A16" s="46" t="str">
        <f>HLOOKUP(INDICE!$F$2,Nombres!$C$3:$D$636,41,FALSE)</f>
        <v>  Otros gastos de administración</v>
      </c>
      <c r="B16" s="44">
        <v>-7.743659000000001</v>
      </c>
      <c r="C16" s="44">
        <v>-6.670659000000001</v>
      </c>
      <c r="D16" s="44">
        <v>-2.0716589999999986</v>
      </c>
      <c r="E16" s="45">
        <v>-4.803659</v>
      </c>
      <c r="F16" s="44">
        <v>-5.708109</v>
      </c>
      <c r="G16" s="44">
        <v>-6.645108</v>
      </c>
      <c r="H16" s="44">
        <v>-7.185778619999999</v>
      </c>
      <c r="I16" s="44">
        <v>-15.511778609999999</v>
      </c>
    </row>
    <row r="17" spans="1:9" ht="15">
      <c r="A17" s="43" t="str">
        <f>HLOOKUP(INDICE!$F$2,Nombres!$C$3:$D$636,42,FALSE)</f>
        <v>  Amortización</v>
      </c>
      <c r="B17" s="44">
        <v>-1.121</v>
      </c>
      <c r="C17" s="44">
        <v>-1.115</v>
      </c>
      <c r="D17" s="44">
        <v>-1.0670000000000002</v>
      </c>
      <c r="E17" s="45">
        <v>-1.1809999999999998</v>
      </c>
      <c r="F17" s="44">
        <v>-1.3250000000000002</v>
      </c>
      <c r="G17" s="44">
        <v>-1.318</v>
      </c>
      <c r="H17" s="44">
        <v>-1.2600000000000002</v>
      </c>
      <c r="I17" s="44">
        <v>-0.9000000000000001</v>
      </c>
    </row>
    <row r="18" spans="1:9" ht="15">
      <c r="A18" s="41" t="str">
        <f>HLOOKUP(INDICE!$F$2,Nombres!$C$3:$D$636,43,FALSE)</f>
        <v>Margen neto</v>
      </c>
      <c r="B18" s="50">
        <f aca="true" t="shared" si="1" ref="B18:I18">+B12+B13</f>
        <v>14.351340999999998</v>
      </c>
      <c r="C18" s="50">
        <f t="shared" si="1"/>
        <v>18.95634100000001</v>
      </c>
      <c r="D18" s="50">
        <f t="shared" si="1"/>
        <v>25.21934100000001</v>
      </c>
      <c r="E18" s="268">
        <f t="shared" si="1"/>
        <v>25.505340999999994</v>
      </c>
      <c r="F18" s="50">
        <f t="shared" si="1"/>
        <v>27.076891</v>
      </c>
      <c r="G18" s="50">
        <f t="shared" si="1"/>
        <v>24.114892</v>
      </c>
      <c r="H18" s="50">
        <f t="shared" si="1"/>
        <v>22.618221379999998</v>
      </c>
      <c r="I18" s="50">
        <f t="shared" si="1"/>
        <v>32.75422138999999</v>
      </c>
    </row>
    <row r="19" spans="1:9" ht="15">
      <c r="A19" s="43" t="str">
        <f>HLOOKUP(INDICE!$F$2,Nombres!$C$3:$D$636,44,FALSE)</f>
        <v>Deterioro de activos financieros no valorados a valor razonable con cambios en resultados</v>
      </c>
      <c r="B19" s="44">
        <v>0.5200000000000006</v>
      </c>
      <c r="C19" s="44">
        <v>1.5740000000000003</v>
      </c>
      <c r="D19" s="44">
        <v>-5.572</v>
      </c>
      <c r="E19" s="45">
        <v>-6.531000000000002</v>
      </c>
      <c r="F19" s="44">
        <v>-3.9930000000000003</v>
      </c>
      <c r="G19" s="44">
        <v>-10.717000000000002</v>
      </c>
      <c r="H19" s="44">
        <v>-7.6979999999999995</v>
      </c>
      <c r="I19" s="44">
        <v>-34.122</v>
      </c>
    </row>
    <row r="20" spans="1:9" ht="15">
      <c r="A20" s="43" t="str">
        <f>HLOOKUP(INDICE!$F$2,Nombres!$C$3:$D$636,45,FALSE)</f>
        <v>Provisiones o reversión de provisiones y otros resultados</v>
      </c>
      <c r="B20" s="44">
        <v>0.455</v>
      </c>
      <c r="C20" s="44">
        <v>0.28099999999999997</v>
      </c>
      <c r="D20" s="44">
        <v>0.4830000000000001</v>
      </c>
      <c r="E20" s="45">
        <v>-4.24</v>
      </c>
      <c r="F20" s="44">
        <v>0.132</v>
      </c>
      <c r="G20" s="44">
        <v>0.02599999999999998</v>
      </c>
      <c r="H20" s="44">
        <v>-0.11199999999999999</v>
      </c>
      <c r="I20" s="44">
        <v>-0.653</v>
      </c>
    </row>
    <row r="21" spans="1:9" ht="15">
      <c r="A21" s="41" t="str">
        <f>HLOOKUP(INDICE!$F$2,Nombres!$C$3:$D$636,46,FALSE)</f>
        <v>Resultado antes de impuestos</v>
      </c>
      <c r="B21" s="50">
        <f aca="true" t="shared" si="2" ref="B21:I21">+B18+B19+B20</f>
        <v>15.326341</v>
      </c>
      <c r="C21" s="50">
        <f t="shared" si="2"/>
        <v>20.81134100000001</v>
      </c>
      <c r="D21" s="50">
        <f t="shared" si="2"/>
        <v>20.130341000000012</v>
      </c>
      <c r="E21" s="268">
        <f t="shared" si="2"/>
        <v>14.734340999999992</v>
      </c>
      <c r="F21" s="50">
        <f t="shared" si="2"/>
        <v>23.215891000000003</v>
      </c>
      <c r="G21" s="50">
        <f t="shared" si="2"/>
        <v>13.423891999999999</v>
      </c>
      <c r="H21" s="50">
        <f t="shared" si="2"/>
        <v>14.808221379999997</v>
      </c>
      <c r="I21" s="50">
        <f t="shared" si="2"/>
        <v>-2.020778610000009</v>
      </c>
    </row>
    <row r="22" spans="1:9" ht="15">
      <c r="A22" s="43" t="str">
        <f>HLOOKUP(INDICE!$F$2,Nombres!$C$3:$D$636,47,FALSE)</f>
        <v>Impuesto sobre beneficios</v>
      </c>
      <c r="B22" s="44">
        <v>-3.4912023</v>
      </c>
      <c r="C22" s="44">
        <v>-5.184202299999999</v>
      </c>
      <c r="D22" s="44">
        <v>-4.854202300000001</v>
      </c>
      <c r="E22" s="45">
        <v>-2.076202300000001</v>
      </c>
      <c r="F22" s="44">
        <v>-4.7428673</v>
      </c>
      <c r="G22" s="44">
        <v>-0.041867600000000005</v>
      </c>
      <c r="H22" s="44">
        <v>-1.1706664200000003</v>
      </c>
      <c r="I22" s="44">
        <v>-0.10166640999999998</v>
      </c>
    </row>
    <row r="23" spans="1:9" ht="15">
      <c r="A23" s="41" t="str">
        <f>HLOOKUP(INDICE!$F$2,Nombres!$C$3:$D$636,48,FALSE)</f>
        <v>Resultado del ejercicio</v>
      </c>
      <c r="B23" s="50">
        <f aca="true" t="shared" si="3" ref="B23:I23">+B21+B22</f>
        <v>11.8351387</v>
      </c>
      <c r="C23" s="50">
        <f t="shared" si="3"/>
        <v>15.62713870000001</v>
      </c>
      <c r="D23" s="50">
        <f t="shared" si="3"/>
        <v>15.276138700000011</v>
      </c>
      <c r="E23" s="268">
        <f t="shared" si="3"/>
        <v>12.658138699999991</v>
      </c>
      <c r="F23" s="50">
        <f t="shared" si="3"/>
        <v>18.473023700000002</v>
      </c>
      <c r="G23" s="50">
        <f t="shared" si="3"/>
        <v>13.382024399999999</v>
      </c>
      <c r="H23" s="50">
        <f t="shared" si="3"/>
        <v>13.637554959999997</v>
      </c>
      <c r="I23" s="50">
        <f t="shared" si="3"/>
        <v>-2.122445020000009</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I25">+B23+B24</f>
        <v>11.8351387</v>
      </c>
      <c r="C25" s="51">
        <f t="shared" si="4"/>
        <v>15.62713870000001</v>
      </c>
      <c r="D25" s="51">
        <f t="shared" si="4"/>
        <v>15.276138700000011</v>
      </c>
      <c r="E25" s="79">
        <f t="shared" si="4"/>
        <v>12.658138699999991</v>
      </c>
      <c r="F25" s="51">
        <f t="shared" si="4"/>
        <v>18.473023700000002</v>
      </c>
      <c r="G25" s="51">
        <f t="shared" si="4"/>
        <v>13.382024399999999</v>
      </c>
      <c r="H25" s="51">
        <f t="shared" si="4"/>
        <v>13.637554959999997</v>
      </c>
      <c r="I25" s="51">
        <f t="shared" si="4"/>
        <v>-2.122445020000009</v>
      </c>
    </row>
    <row r="26" spans="1:9" ht="15">
      <c r="A26" s="267"/>
      <c r="B26" s="63">
        <v>0</v>
      </c>
      <c r="C26" s="63">
        <v>0</v>
      </c>
      <c r="D26" s="63">
        <v>0</v>
      </c>
      <c r="E26" s="63">
        <v>0</v>
      </c>
      <c r="F26" s="63">
        <v>0</v>
      </c>
      <c r="G26" s="63">
        <v>0</v>
      </c>
      <c r="H26" s="63">
        <v>0</v>
      </c>
      <c r="I26" s="63">
        <v>-3.9968028886505635E-15</v>
      </c>
    </row>
    <row r="27" spans="1:13" s="274" customFormat="1" ht="15">
      <c r="A27" s="41"/>
      <c r="B27" s="41"/>
      <c r="C27" s="41"/>
      <c r="D27" s="41"/>
      <c r="E27" s="41"/>
      <c r="F27" s="41"/>
      <c r="G27" s="41"/>
      <c r="H27" s="41"/>
      <c r="I27" s="41"/>
      <c r="J27" s="31"/>
      <c r="K27" s="31"/>
      <c r="L27" s="31"/>
      <c r="M27" s="31"/>
    </row>
    <row r="28" spans="1:13" s="274"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20.195</v>
      </c>
      <c r="C31" s="44">
        <v>31.8</v>
      </c>
      <c r="D31" s="44">
        <v>17.276</v>
      </c>
      <c r="E31" s="45">
        <v>30.214</v>
      </c>
      <c r="F31" s="44">
        <v>21.08</v>
      </c>
      <c r="G31" s="44">
        <v>25.774</v>
      </c>
      <c r="H31" s="44">
        <v>37.84</v>
      </c>
      <c r="I31" s="44">
        <v>56.359</v>
      </c>
    </row>
    <row r="32" spans="1:9" ht="15">
      <c r="A32" s="43" t="str">
        <f>HLOOKUP(INDICE!$F$2,Nombres!$C$3:$D$636,53,FALSE)</f>
        <v>Activos financieros a valor razonable</v>
      </c>
      <c r="B32" s="58">
        <v>0</v>
      </c>
      <c r="C32" s="58">
        <v>2.784</v>
      </c>
      <c r="D32" s="58">
        <v>0</v>
      </c>
      <c r="E32" s="64">
        <v>0</v>
      </c>
      <c r="F32" s="44">
        <v>0</v>
      </c>
      <c r="G32" s="44">
        <v>0</v>
      </c>
      <c r="H32" s="44">
        <v>0</v>
      </c>
      <c r="I32" s="44">
        <v>0</v>
      </c>
    </row>
    <row r="33" spans="1:9" ht="15">
      <c r="A33" s="43" t="str">
        <f>HLOOKUP(INDICE!$F$2,Nombres!$C$3:$D$636,54,FALSE)</f>
        <v>Activos financieros a coste amortizado</v>
      </c>
      <c r="B33" s="44">
        <v>1543.154</v>
      </c>
      <c r="C33" s="44">
        <v>1493.4980000000005</v>
      </c>
      <c r="D33" s="44">
        <v>1442.3569999999997</v>
      </c>
      <c r="E33" s="45">
        <v>1459.7740000000001</v>
      </c>
      <c r="F33" s="44">
        <v>1755.8490000000002</v>
      </c>
      <c r="G33" s="44">
        <v>1642.141</v>
      </c>
      <c r="H33" s="44">
        <v>1852.37</v>
      </c>
      <c r="I33" s="44">
        <v>2012.4479999999999</v>
      </c>
    </row>
    <row r="34" spans="1:9" ht="15">
      <c r="A34" s="43" t="str">
        <f>HLOOKUP(INDICE!$F$2,Nombres!$C$3:$D$636,55,FALSE)</f>
        <v>    de los que préstamos y anticipos a la clientela</v>
      </c>
      <c r="B34" s="44">
        <v>1498.221</v>
      </c>
      <c r="C34" s="44">
        <v>1476.1489999999997</v>
      </c>
      <c r="D34" s="44">
        <v>1392.7369999999999</v>
      </c>
      <c r="E34" s="45">
        <v>1400.476</v>
      </c>
      <c r="F34" s="44">
        <v>1639.6470000000002</v>
      </c>
      <c r="G34" s="44">
        <v>1616.2820000000002</v>
      </c>
      <c r="H34" s="44">
        <v>1809.839</v>
      </c>
      <c r="I34" s="44">
        <v>1979.9630000000002</v>
      </c>
    </row>
    <row r="35" spans="1:9" ht="15" customHeight="1" hidden="1">
      <c r="A35" s="43"/>
      <c r="B35" s="44"/>
      <c r="C35" s="44"/>
      <c r="D35" s="44"/>
      <c r="E35" s="45"/>
      <c r="F35" s="44"/>
      <c r="G35" s="44"/>
      <c r="H35" s="44"/>
      <c r="I35" s="44"/>
    </row>
    <row r="36" spans="1:9" ht="15">
      <c r="A36" s="43" t="str">
        <f>HLOOKUP(INDICE!$F$2,Nombres!$C$3:$D$636,56,FALSE)</f>
        <v>Activos tangibles</v>
      </c>
      <c r="B36" s="44">
        <v>9.796000000000001</v>
      </c>
      <c r="C36" s="44">
        <v>9.110999999999999</v>
      </c>
      <c r="D36" s="44">
        <v>8.038</v>
      </c>
      <c r="E36" s="45">
        <v>7.380000000000001</v>
      </c>
      <c r="F36" s="44">
        <v>7.614999999999999</v>
      </c>
      <c r="G36" s="44">
        <v>6.5440000000000005</v>
      </c>
      <c r="H36" s="44">
        <v>6.225</v>
      </c>
      <c r="I36" s="44">
        <v>4.19</v>
      </c>
    </row>
    <row r="37" spans="1:9" ht="15">
      <c r="A37" s="43" t="str">
        <f>HLOOKUP(INDICE!$F$2,Nombres!$C$3:$D$636,57,FALSE)</f>
        <v>Otros activos</v>
      </c>
      <c r="B37" s="58">
        <f>+B38-B36-B33-B32-B31</f>
        <v>191.50399999999985</v>
      </c>
      <c r="C37" s="58">
        <f aca="true" t="shared" si="5" ref="C37:I37">+C38-C36-C33-C32-C31</f>
        <v>184.1130000000001</v>
      </c>
      <c r="D37" s="58">
        <f t="shared" si="5"/>
        <v>182.85500022999992</v>
      </c>
      <c r="E37" s="64">
        <f t="shared" si="5"/>
        <v>207.4530001799996</v>
      </c>
      <c r="F37" s="44">
        <f t="shared" si="5"/>
        <v>233.48189099999962</v>
      </c>
      <c r="G37" s="44">
        <f t="shared" si="5"/>
        <v>274.05478300000016</v>
      </c>
      <c r="H37" s="44">
        <f t="shared" si="5"/>
        <v>308.26200611000024</v>
      </c>
      <c r="I37" s="44">
        <f t="shared" si="5"/>
        <v>308.41722109000006</v>
      </c>
    </row>
    <row r="38" spans="1:9" ht="15">
      <c r="A38" s="47" t="str">
        <f>HLOOKUP(INDICE!$F$2,Nombres!$C$3:$D$636,58,FALSE)</f>
        <v>Total activo / pasivo</v>
      </c>
      <c r="B38" s="47">
        <v>1764.649</v>
      </c>
      <c r="C38" s="47">
        <v>1721.3060000000007</v>
      </c>
      <c r="D38" s="47">
        <v>1650.5260002299997</v>
      </c>
      <c r="E38" s="47">
        <v>1704.8210001799998</v>
      </c>
      <c r="F38" s="51">
        <v>2018.0258909999998</v>
      </c>
      <c r="G38" s="51">
        <v>1948.5137830000003</v>
      </c>
      <c r="H38" s="51">
        <v>2204.69700611</v>
      </c>
      <c r="I38" s="51">
        <v>2381.41422109</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424.039</v>
      </c>
      <c r="C40" s="58">
        <v>422.686</v>
      </c>
      <c r="D40" s="58">
        <v>381.438</v>
      </c>
      <c r="E40" s="64">
        <v>475.307</v>
      </c>
      <c r="F40" s="44">
        <v>648.445</v>
      </c>
      <c r="G40" s="44">
        <v>545.695</v>
      </c>
      <c r="H40" s="44">
        <v>824.321</v>
      </c>
      <c r="I40" s="44">
        <v>1006.534</v>
      </c>
    </row>
    <row r="41" spans="1:9" ht="15">
      <c r="A41" s="43" t="str">
        <f>HLOOKUP(INDICE!$F$2,Nombres!$C$3:$D$636,61,FALSE)</f>
        <v>Depósitos de la clientela</v>
      </c>
      <c r="B41" s="58">
        <v>5.29</v>
      </c>
      <c r="C41" s="58">
        <v>7.186</v>
      </c>
      <c r="D41" s="58">
        <v>6.383</v>
      </c>
      <c r="E41" s="64">
        <v>7.503</v>
      </c>
      <c r="F41" s="44">
        <v>15.479</v>
      </c>
      <c r="G41" s="44">
        <v>10.869</v>
      </c>
      <c r="H41" s="44">
        <v>8.888</v>
      </c>
      <c r="I41" s="44">
        <v>6.672</v>
      </c>
    </row>
    <row r="42" spans="1:9" ht="15">
      <c r="A42" s="43" t="str">
        <f>HLOOKUP(INDICE!$F$2,Nombres!$C$3:$D$636,62,FALSE)</f>
        <v>Valores representativos de deuda emitidos</v>
      </c>
      <c r="B42" s="44">
        <v>865.592976</v>
      </c>
      <c r="C42" s="44">
        <v>856.5218064000001</v>
      </c>
      <c r="D42" s="44">
        <v>822.8859679999999</v>
      </c>
      <c r="E42" s="45">
        <v>769.0054783999999</v>
      </c>
      <c r="F42" s="44">
        <v>815.6228544</v>
      </c>
      <c r="G42" s="44">
        <v>875.4264959999999</v>
      </c>
      <c r="H42" s="44">
        <v>818.595208</v>
      </c>
      <c r="I42" s="44">
        <v>779.6658239999999</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252.8668739999999</v>
      </c>
      <c r="C44" s="58">
        <f aca="true" t="shared" si="6" ref="C44:I44">+C38-C39-C40-C41-C42-C45</f>
        <v>224.40323360000082</v>
      </c>
      <c r="D44" s="58">
        <f t="shared" si="6"/>
        <v>215.44820721999963</v>
      </c>
      <c r="E44" s="64">
        <f t="shared" si="6"/>
        <v>230.03388673999999</v>
      </c>
      <c r="F44" s="44">
        <f t="shared" si="6"/>
        <v>296.1469800799995</v>
      </c>
      <c r="G44" s="44">
        <f t="shared" si="6"/>
        <v>255.59508700000032</v>
      </c>
      <c r="H44" s="44">
        <f t="shared" si="6"/>
        <v>259.0761981100003</v>
      </c>
      <c r="I44" s="44">
        <f t="shared" si="6"/>
        <v>312.5800603999999</v>
      </c>
    </row>
    <row r="45" spans="1:9" ht="15">
      <c r="A45" s="43" t="str">
        <f>HLOOKUP(INDICE!$F$2,Nombres!$C$3:$D$636,282,FALSE)</f>
        <v>Dotación de capital regulatorio</v>
      </c>
      <c r="B45" s="58">
        <v>216.86015</v>
      </c>
      <c r="C45" s="58">
        <v>210.50896</v>
      </c>
      <c r="D45" s="58">
        <v>224.37082500999998</v>
      </c>
      <c r="E45" s="64">
        <v>222.97163504</v>
      </c>
      <c r="F45" s="44">
        <v>242.33205652</v>
      </c>
      <c r="G45" s="44">
        <v>260.9282</v>
      </c>
      <c r="H45" s="44">
        <v>293.8166</v>
      </c>
      <c r="I45" s="44">
        <v>275.96233669</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1560.821</v>
      </c>
      <c r="C51" s="44">
        <v>1532.1939999999997</v>
      </c>
      <c r="D51" s="44">
        <v>1445.6029999999998</v>
      </c>
      <c r="E51" s="45">
        <v>1454.9930000000002</v>
      </c>
      <c r="F51" s="44">
        <v>1700.6260000000002</v>
      </c>
      <c r="G51" s="44">
        <v>1680.019</v>
      </c>
      <c r="H51" s="44">
        <v>1878.508</v>
      </c>
      <c r="I51" s="44">
        <v>2078.6980000000003</v>
      </c>
    </row>
    <row r="52" spans="1:9" ht="15">
      <c r="A52" s="43" t="str">
        <f>HLOOKUP(INDICE!$F$2,Nombres!$C$3:$D$636,67,FALSE)</f>
        <v>Depósitos de clientes en gestión (**)</v>
      </c>
      <c r="B52" s="44">
        <v>5.289999999999999</v>
      </c>
      <c r="C52" s="44">
        <v>7.186</v>
      </c>
      <c r="D52" s="44">
        <v>6.382999999999999</v>
      </c>
      <c r="E52" s="45">
        <v>7.503</v>
      </c>
      <c r="F52" s="44">
        <v>15.479</v>
      </c>
      <c r="G52" s="44">
        <v>10.869</v>
      </c>
      <c r="H52" s="44">
        <v>8.888</v>
      </c>
      <c r="I52" s="44">
        <v>6.672</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31.805005893455704</v>
      </c>
      <c r="C64" s="50">
        <v>34.41531982667881</v>
      </c>
      <c r="D64" s="50">
        <v>33.87323321578137</v>
      </c>
      <c r="E64" s="268">
        <v>35.74611613372244</v>
      </c>
      <c r="F64" s="50">
        <v>33.31677118172693</v>
      </c>
      <c r="G64" s="50">
        <v>32.73312723865886</v>
      </c>
      <c r="H64" s="50">
        <v>33.06415627797459</v>
      </c>
      <c r="I64" s="50">
        <v>29.3029453016396</v>
      </c>
    </row>
    <row r="65" spans="1:9" ht="15">
      <c r="A65" s="43" t="str">
        <f>HLOOKUP(INDICE!$F$2,Nombres!$C$3:$D$636,34,FALSE)</f>
        <v>Comisiones netas</v>
      </c>
      <c r="B65" s="44">
        <v>-3.9821628354148855</v>
      </c>
      <c r="C65" s="44">
        <v>-4.298451428752061</v>
      </c>
      <c r="D65" s="44">
        <v>-0.9977374533001865</v>
      </c>
      <c r="E65" s="45">
        <v>2.110358953643229</v>
      </c>
      <c r="F65" s="44">
        <v>4.945782789283137</v>
      </c>
      <c r="G65" s="44">
        <v>3.109346714042749</v>
      </c>
      <c r="H65" s="44">
        <v>3.979694074530431</v>
      </c>
      <c r="I65" s="44">
        <v>26.080176422143676</v>
      </c>
    </row>
    <row r="66" spans="1:9" ht="15">
      <c r="A66" s="43" t="str">
        <f>HLOOKUP(INDICE!$F$2,Nombres!$C$3:$D$636,35,FALSE)</f>
        <v>Resultados de operaciones financieras</v>
      </c>
      <c r="B66" s="44">
        <v>0.03803402899154618</v>
      </c>
      <c r="C66" s="44">
        <v>-0.0323597844066899</v>
      </c>
      <c r="D66" s="44">
        <v>0.4969752217747159</v>
      </c>
      <c r="E66" s="45">
        <v>0.4394519437076334</v>
      </c>
      <c r="F66" s="44">
        <v>1.4065806252721242</v>
      </c>
      <c r="G66" s="44">
        <v>1.5466062747996192</v>
      </c>
      <c r="H66" s="44">
        <v>1.4958701433736952</v>
      </c>
      <c r="I66" s="44">
        <v>1.2579429565545621</v>
      </c>
    </row>
    <row r="67" spans="1:9" ht="15">
      <c r="A67" s="43" t="str">
        <f>HLOOKUP(INDICE!$F$2,Nombres!$C$3:$D$636,36,FALSE)</f>
        <v>Otros ingresos y cargas de explotación</v>
      </c>
      <c r="B67" s="44">
        <v>-0.47542536239432726</v>
      </c>
      <c r="C67" s="44">
        <v>0.37234325243610467</v>
      </c>
      <c r="D67" s="44">
        <v>0.1732415957024841</v>
      </c>
      <c r="E67" s="45">
        <v>-0.07798587336683437</v>
      </c>
      <c r="F67" s="44">
        <v>-0.11573131726922543</v>
      </c>
      <c r="G67" s="44">
        <v>-0.20191083015773864</v>
      </c>
      <c r="H67" s="44">
        <v>-0.22220991393412493</v>
      </c>
      <c r="I67" s="44">
        <v>-0.4431479386389111</v>
      </c>
    </row>
    <row r="68" spans="1:9" ht="15">
      <c r="A68" s="41" t="str">
        <f>HLOOKUP(INDICE!$F$2,Nombres!$C$3:$D$636,37,FALSE)</f>
        <v>Margen bruto</v>
      </c>
      <c r="B68" s="50">
        <f>+SUM(B64:B67)</f>
        <v>27.38545172463804</v>
      </c>
      <c r="C68" s="50">
        <f>+SUM(C64:C67)</f>
        <v>30.456851865956164</v>
      </c>
      <c r="D68" s="50">
        <f aca="true" t="shared" si="9" ref="D68:I68">+SUM(D64:D67)</f>
        <v>33.54571257995838</v>
      </c>
      <c r="E68" s="268">
        <f t="shared" si="9"/>
        <v>38.21794115770646</v>
      </c>
      <c r="F68" s="50">
        <f t="shared" si="9"/>
        <v>39.55340327901297</v>
      </c>
      <c r="G68" s="50">
        <f t="shared" si="9"/>
        <v>37.187169397343496</v>
      </c>
      <c r="H68" s="50">
        <f t="shared" si="9"/>
        <v>38.31751058194459</v>
      </c>
      <c r="I68" s="50">
        <f t="shared" si="9"/>
        <v>56.19791674169893</v>
      </c>
    </row>
    <row r="69" spans="1:9" ht="15">
      <c r="A69" s="43" t="str">
        <f>HLOOKUP(INDICE!$F$2,Nombres!$C$3:$D$636,38,FALSE)</f>
        <v>Gastos de explotación</v>
      </c>
      <c r="B69" s="44">
        <v>-13.739468733098906</v>
      </c>
      <c r="C69" s="44">
        <v>-12.603512487059415</v>
      </c>
      <c r="D69" s="44">
        <v>-8.795365966523503</v>
      </c>
      <c r="E69" s="45">
        <v>-12.258878453435289</v>
      </c>
      <c r="F69" s="44">
        <v>-12.770118979993867</v>
      </c>
      <c r="G69" s="44">
        <v>-13.627828672414763</v>
      </c>
      <c r="H69" s="44">
        <v>-15.278030608444887</v>
      </c>
      <c r="I69" s="44">
        <v>-23.01579596914648</v>
      </c>
    </row>
    <row r="70" spans="1:9" ht="15">
      <c r="A70" s="43" t="str">
        <f>HLOOKUP(INDICE!$F$2,Nombres!$C$3:$D$636,39,FALSE)</f>
        <v>  Gastos de administración</v>
      </c>
      <c r="B70" s="44">
        <v>-12.673565070610824</v>
      </c>
      <c r="C70" s="44">
        <v>-11.55481433425772</v>
      </c>
      <c r="D70" s="44">
        <v>-7.735491324096899</v>
      </c>
      <c r="E70" s="45">
        <v>-11.046664648699593</v>
      </c>
      <c r="F70" s="44">
        <v>-11.459486540833835</v>
      </c>
      <c r="G70" s="44">
        <v>-12.339302611112053</v>
      </c>
      <c r="H70" s="44">
        <v>-13.996816004870189</v>
      </c>
      <c r="I70" s="44">
        <v>-22.093169073183923</v>
      </c>
    </row>
    <row r="71" spans="1:9" ht="15">
      <c r="A71" s="46" t="str">
        <f>HLOOKUP(INDICE!$F$2,Nombres!$C$3:$D$636,40,FALSE)</f>
        <v>  Gastos de personal</v>
      </c>
      <c r="B71" s="44">
        <v>-5.3105012979446355</v>
      </c>
      <c r="C71" s="44">
        <v>-5.286150464274485</v>
      </c>
      <c r="D71" s="44">
        <v>-5.522730359736416</v>
      </c>
      <c r="E71" s="45">
        <v>-6.063535295774358</v>
      </c>
      <c r="F71" s="44">
        <v>-5.813273090523399</v>
      </c>
      <c r="G71" s="44">
        <v>-5.837211493276114</v>
      </c>
      <c r="H71" s="44">
        <v>-6.719398542846602</v>
      </c>
      <c r="I71" s="44">
        <v>-6.468116873353884</v>
      </c>
    </row>
    <row r="72" spans="1:9" ht="15">
      <c r="A72" s="46" t="str">
        <f>HLOOKUP(INDICE!$F$2,Nombres!$C$3:$D$636,41,FALSE)</f>
        <v>  Otros gastos de administración</v>
      </c>
      <c r="B72" s="44">
        <v>-7.363063772666187</v>
      </c>
      <c r="C72" s="44">
        <v>-6.2686638699832375</v>
      </c>
      <c r="D72" s="44">
        <v>-2.2127609643604833</v>
      </c>
      <c r="E72" s="45">
        <v>-4.9831293529252365</v>
      </c>
      <c r="F72" s="44">
        <v>-5.646213450310436</v>
      </c>
      <c r="G72" s="44">
        <v>-6.5020911178359375</v>
      </c>
      <c r="H72" s="44">
        <v>-7.277417462023588</v>
      </c>
      <c r="I72" s="44">
        <v>-15.625052199830037</v>
      </c>
    </row>
    <row r="73" spans="1:9" ht="15">
      <c r="A73" s="43" t="str">
        <f>HLOOKUP(INDICE!$F$2,Nombres!$C$3:$D$636,42,FALSE)</f>
        <v>  Amortización</v>
      </c>
      <c r="B73" s="44">
        <v>-1.0659036624880818</v>
      </c>
      <c r="C73" s="44">
        <v>-1.0486981528016956</v>
      </c>
      <c r="D73" s="44">
        <v>-1.059874642426603</v>
      </c>
      <c r="E73" s="45">
        <v>-1.212213804735696</v>
      </c>
      <c r="F73" s="44">
        <v>-1.3106324391600315</v>
      </c>
      <c r="G73" s="44">
        <v>-1.2885260613027114</v>
      </c>
      <c r="H73" s="44">
        <v>-1.2812146035746979</v>
      </c>
      <c r="I73" s="44">
        <v>-0.9226268959625593</v>
      </c>
    </row>
    <row r="74" spans="1:9" ht="15">
      <c r="A74" s="41" t="str">
        <f>HLOOKUP(INDICE!$F$2,Nombres!$C$3:$D$636,43,FALSE)</f>
        <v>Margen neto</v>
      </c>
      <c r="B74" s="50">
        <f aca="true" t="shared" si="10" ref="B74:I74">+B68+B69</f>
        <v>13.645982991539132</v>
      </c>
      <c r="C74" s="50">
        <f t="shared" si="10"/>
        <v>17.85333937889675</v>
      </c>
      <c r="D74" s="50">
        <f t="shared" si="10"/>
        <v>24.75034661343488</v>
      </c>
      <c r="E74" s="268">
        <f t="shared" si="10"/>
        <v>25.959062704271176</v>
      </c>
      <c r="F74" s="50">
        <f t="shared" si="10"/>
        <v>26.7832842990191</v>
      </c>
      <c r="G74" s="50">
        <f t="shared" si="10"/>
        <v>23.55934072492873</v>
      </c>
      <c r="H74" s="50">
        <f t="shared" si="10"/>
        <v>23.039479973499702</v>
      </c>
      <c r="I74" s="50">
        <f t="shared" si="10"/>
        <v>33.18212077255245</v>
      </c>
    </row>
    <row r="75" spans="1:9" ht="15">
      <c r="A75" s="43" t="str">
        <f>HLOOKUP(INDICE!$F$2,Nombres!$C$3:$D$636,44,FALSE)</f>
        <v>Deterioro de activos financieros no valorados a valor razonable con cambios en resultados</v>
      </c>
      <c r="B75" s="44">
        <v>0.49444237689010084</v>
      </c>
      <c r="C75" s="44">
        <v>1.4858689832247443</v>
      </c>
      <c r="D75" s="44">
        <v>-5.32297836584829</v>
      </c>
      <c r="E75" s="45">
        <v>-6.449122208558</v>
      </c>
      <c r="F75" s="44">
        <v>-3.9497021355215134</v>
      </c>
      <c r="G75" s="44">
        <v>-10.51629163739069</v>
      </c>
      <c r="H75" s="44">
        <v>-7.812100133126991</v>
      </c>
      <c r="I75" s="44">
        <v>-34.2519060939608</v>
      </c>
    </row>
    <row r="76" spans="1:9" ht="15">
      <c r="A76" s="43" t="str">
        <f>HLOOKUP(INDICE!$F$2,Nombres!$C$3:$D$636,45,FALSE)</f>
        <v>Provisiones o reversión de provisiones y otros resultados</v>
      </c>
      <c r="B76" s="44">
        <v>0.4326370797788378</v>
      </c>
      <c r="C76" s="44">
        <v>0.263403589296867</v>
      </c>
      <c r="D76" s="44">
        <v>0.47552663396888134</v>
      </c>
      <c r="E76" s="45">
        <v>-4.1270069290186555</v>
      </c>
      <c r="F76" s="44">
        <v>0.13056866563707484</v>
      </c>
      <c r="G76" s="44">
        <v>0.024810465302430793</v>
      </c>
      <c r="H76" s="44">
        <v>-0.10964580714096034</v>
      </c>
      <c r="I76" s="44">
        <v>-0.6527333237985452</v>
      </c>
    </row>
    <row r="77" spans="1:9" ht="15">
      <c r="A77" s="41" t="str">
        <f>HLOOKUP(INDICE!$F$2,Nombres!$C$3:$D$636,46,FALSE)</f>
        <v>Resultado antes de impuestos</v>
      </c>
      <c r="B77" s="50">
        <f aca="true" t="shared" si="11" ref="B77:I77">+B74+B75+B76</f>
        <v>14.57306244820807</v>
      </c>
      <c r="C77" s="50">
        <f t="shared" si="11"/>
        <v>19.60261195141836</v>
      </c>
      <c r="D77" s="50">
        <f t="shared" si="11"/>
        <v>19.902894881555472</v>
      </c>
      <c r="E77" s="268">
        <f t="shared" si="11"/>
        <v>15.382933566694518</v>
      </c>
      <c r="F77" s="50">
        <f t="shared" si="11"/>
        <v>22.964150829134663</v>
      </c>
      <c r="G77" s="50">
        <f t="shared" si="11"/>
        <v>13.06785955284047</v>
      </c>
      <c r="H77" s="50">
        <f t="shared" si="11"/>
        <v>15.11773403323175</v>
      </c>
      <c r="I77" s="50">
        <f t="shared" si="11"/>
        <v>-1.722518645206892</v>
      </c>
    </row>
    <row r="78" spans="1:9" ht="15">
      <c r="A78" s="43" t="str">
        <f>HLOOKUP(INDICE!$F$2,Nombres!$C$3:$D$636,47,FALSE)</f>
        <v>Impuesto sobre beneficios</v>
      </c>
      <c r="B78" s="44">
        <v>-3.319612237338818</v>
      </c>
      <c r="C78" s="44">
        <v>-4.884782358159073</v>
      </c>
      <c r="D78" s="44">
        <v>-4.798759684310496</v>
      </c>
      <c r="E78" s="45">
        <v>-2.2639847155807837</v>
      </c>
      <c r="F78" s="44">
        <v>-4.691438292838757</v>
      </c>
      <c r="G78" s="44">
        <v>-0.013928482717714519</v>
      </c>
      <c r="H78" s="44">
        <v>-1.215509244396661</v>
      </c>
      <c r="I78" s="44">
        <v>-0.1361917100468677</v>
      </c>
    </row>
    <row r="79" spans="1:9" ht="15">
      <c r="A79" s="41" t="str">
        <f>HLOOKUP(INDICE!$F$2,Nombres!$C$3:$D$636,48,FALSE)</f>
        <v>Resultado del ejercicio</v>
      </c>
      <c r="B79" s="50">
        <f aca="true" t="shared" si="12" ref="B79:I79">+B77+B78</f>
        <v>11.253450210869252</v>
      </c>
      <c r="C79" s="50">
        <f t="shared" si="12"/>
        <v>14.717829593259289</v>
      </c>
      <c r="D79" s="50">
        <f t="shared" si="12"/>
        <v>15.104135197244975</v>
      </c>
      <c r="E79" s="268">
        <f t="shared" si="12"/>
        <v>13.118948851113736</v>
      </c>
      <c r="F79" s="50">
        <f t="shared" si="12"/>
        <v>18.272712536295906</v>
      </c>
      <c r="G79" s="50">
        <f t="shared" si="12"/>
        <v>13.053931070122756</v>
      </c>
      <c r="H79" s="50">
        <f t="shared" si="12"/>
        <v>13.902224788835088</v>
      </c>
      <c r="I79" s="50">
        <f t="shared" si="12"/>
        <v>-1.8587103552537596</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I81">+B79+B80</f>
        <v>11.253450210869252</v>
      </c>
      <c r="C81" s="51">
        <f t="shared" si="13"/>
        <v>14.717829593259289</v>
      </c>
      <c r="D81" s="51">
        <f t="shared" si="13"/>
        <v>15.104135197244975</v>
      </c>
      <c r="E81" s="79">
        <f t="shared" si="13"/>
        <v>13.118948851113736</v>
      </c>
      <c r="F81" s="51">
        <f t="shared" si="13"/>
        <v>18.272712536295906</v>
      </c>
      <c r="G81" s="51">
        <f t="shared" si="13"/>
        <v>13.053931070122756</v>
      </c>
      <c r="H81" s="51">
        <f t="shared" si="13"/>
        <v>13.902224788835088</v>
      </c>
      <c r="I81" s="51">
        <f t="shared" si="13"/>
        <v>-1.8587103552537596</v>
      </c>
    </row>
    <row r="82" spans="1:9" ht="15">
      <c r="A82" s="267"/>
      <c r="B82" s="63">
        <v>0</v>
      </c>
      <c r="C82" s="63">
        <v>0</v>
      </c>
      <c r="D82" s="63">
        <v>0</v>
      </c>
      <c r="E82" s="63">
        <v>0</v>
      </c>
      <c r="F82" s="63">
        <v>0</v>
      </c>
      <c r="G82" s="63">
        <v>0</v>
      </c>
      <c r="H82" s="63">
        <v>0</v>
      </c>
      <c r="I82" s="63">
        <v>7.105427357601002E-15</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18.909521286656318</v>
      </c>
      <c r="C87" s="44">
        <v>30.310283812529203</v>
      </c>
      <c r="D87" s="44">
        <v>17.534616001388983</v>
      </c>
      <c r="E87" s="45">
        <v>31.53041026047813</v>
      </c>
      <c r="F87" s="44">
        <v>20.092927299589533</v>
      </c>
      <c r="G87" s="44">
        <v>26.865387410589676</v>
      </c>
      <c r="H87" s="44">
        <v>38.86791651327312</v>
      </c>
      <c r="I87" s="44">
        <v>56.359</v>
      </c>
    </row>
    <row r="88" spans="1:9" ht="15">
      <c r="A88" s="43" t="str">
        <f>HLOOKUP(INDICE!$F$2,Nombres!$C$3:$D$636,53,FALSE)</f>
        <v>Activos financieros a valor razonable</v>
      </c>
      <c r="B88" s="58">
        <v>0</v>
      </c>
      <c r="C88" s="58">
        <v>2.6535795639648203</v>
      </c>
      <c r="D88" s="58">
        <v>0</v>
      </c>
      <c r="E88" s="64">
        <v>0</v>
      </c>
      <c r="F88" s="44">
        <v>0</v>
      </c>
      <c r="G88" s="44">
        <v>0</v>
      </c>
      <c r="H88" s="44">
        <v>0</v>
      </c>
      <c r="I88" s="44">
        <v>0</v>
      </c>
    </row>
    <row r="89" spans="1:9" ht="15">
      <c r="A89" s="43" t="str">
        <f>HLOOKUP(INDICE!$F$2,Nombres!$C$3:$D$636,54,FALSE)</f>
        <v>Activos financieros a coste amortizado</v>
      </c>
      <c r="B89" s="44">
        <v>1444.927131051688</v>
      </c>
      <c r="C89" s="44">
        <v>1423.532963944803</v>
      </c>
      <c r="D89" s="44">
        <v>1463.948606848542</v>
      </c>
      <c r="E89" s="45">
        <v>1523.375690328298</v>
      </c>
      <c r="F89" s="44">
        <v>1673.6312289400844</v>
      </c>
      <c r="G89" s="44">
        <v>1711.6766566234635</v>
      </c>
      <c r="H89" s="44">
        <v>1902.6892841356168</v>
      </c>
      <c r="I89" s="44">
        <v>2012.4479999999999</v>
      </c>
    </row>
    <row r="90" spans="1:9" ht="15">
      <c r="A90" s="43" t="str">
        <f>HLOOKUP(INDICE!$F$2,Nombres!$C$3:$D$636,55,FALSE)</f>
        <v>    de los que préstamos y anticipos a la clientela</v>
      </c>
      <c r="B90" s="44">
        <v>1402.8542654922267</v>
      </c>
      <c r="C90" s="44">
        <v>1406.9967025025524</v>
      </c>
      <c r="D90" s="44">
        <v>1413.5858118734948</v>
      </c>
      <c r="E90" s="45">
        <v>1461.4941033942334</v>
      </c>
      <c r="F90" s="44">
        <v>1562.8703969634764</v>
      </c>
      <c r="G90" s="44">
        <v>1684.7226699294913</v>
      </c>
      <c r="H90" s="44">
        <v>1859.0029374858805</v>
      </c>
      <c r="I90" s="44">
        <v>1979.9630000000002</v>
      </c>
    </row>
    <row r="91" spans="1:9" ht="15" customHeight="1" hidden="1">
      <c r="A91" s="43"/>
      <c r="B91" s="44"/>
      <c r="C91" s="44"/>
      <c r="D91" s="44"/>
      <c r="E91" s="45"/>
      <c r="F91" s="44"/>
      <c r="G91" s="44"/>
      <c r="H91" s="44"/>
      <c r="I91" s="44"/>
    </row>
    <row r="92" spans="1:9" ht="15">
      <c r="A92" s="43" t="str">
        <f>HLOOKUP(INDICE!$F$2,Nombres!$C$3:$D$636,56,FALSE)</f>
        <v>Activos tangibles</v>
      </c>
      <c r="B92" s="44">
        <v>9.172452118053245</v>
      </c>
      <c r="C92" s="44">
        <v>8.684182258363318</v>
      </c>
      <c r="D92" s="44">
        <v>8.158326199303348</v>
      </c>
      <c r="E92" s="45">
        <v>7.7015432489021185</v>
      </c>
      <c r="F92" s="44">
        <v>7.258427010738819</v>
      </c>
      <c r="G92" s="44">
        <v>6.821102475940826</v>
      </c>
      <c r="H92" s="44">
        <v>6.394100959173499</v>
      </c>
      <c r="I92" s="44">
        <v>4.19</v>
      </c>
    </row>
    <row r="93" spans="1:9" ht="15">
      <c r="A93" s="43" t="str">
        <f>HLOOKUP(INDICE!$F$2,Nombres!$C$3:$D$636,57,FALSE)</f>
        <v>Otros activos</v>
      </c>
      <c r="B93" s="58">
        <f>+B94-B92-B89-B88-B87</f>
        <v>179.31413540380444</v>
      </c>
      <c r="C93" s="58">
        <f aca="true" t="shared" si="15" ref="C93:I93">+C94-C92-C89-C88-C87</f>
        <v>175.4879648923328</v>
      </c>
      <c r="D93" s="58">
        <f t="shared" si="15"/>
        <v>185.59227905573852</v>
      </c>
      <c r="E93" s="64">
        <f t="shared" si="15"/>
        <v>216.491633197936</v>
      </c>
      <c r="F93" s="44">
        <f t="shared" si="15"/>
        <v>222.54908262019444</v>
      </c>
      <c r="G93" s="44">
        <f t="shared" si="15"/>
        <v>285.65949860402264</v>
      </c>
      <c r="H93" s="44">
        <f t="shared" si="15"/>
        <v>316.6358857742481</v>
      </c>
      <c r="I93" s="44">
        <f t="shared" si="15"/>
        <v>308.41722109000006</v>
      </c>
    </row>
    <row r="94" spans="1:9" ht="15">
      <c r="A94" s="47" t="str">
        <f>HLOOKUP(INDICE!$F$2,Nombres!$C$3:$D$636,58,FALSE)</f>
        <v>Total activo / pasivo</v>
      </c>
      <c r="B94" s="47">
        <v>1652.3232398602022</v>
      </c>
      <c r="C94" s="47">
        <v>1640.6689744719931</v>
      </c>
      <c r="D94" s="47">
        <v>1675.2338281049729</v>
      </c>
      <c r="E94" s="47">
        <v>1779.0992770356145</v>
      </c>
      <c r="F94" s="51">
        <v>1923.5316658706072</v>
      </c>
      <c r="G94" s="51">
        <v>2031.0226451140165</v>
      </c>
      <c r="H94" s="51">
        <v>2264.5871873823116</v>
      </c>
      <c r="I94" s="51">
        <v>2381.41422109</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397.0475116054696</v>
      </c>
      <c r="C96" s="58">
        <v>402.8846736975697</v>
      </c>
      <c r="D96" s="58">
        <v>387.1480005983915</v>
      </c>
      <c r="E96" s="64">
        <v>496.0159101634037</v>
      </c>
      <c r="F96" s="44">
        <v>618.081510568422</v>
      </c>
      <c r="G96" s="44">
        <v>568.8021875929904</v>
      </c>
      <c r="H96" s="44">
        <v>846.7135255850375</v>
      </c>
      <c r="I96" s="44">
        <v>1006.534</v>
      </c>
    </row>
    <row r="97" spans="1:9" ht="15">
      <c r="A97" s="43" t="str">
        <f>HLOOKUP(INDICE!$F$2,Nombres!$C$3:$D$636,61,FALSE)</f>
        <v>Depósitos de la clientela</v>
      </c>
      <c r="B97" s="58">
        <v>4.953273959218218</v>
      </c>
      <c r="C97" s="58">
        <v>6.849361618768391</v>
      </c>
      <c r="D97" s="58">
        <v>6.478551397132779</v>
      </c>
      <c r="E97" s="64">
        <v>7.829902303050487</v>
      </c>
      <c r="F97" s="44">
        <v>14.754194576392145</v>
      </c>
      <c r="G97" s="44">
        <v>11.329242483343647</v>
      </c>
      <c r="H97" s="44">
        <v>9.129440855443221</v>
      </c>
      <c r="I97" s="44">
        <v>6.672</v>
      </c>
    </row>
    <row r="98" spans="1:9" ht="15">
      <c r="A98" s="43" t="str">
        <f>HLOOKUP(INDICE!$F$2,Nombres!$C$3:$D$636,62,FALSE)</f>
        <v>Valores representativos de deuda emitidos</v>
      </c>
      <c r="B98" s="44">
        <v>810.4951129117203</v>
      </c>
      <c r="C98" s="44">
        <v>816.3968252705721</v>
      </c>
      <c r="D98" s="44">
        <v>835.2042985535577</v>
      </c>
      <c r="E98" s="45">
        <v>802.5106979051848</v>
      </c>
      <c r="F98" s="44">
        <v>777.4312484508017</v>
      </c>
      <c r="G98" s="44">
        <v>912.496002348686</v>
      </c>
      <c r="H98" s="44">
        <v>840.8321935176915</v>
      </c>
      <c r="I98" s="44">
        <v>779.6658239999999</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236.77105900436948</v>
      </c>
      <c r="C100" s="58">
        <f aca="true" t="shared" si="16" ref="C100:I100">+C94-C95-C96-C97-C98-C101</f>
        <v>213.89074524733581</v>
      </c>
      <c r="D100" s="58">
        <f t="shared" si="16"/>
        <v>218.67339556554623</v>
      </c>
      <c r="E100" s="64">
        <f t="shared" si="16"/>
        <v>240.05635873186458</v>
      </c>
      <c r="F100" s="44">
        <f t="shared" si="16"/>
        <v>282.2798738491666</v>
      </c>
      <c r="G100" s="44">
        <f t="shared" si="16"/>
        <v>266.41813581509933</v>
      </c>
      <c r="H100" s="44">
        <f t="shared" si="16"/>
        <v>266.1139545115135</v>
      </c>
      <c r="I100" s="44">
        <f t="shared" si="16"/>
        <v>312.5800603999999</v>
      </c>
    </row>
    <row r="101" spans="1:9" ht="15">
      <c r="A101" s="43" t="str">
        <f>HLOOKUP(INDICE!$F$2,Nombres!$C$3:$D$636,282,FALSE)</f>
        <v>Dotación de capital regulatorio</v>
      </c>
      <c r="B101" s="58">
        <v>203.05628237942472</v>
      </c>
      <c r="C101" s="58">
        <v>200.6473686377471</v>
      </c>
      <c r="D101" s="58">
        <v>227.72958199034463</v>
      </c>
      <c r="E101" s="64">
        <v>232.68640793211097</v>
      </c>
      <c r="F101" s="44">
        <v>230.9848384258246</v>
      </c>
      <c r="G101" s="44">
        <v>271.97707687389715</v>
      </c>
      <c r="H101" s="44">
        <v>301.7980729126259</v>
      </c>
      <c r="I101" s="44">
        <v>275.96233669</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1461.4695679207825</v>
      </c>
      <c r="C107" s="44">
        <v>1460.4161948381875</v>
      </c>
      <c r="D107" s="44">
        <v>1467.2431983940683</v>
      </c>
      <c r="E107" s="45">
        <v>1518.3863843292465</v>
      </c>
      <c r="F107" s="44">
        <v>1620.9940503696278</v>
      </c>
      <c r="G107" s="44">
        <v>1751.1585819877187</v>
      </c>
      <c r="H107" s="44">
        <v>1929.5373180104564</v>
      </c>
      <c r="I107" s="44">
        <v>2078.6980000000003</v>
      </c>
    </row>
    <row r="108" spans="1:9" ht="15">
      <c r="A108" s="43" t="str">
        <f>HLOOKUP(INDICE!$F$2,Nombres!$C$3:$D$636,67,FALSE)</f>
        <v>Depósitos de clientes en gestión (**)</v>
      </c>
      <c r="B108" s="44">
        <v>4.953273959218218</v>
      </c>
      <c r="C108" s="44">
        <v>6.849361618768391</v>
      </c>
      <c r="D108" s="44">
        <v>6.478551397132779</v>
      </c>
      <c r="E108" s="45">
        <v>7.829902303050487</v>
      </c>
      <c r="F108" s="44">
        <v>14.754194576392145</v>
      </c>
      <c r="G108" s="44">
        <v>11.329242483343647</v>
      </c>
      <c r="H108" s="44">
        <v>9.129440855443223</v>
      </c>
      <c r="I108" s="44">
        <v>6.672</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29187.247061492388</v>
      </c>
      <c r="C120" s="50">
        <v>31582.71518158211</v>
      </c>
      <c r="D120" s="50">
        <v>31085.245824274218</v>
      </c>
      <c r="E120" s="268">
        <v>32803.978297593545</v>
      </c>
      <c r="F120" s="50">
        <v>30574.584234627124</v>
      </c>
      <c r="G120" s="50">
        <v>30038.977983858385</v>
      </c>
      <c r="H120" s="50">
        <v>30342.761180359048</v>
      </c>
      <c r="I120" s="50">
        <v>26891.12232877582</v>
      </c>
    </row>
    <row r="121" spans="1:9" ht="15">
      <c r="A121" s="43" t="str">
        <f>HLOOKUP(INDICE!$F$2,Nombres!$C$3:$D$636,34,FALSE)</f>
        <v>Comisiones netas</v>
      </c>
      <c r="B121" s="44">
        <v>-3654.404935679096</v>
      </c>
      <c r="C121" s="44">
        <v>-3944.660920771166</v>
      </c>
      <c r="D121" s="44">
        <v>-915.6171720115558</v>
      </c>
      <c r="E121" s="45">
        <v>1936.662686834828</v>
      </c>
      <c r="F121" s="44">
        <v>4538.712700348422</v>
      </c>
      <c r="G121" s="44">
        <v>2853.4272575399523</v>
      </c>
      <c r="H121" s="44">
        <v>3652.13936987126</v>
      </c>
      <c r="I121" s="44">
        <v>23933.60828765149</v>
      </c>
    </row>
    <row r="122" spans="1:9" ht="15">
      <c r="A122" s="43" t="str">
        <f>HLOOKUP(INDICE!$F$2,Nombres!$C$3:$D$636,35,FALSE)</f>
        <v>Resultados de operaciones financieras</v>
      </c>
      <c r="B122" s="44">
        <v>34.90358104755584</v>
      </c>
      <c r="C122" s="44">
        <v>-29.696363695031685</v>
      </c>
      <c r="D122" s="44">
        <v>456.07092889623596</v>
      </c>
      <c r="E122" s="45">
        <v>403.2821907222768</v>
      </c>
      <c r="F122" s="44">
        <v>1290.8098919790918</v>
      </c>
      <c r="G122" s="44">
        <v>1419.3105198801186</v>
      </c>
      <c r="H122" s="44">
        <v>1372.7503020378872</v>
      </c>
      <c r="I122" s="44">
        <v>1154.4060700764385</v>
      </c>
    </row>
    <row r="123" spans="1:9" ht="15">
      <c r="A123" s="43" t="str">
        <f>HLOOKUP(INDICE!$F$2,Nombres!$C$3:$D$636,36,FALSE)</f>
        <v>Otros ingresos y cargas de explotación</v>
      </c>
      <c r="B123" s="44">
        <v>-436.294763094448</v>
      </c>
      <c r="C123" s="44">
        <v>341.69698119025895</v>
      </c>
      <c r="D123" s="44">
        <v>158.98268568269657</v>
      </c>
      <c r="E123" s="45">
        <v>-71.56712880007389</v>
      </c>
      <c r="F123" s="44">
        <v>-106.20587718815311</v>
      </c>
      <c r="G123" s="44">
        <v>-185.29225568914458</v>
      </c>
      <c r="H123" s="44">
        <v>-203.92059285367972</v>
      </c>
      <c r="I123" s="44">
        <v>-406.67398123344975</v>
      </c>
    </row>
    <row r="124" spans="1:9" ht="15">
      <c r="A124" s="41" t="str">
        <f>HLOOKUP(INDICE!$F$2,Nombres!$C$3:$D$636,37,FALSE)</f>
        <v>Margen bruto</v>
      </c>
      <c r="B124" s="50">
        <f aca="true" t="shared" si="19" ref="B124:I124">+SUM(B120:B123)</f>
        <v>25131.4509437664</v>
      </c>
      <c r="C124" s="50">
        <f t="shared" si="19"/>
        <v>27950.05487830617</v>
      </c>
      <c r="D124" s="50">
        <f t="shared" si="19"/>
        <v>30784.68226684159</v>
      </c>
      <c r="E124" s="268">
        <f t="shared" si="19"/>
        <v>35072.35604635057</v>
      </c>
      <c r="F124" s="50">
        <f t="shared" si="19"/>
        <v>36297.90094976648</v>
      </c>
      <c r="G124" s="50">
        <f t="shared" si="19"/>
        <v>34126.423505589315</v>
      </c>
      <c r="H124" s="50">
        <f t="shared" si="19"/>
        <v>35163.73025941451</v>
      </c>
      <c r="I124" s="50">
        <f t="shared" si="19"/>
        <v>51572.46270527029</v>
      </c>
    </row>
    <row r="125" spans="1:9" ht="15">
      <c r="A125" s="43" t="str">
        <f>HLOOKUP(INDICE!$F$2,Nombres!$C$3:$D$636,38,FALSE)</f>
        <v>Gastos de explotación</v>
      </c>
      <c r="B125" s="44">
        <v>-12608.621100401117</v>
      </c>
      <c r="C125" s="44">
        <v>-11566.161441211994</v>
      </c>
      <c r="D125" s="44">
        <v>-8071.450145965391</v>
      </c>
      <c r="E125" s="45">
        <v>-11249.893029915902</v>
      </c>
      <c r="F125" s="44">
        <v>-11719.055136236497</v>
      </c>
      <c r="G125" s="44">
        <v>-12506.169742773212</v>
      </c>
      <c r="H125" s="44">
        <v>-14020.549327220167</v>
      </c>
      <c r="I125" s="44">
        <v>-21121.446275430615</v>
      </c>
    </row>
    <row r="126" spans="1:9" ht="15">
      <c r="A126" s="43" t="str">
        <f>HLOOKUP(INDICE!$F$2,Nombres!$C$3:$D$636,39,FALSE)</f>
        <v>  Gastos de administración</v>
      </c>
      <c r="B126" s="44">
        <v>-11630.448241543365</v>
      </c>
      <c r="C126" s="44">
        <v>-10603.777966695743</v>
      </c>
      <c r="D126" s="44">
        <v>-7098.8100796077415</v>
      </c>
      <c r="E126" s="45">
        <v>-10137.452305059674</v>
      </c>
      <c r="F126" s="44">
        <v>-10516.296270644165</v>
      </c>
      <c r="G126" s="44">
        <v>-11323.697756369576</v>
      </c>
      <c r="H126" s="44">
        <v>-12844.787018022756</v>
      </c>
      <c r="I126" s="44">
        <v>-20274.75757339903</v>
      </c>
    </row>
    <row r="127" spans="1:9" ht="15">
      <c r="A127" s="46" t="str">
        <f>HLOOKUP(INDICE!$F$2,Nombres!$C$3:$D$636,40,FALSE)</f>
        <v>  Gastos de personal</v>
      </c>
      <c r="B127" s="44">
        <v>-4873.412503764985</v>
      </c>
      <c r="C127" s="44">
        <v>-4851.06590207389</v>
      </c>
      <c r="D127" s="44">
        <v>-5068.173733519071</v>
      </c>
      <c r="E127" s="45">
        <v>-5564.466906143884</v>
      </c>
      <c r="F127" s="44">
        <v>-5334.802907989537</v>
      </c>
      <c r="G127" s="44">
        <v>-5356.771024509985</v>
      </c>
      <c r="H127" s="44">
        <v>-6166.348342512024</v>
      </c>
      <c r="I127" s="44">
        <v>-5935.748788653194</v>
      </c>
    </row>
    <row r="128" spans="1:9" ht="15">
      <c r="A128" s="46" t="str">
        <f>HLOOKUP(INDICE!$F$2,Nombres!$C$3:$D$636,41,FALSE)</f>
        <v>  Otros gastos de administración</v>
      </c>
      <c r="B128" s="44">
        <v>-6757.03573777838</v>
      </c>
      <c r="C128" s="44">
        <v>-5752.712064621852</v>
      </c>
      <c r="D128" s="44">
        <v>-2030.63634608867</v>
      </c>
      <c r="E128" s="45">
        <v>-4572.985398915789</v>
      </c>
      <c r="F128" s="44">
        <v>-5181.493362654628</v>
      </c>
      <c r="G128" s="44">
        <v>-5966.92673185959</v>
      </c>
      <c r="H128" s="44">
        <v>-6678.438675510733</v>
      </c>
      <c r="I128" s="44">
        <v>-14339.008784745834</v>
      </c>
    </row>
    <row r="129" spans="1:9" ht="15">
      <c r="A129" s="43" t="str">
        <f>HLOOKUP(INDICE!$F$2,Nombres!$C$3:$D$636,42,FALSE)</f>
        <v>  Amortización</v>
      </c>
      <c r="B129" s="44">
        <v>-978.1728588577524</v>
      </c>
      <c r="C129" s="44">
        <v>-962.3834745162521</v>
      </c>
      <c r="D129" s="44">
        <v>-972.6400663576488</v>
      </c>
      <c r="E129" s="45">
        <v>-1112.4407248562275</v>
      </c>
      <c r="F129" s="44">
        <v>-1202.7588655923323</v>
      </c>
      <c r="G129" s="44">
        <v>-1182.471986403636</v>
      </c>
      <c r="H129" s="44">
        <v>-1175.7623091974106</v>
      </c>
      <c r="I129" s="44">
        <v>-846.6887020315886</v>
      </c>
    </row>
    <row r="130" spans="1:9" ht="15">
      <c r="A130" s="41" t="str">
        <f>HLOOKUP(INDICE!$F$2,Nombres!$C$3:$D$636,43,FALSE)</f>
        <v>Margen neto</v>
      </c>
      <c r="B130" s="50">
        <f aca="true" t="shared" si="20" ref="B130:I130">+B124+B125</f>
        <v>12522.829843365282</v>
      </c>
      <c r="C130" s="50">
        <f t="shared" si="20"/>
        <v>16383.893437094177</v>
      </c>
      <c r="D130" s="50">
        <f t="shared" si="20"/>
        <v>22713.2321208762</v>
      </c>
      <c r="E130" s="268">
        <f t="shared" si="20"/>
        <v>23822.463016434667</v>
      </c>
      <c r="F130" s="50">
        <f t="shared" si="20"/>
        <v>24578.845813529984</v>
      </c>
      <c r="G130" s="50">
        <f t="shared" si="20"/>
        <v>21620.2537628161</v>
      </c>
      <c r="H130" s="50">
        <f t="shared" si="20"/>
        <v>21143.18093219434</v>
      </c>
      <c r="I130" s="50">
        <f t="shared" si="20"/>
        <v>30451.016429839678</v>
      </c>
    </row>
    <row r="131" spans="1:9" ht="15">
      <c r="A131" s="43" t="str">
        <f>HLOOKUP(INDICE!$F$2,Nombres!$C$3:$D$636,44,FALSE)</f>
        <v>Deterioro de activos financieros no valorados a valor razonable con cambios en resultados</v>
      </c>
      <c r="B131" s="44">
        <v>453.746553618226</v>
      </c>
      <c r="C131" s="44">
        <v>1363.5723024127078</v>
      </c>
      <c r="D131" s="44">
        <v>-4884.862627834353</v>
      </c>
      <c r="E131" s="45">
        <v>-5918.317508303654</v>
      </c>
      <c r="F131" s="44">
        <v>-3624.61596249825</v>
      </c>
      <c r="G131" s="44">
        <v>-9650.732441913668</v>
      </c>
      <c r="H131" s="44">
        <v>-7169.1134854218635</v>
      </c>
      <c r="I131" s="44">
        <v>-31432.751461843804</v>
      </c>
    </row>
    <row r="132" spans="1:9" ht="15">
      <c r="A132" s="43" t="str">
        <f>HLOOKUP(INDICE!$F$2,Nombres!$C$3:$D$636,45,FALSE)</f>
        <v>Provisiones o reversión de provisiones y otros resultados</v>
      </c>
      <c r="B132" s="44">
        <v>397.02823441594774</v>
      </c>
      <c r="C132" s="44">
        <v>241.72376082701632</v>
      </c>
      <c r="D132" s="44">
        <v>436.38769935978667</v>
      </c>
      <c r="E132" s="45">
        <v>-3787.327418371704</v>
      </c>
      <c r="F132" s="44">
        <v>119.82201528919839</v>
      </c>
      <c r="G132" s="44">
        <v>22.76840265078002</v>
      </c>
      <c r="H132" s="44">
        <v>-100.62124412114791</v>
      </c>
      <c r="I132" s="44">
        <v>-599.0091261356232</v>
      </c>
    </row>
    <row r="133" spans="1:9" ht="15">
      <c r="A133" s="41" t="str">
        <f>HLOOKUP(INDICE!$F$2,Nombres!$C$3:$D$636,46,FALSE)</f>
        <v>Resultado antes de impuestos</v>
      </c>
      <c r="B133" s="50">
        <f aca="true" t="shared" si="21" ref="B133:I133">+B130+B131+B132</f>
        <v>13373.604631399456</v>
      </c>
      <c r="C133" s="50">
        <f t="shared" si="21"/>
        <v>17989.1895003339</v>
      </c>
      <c r="D133" s="50">
        <f t="shared" si="21"/>
        <v>18264.757192401637</v>
      </c>
      <c r="E133" s="268">
        <f t="shared" si="21"/>
        <v>14116.818089759308</v>
      </c>
      <c r="F133" s="50">
        <f t="shared" si="21"/>
        <v>21074.051866320933</v>
      </c>
      <c r="G133" s="50">
        <f t="shared" si="21"/>
        <v>11992.289723553213</v>
      </c>
      <c r="H133" s="50">
        <f t="shared" si="21"/>
        <v>13873.446202651328</v>
      </c>
      <c r="I133" s="50">
        <f t="shared" si="21"/>
        <v>-1580.7441581397493</v>
      </c>
    </row>
    <row r="134" spans="1:9" ht="15">
      <c r="A134" s="43" t="str">
        <f>HLOOKUP(INDICE!$F$2,Nombres!$C$3:$D$636,47,FALSE)</f>
        <v>Impuesto sobre beneficios</v>
      </c>
      <c r="B134" s="44">
        <v>-3046.386560786584</v>
      </c>
      <c r="C134" s="44">
        <v>-4482.733001428072</v>
      </c>
      <c r="D134" s="44">
        <v>-4403.7905530940125</v>
      </c>
      <c r="E134" s="45">
        <v>-2077.6440494449216</v>
      </c>
      <c r="F134" s="44">
        <v>-4305.302410115448</v>
      </c>
      <c r="G134" s="44">
        <v>-12.782078004810785</v>
      </c>
      <c r="H134" s="44">
        <v>-1115.4649284008854</v>
      </c>
      <c r="I134" s="44">
        <v>-124.98224657405171</v>
      </c>
    </row>
    <row r="135" spans="1:9" ht="15">
      <c r="A135" s="41" t="str">
        <f>HLOOKUP(INDICE!$F$2,Nombres!$C$3:$D$636,48,FALSE)</f>
        <v>Resultado del ejercicio</v>
      </c>
      <c r="B135" s="50">
        <f aca="true" t="shared" si="22" ref="B135:I135">+B133+B134</f>
        <v>10327.218070612871</v>
      </c>
      <c r="C135" s="50">
        <f t="shared" si="22"/>
        <v>13506.456498905829</v>
      </c>
      <c r="D135" s="50">
        <f t="shared" si="22"/>
        <v>13860.966639307626</v>
      </c>
      <c r="E135" s="268">
        <f t="shared" si="22"/>
        <v>12039.174040314387</v>
      </c>
      <c r="F135" s="50">
        <f t="shared" si="22"/>
        <v>16768.749456205485</v>
      </c>
      <c r="G135" s="50">
        <f t="shared" si="22"/>
        <v>11979.507645548401</v>
      </c>
      <c r="H135" s="50">
        <f t="shared" si="22"/>
        <v>12757.981274250444</v>
      </c>
      <c r="I135" s="50">
        <f t="shared" si="22"/>
        <v>-1705.726404713801</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I137">+B135+B136</f>
        <v>10327.218070612871</v>
      </c>
      <c r="C137" s="51">
        <f t="shared" si="23"/>
        <v>13506.456498905829</v>
      </c>
      <c r="D137" s="51">
        <f t="shared" si="23"/>
        <v>13860.966639307626</v>
      </c>
      <c r="E137" s="79">
        <f t="shared" si="23"/>
        <v>12039.174040314387</v>
      </c>
      <c r="F137" s="51">
        <f t="shared" si="23"/>
        <v>16768.749456205485</v>
      </c>
      <c r="G137" s="51">
        <f t="shared" si="23"/>
        <v>11979.507645548401</v>
      </c>
      <c r="H137" s="51">
        <f t="shared" si="23"/>
        <v>12757.981274250444</v>
      </c>
      <c r="I137" s="51">
        <f t="shared" si="23"/>
        <v>-1705.726404713801</v>
      </c>
    </row>
    <row r="138" spans="1:9" ht="15">
      <c r="A138" s="267"/>
      <c r="B138" s="63">
        <v>0</v>
      </c>
      <c r="C138" s="63">
        <v>0</v>
      </c>
      <c r="D138" s="63">
        <v>0</v>
      </c>
      <c r="E138" s="63">
        <v>0</v>
      </c>
      <c r="F138" s="63">
        <v>0</v>
      </c>
      <c r="G138" s="63">
        <v>0</v>
      </c>
      <c r="H138" s="63">
        <v>0</v>
      </c>
      <c r="I138" s="63">
        <v>-3.183231456205249E-12</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17335.367293680392</v>
      </c>
      <c r="C143" s="44">
        <v>27787.05471706841</v>
      </c>
      <c r="D143" s="44">
        <v>16074.918245139399</v>
      </c>
      <c r="E143" s="45">
        <v>28905.60974547381</v>
      </c>
      <c r="F143" s="44">
        <v>18420.258739675042</v>
      </c>
      <c r="G143" s="44">
        <v>24628.934344214726</v>
      </c>
      <c r="H143" s="44">
        <v>35632.293302589365</v>
      </c>
      <c r="I143" s="44">
        <v>51667.30296837103</v>
      </c>
    </row>
    <row r="144" spans="1:9" ht="15">
      <c r="A144" s="43" t="str">
        <f>HLOOKUP(INDICE!$F$2,Nombres!$C$3:$D$636,53,FALSE)</f>
        <v>Activos financieros a valor razonable</v>
      </c>
      <c r="B144" s="58">
        <v>0</v>
      </c>
      <c r="C144" s="58">
        <v>2432.6779978716495</v>
      </c>
      <c r="D144" s="58">
        <v>0</v>
      </c>
      <c r="E144" s="64">
        <v>0</v>
      </c>
      <c r="F144" s="44">
        <v>0</v>
      </c>
      <c r="G144" s="44">
        <v>0</v>
      </c>
      <c r="H144" s="44">
        <v>0</v>
      </c>
      <c r="I144" s="44">
        <v>0</v>
      </c>
    </row>
    <row r="145" spans="1:9" ht="15">
      <c r="A145" s="43" t="str">
        <f>HLOOKUP(INDICE!$F$2,Nombres!$C$3:$D$636,54,FALSE)</f>
        <v>Activos financieros a coste amortizado</v>
      </c>
      <c r="B145" s="44">
        <v>1324641.8113747004</v>
      </c>
      <c r="C145" s="44">
        <v>1305028.6366613912</v>
      </c>
      <c r="D145" s="44">
        <v>1342079.813342471</v>
      </c>
      <c r="E145" s="45">
        <v>1396559.792168838</v>
      </c>
      <c r="F145" s="44">
        <v>1534307.0629885998</v>
      </c>
      <c r="G145" s="44">
        <v>1569185.3368876826</v>
      </c>
      <c r="H145" s="44">
        <v>1744296.8061553242</v>
      </c>
      <c r="I145" s="44">
        <v>1844918.4783990555</v>
      </c>
    </row>
    <row r="146" spans="1:9" ht="15">
      <c r="A146" s="43" t="str">
        <f>HLOOKUP(INDICE!$F$2,Nombres!$C$3:$D$636,55,FALSE)</f>
        <v>    de los que préstamos y anticipos a la clientela</v>
      </c>
      <c r="B146" s="44">
        <v>1286071.3702453645</v>
      </c>
      <c r="C146" s="44">
        <v>1289868.9633190508</v>
      </c>
      <c r="D146" s="44">
        <v>1295909.5515154384</v>
      </c>
      <c r="E146" s="45">
        <v>1339829.6390382661</v>
      </c>
      <c r="F146" s="44">
        <v>1432766.697425615</v>
      </c>
      <c r="G146" s="44">
        <v>1544475.1788521793</v>
      </c>
      <c r="H146" s="44">
        <v>1704247.2008051013</v>
      </c>
      <c r="I146" s="44">
        <v>1815137.7452964894</v>
      </c>
    </row>
    <row r="147" spans="1:9" ht="15" customHeight="1" hidden="1">
      <c r="A147" s="43"/>
      <c r="B147" s="44"/>
      <c r="C147" s="44"/>
      <c r="D147" s="44"/>
      <c r="E147" s="45"/>
      <c r="F147" s="44"/>
      <c r="G147" s="44"/>
      <c r="H147" s="44"/>
      <c r="I147" s="44"/>
    </row>
    <row r="148" spans="1:9" ht="15">
      <c r="A148" s="43" t="str">
        <f>HLOOKUP(INDICE!$F$2,Nombres!$C$3:$D$636,56,FALSE)</f>
        <v>Activos tangibles</v>
      </c>
      <c r="B148" s="44">
        <v>8408.87635597391</v>
      </c>
      <c r="C148" s="44">
        <v>7961.253318465731</v>
      </c>
      <c r="D148" s="44">
        <v>7479.173006160597</v>
      </c>
      <c r="E148" s="45">
        <v>7060.415698735576</v>
      </c>
      <c r="F148" s="44">
        <v>6654.18739576022</v>
      </c>
      <c r="G148" s="44">
        <v>6253.26865634132</v>
      </c>
      <c r="H148" s="44">
        <v>5861.813578451871</v>
      </c>
      <c r="I148" s="44">
        <v>3841.19660457912</v>
      </c>
    </row>
    <row r="149" spans="1:9" ht="15">
      <c r="A149" s="43" t="str">
        <f>HLOOKUP(INDICE!$F$2,Nombres!$C$3:$D$636,57,FALSE)</f>
        <v>Otros activos</v>
      </c>
      <c r="B149" s="58">
        <f>+B150-B148-B145-B144-B143</f>
        <v>164386.83724728733</v>
      </c>
      <c r="C149" s="58">
        <f aca="true" t="shared" si="25" ref="C149:I149">+C150-C148-C145-C144-C143</f>
        <v>160879.1825510571</v>
      </c>
      <c r="D149" s="58">
        <f t="shared" si="25"/>
        <v>170142.34657398672</v>
      </c>
      <c r="E149" s="64">
        <f t="shared" si="25"/>
        <v>198469.43349873557</v>
      </c>
      <c r="F149" s="44">
        <f t="shared" si="25"/>
        <v>204022.6206474671</v>
      </c>
      <c r="G149" s="44">
        <f t="shared" si="25"/>
        <v>261879.3069459534</v>
      </c>
      <c r="H149" s="44">
        <f t="shared" si="25"/>
        <v>290277.0141584593</v>
      </c>
      <c r="I149" s="44">
        <f t="shared" si="25"/>
        <v>282742.52564311045</v>
      </c>
    </row>
    <row r="150" spans="1:9" ht="15">
      <c r="A150" s="47" t="str">
        <f>HLOOKUP(INDICE!$F$2,Nombres!$C$3:$D$636,58,FALSE)</f>
        <v>Total activo / pasivo</v>
      </c>
      <c r="B150" s="47">
        <v>1514772.892271642</v>
      </c>
      <c r="C150" s="47">
        <v>1504088.8052458542</v>
      </c>
      <c r="D150" s="47">
        <v>1535776.2511677577</v>
      </c>
      <c r="E150" s="47">
        <v>1630995.2511117829</v>
      </c>
      <c r="F150" s="51">
        <v>1763404.1297715022</v>
      </c>
      <c r="G150" s="51">
        <v>1861946.846834192</v>
      </c>
      <c r="H150" s="51">
        <v>2076067.927194825</v>
      </c>
      <c r="I150" s="51">
        <v>2183169.5036151162</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363994.6428247061</v>
      </c>
      <c r="C152" s="58">
        <v>369345.88082197413</v>
      </c>
      <c r="D152" s="58">
        <v>354919.23278475815</v>
      </c>
      <c r="E152" s="64">
        <v>454724.2553548659</v>
      </c>
      <c r="F152" s="44">
        <v>566628.3054292497</v>
      </c>
      <c r="G152" s="44">
        <v>521451.32020510035</v>
      </c>
      <c r="H152" s="44">
        <v>776227.4748277952</v>
      </c>
      <c r="I152" s="44">
        <v>922743.4327430645</v>
      </c>
    </row>
    <row r="153" spans="1:9" ht="15">
      <c r="A153" s="43" t="str">
        <f>HLOOKUP(INDICE!$F$2,Nombres!$C$3:$D$636,61,FALSE)</f>
        <v>Depósitos de la clientela</v>
      </c>
      <c r="B153" s="58">
        <v>4540.930576061861</v>
      </c>
      <c r="C153" s="58">
        <v>6279.175320655773</v>
      </c>
      <c r="D153" s="58">
        <v>5939.233801732159</v>
      </c>
      <c r="E153" s="64">
        <v>7178.089293714502</v>
      </c>
      <c r="F153" s="44">
        <v>13525.957544185481</v>
      </c>
      <c r="G153" s="44">
        <v>10386.12118364514</v>
      </c>
      <c r="H153" s="44">
        <v>8369.445636189594</v>
      </c>
      <c r="I153" s="44">
        <v>6116.578459606656</v>
      </c>
    </row>
    <row r="154" spans="1:9" ht="15">
      <c r="A154" s="43" t="str">
        <f>HLOOKUP(INDICE!$F$2,Nombres!$C$3:$D$636,62,FALSE)</f>
        <v>Valores representativos de deuda emitidos</v>
      </c>
      <c r="B154" s="44">
        <v>743024.1230893725</v>
      </c>
      <c r="C154" s="44">
        <v>748434.5377609772</v>
      </c>
      <c r="D154" s="44">
        <v>765676.3522037738</v>
      </c>
      <c r="E154" s="45">
        <v>735704.3837546099</v>
      </c>
      <c r="F154" s="44">
        <v>712712.7140436578</v>
      </c>
      <c r="G154" s="44">
        <v>836533.7818410009</v>
      </c>
      <c r="H154" s="44">
        <v>770835.7438570334</v>
      </c>
      <c r="I154" s="44">
        <v>714761.2687005207</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217060.66537235957</v>
      </c>
      <c r="C156" s="58">
        <f aca="true" t="shared" si="26" ref="C156:I156">+C150-C151-C152-C153-C154-C157</f>
        <v>196085.06071478894</v>
      </c>
      <c r="D156" s="58">
        <f t="shared" si="26"/>
        <v>200469.57149359534</v>
      </c>
      <c r="E156" s="64">
        <f t="shared" si="26"/>
        <v>220072.47495667438</v>
      </c>
      <c r="F156" s="44">
        <f t="shared" si="26"/>
        <v>258781.02457528442</v>
      </c>
      <c r="G156" s="44">
        <f t="shared" si="26"/>
        <v>244239.7228380093</v>
      </c>
      <c r="H156" s="44">
        <f t="shared" si="26"/>
        <v>243960.86360399745</v>
      </c>
      <c r="I156" s="44">
        <f t="shared" si="26"/>
        <v>286558.8225937027</v>
      </c>
    </row>
    <row r="157" spans="1:9" ht="15.75" customHeight="1">
      <c r="A157" s="43" t="str">
        <f>HLOOKUP(INDICE!$F$2,Nombres!$C$3:$D$636,282,FALSE)</f>
        <v>Dotación de capital regulatorio</v>
      </c>
      <c r="B157" s="58">
        <v>186152.53040914203</v>
      </c>
      <c r="C157" s="58">
        <v>183944.15062745803</v>
      </c>
      <c r="D157" s="58">
        <v>208771.86088389836</v>
      </c>
      <c r="E157" s="64">
        <v>213316.0477519181</v>
      </c>
      <c r="F157" s="44">
        <v>211756.12817912505</v>
      </c>
      <c r="G157" s="44">
        <v>249335.9007664363</v>
      </c>
      <c r="H157" s="44">
        <v>276674.3992698092</v>
      </c>
      <c r="I157" s="44">
        <v>252989.40111822146</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1339807.1460603876</v>
      </c>
      <c r="C163" s="44">
        <v>1338841.4627410038</v>
      </c>
      <c r="D163" s="44">
        <v>1345100.1412322442</v>
      </c>
      <c r="E163" s="45">
        <v>1391985.8290989662</v>
      </c>
      <c r="F163" s="44">
        <v>1486051.7523443364</v>
      </c>
      <c r="G163" s="44">
        <v>1605380.5248713156</v>
      </c>
      <c r="H163" s="44">
        <v>1768909.8315872238</v>
      </c>
      <c r="I163" s="44">
        <v>1905653.3889129856</v>
      </c>
    </row>
    <row r="164" spans="1:9" ht="15">
      <c r="A164" s="43" t="str">
        <f>HLOOKUP(INDICE!$F$2,Nombres!$C$3:$D$636,67,FALSE)</f>
        <v>Depósitos de clientes en gestión (**)</v>
      </c>
      <c r="B164" s="44">
        <v>4540.93057606186</v>
      </c>
      <c r="C164" s="44">
        <v>6279.175320655774</v>
      </c>
      <c r="D164" s="44">
        <v>5939.233801732159</v>
      </c>
      <c r="E164" s="45">
        <v>7178.089293714502</v>
      </c>
      <c r="F164" s="44">
        <v>13525.957544185481</v>
      </c>
      <c r="G164" s="44">
        <v>10386.12118364514</v>
      </c>
      <c r="H164" s="44">
        <v>8369.445636189594</v>
      </c>
      <c r="I164" s="44">
        <v>6116.578459606656</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391</v>
      </c>
    </row>
  </sheetData>
  <sheetProtection/>
  <mergeCells count="6">
    <mergeCell ref="B6:E6"/>
    <mergeCell ref="F6:I6"/>
    <mergeCell ref="B62:E62"/>
    <mergeCell ref="F62:I62"/>
    <mergeCell ref="B118:E118"/>
    <mergeCell ref="F118:I118"/>
  </mergeCells>
  <conditionalFormatting sqref="G26:I26">
    <cfRule type="cellIs" priority="18" dxfId="132" operator="notBetween">
      <formula>0.5</formula>
      <formula>-0.5</formula>
    </cfRule>
  </conditionalFormatting>
  <conditionalFormatting sqref="C26">
    <cfRule type="cellIs" priority="17" dxfId="132" operator="notBetween">
      <formula>0.5</formula>
      <formula>-0.5</formula>
    </cfRule>
  </conditionalFormatting>
  <conditionalFormatting sqref="D26">
    <cfRule type="cellIs" priority="16" dxfId="132" operator="notBetween">
      <formula>0.5</formula>
      <formula>-0.5</formula>
    </cfRule>
  </conditionalFormatting>
  <conditionalFormatting sqref="E26">
    <cfRule type="cellIs" priority="15" dxfId="132" operator="notBetween">
      <formula>0.5</formula>
      <formula>-0.5</formula>
    </cfRule>
  </conditionalFormatting>
  <conditionalFormatting sqref="F26:I26">
    <cfRule type="cellIs" priority="14" dxfId="132" operator="notBetween">
      <formula>0.5</formula>
      <formula>-0.5</formula>
    </cfRule>
  </conditionalFormatting>
  <conditionalFormatting sqref="G82:I82">
    <cfRule type="cellIs" priority="13" dxfId="132" operator="notBetween">
      <formula>0.5</formula>
      <formula>-0.5</formula>
    </cfRule>
  </conditionalFormatting>
  <conditionalFormatting sqref="C82">
    <cfRule type="cellIs" priority="12" dxfId="132" operator="notBetween">
      <formula>0.5</formula>
      <formula>-0.5</formula>
    </cfRule>
  </conditionalFormatting>
  <conditionalFormatting sqref="D82">
    <cfRule type="cellIs" priority="11" dxfId="132" operator="notBetween">
      <formula>0.5</formula>
      <formula>-0.5</formula>
    </cfRule>
  </conditionalFormatting>
  <conditionalFormatting sqref="E82">
    <cfRule type="cellIs" priority="10" dxfId="132" operator="notBetween">
      <formula>0.5</formula>
      <formula>-0.5</formula>
    </cfRule>
  </conditionalFormatting>
  <conditionalFormatting sqref="F82:I82">
    <cfRule type="cellIs" priority="9" dxfId="132" operator="notBetween">
      <formula>0.5</formula>
      <formula>-0.5</formula>
    </cfRule>
  </conditionalFormatting>
  <conditionalFormatting sqref="G138:I138">
    <cfRule type="cellIs" priority="8" dxfId="132" operator="notBetween">
      <formula>0.5</formula>
      <formula>-0.5</formula>
    </cfRule>
  </conditionalFormatting>
  <conditionalFormatting sqref="C138">
    <cfRule type="cellIs" priority="7" dxfId="132" operator="notBetween">
      <formula>0.5</formula>
      <formula>-0.5</formula>
    </cfRule>
  </conditionalFormatting>
  <conditionalFormatting sqref="D138">
    <cfRule type="cellIs" priority="6" dxfId="132" operator="notBetween">
      <formula>0.5</formula>
      <formula>-0.5</formula>
    </cfRule>
  </conditionalFormatting>
  <conditionalFormatting sqref="E138">
    <cfRule type="cellIs" priority="5" dxfId="132" operator="notBetween">
      <formula>0.5</formula>
      <formula>-0.5</formula>
    </cfRule>
  </conditionalFormatting>
  <conditionalFormatting sqref="F138:I138">
    <cfRule type="cellIs" priority="4" dxfId="132" operator="notBetween">
      <formula>0.5</formula>
      <formula>-0.5</formula>
    </cfRule>
  </conditionalFormatting>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9" width="12.28125" style="3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200.88199999999998</v>
      </c>
      <c r="C8" s="41">
        <v>187.75100000000003</v>
      </c>
      <c r="D8" s="41">
        <v>186.068</v>
      </c>
      <c r="E8" s="42">
        <v>194.73200000000008</v>
      </c>
      <c r="F8" s="50">
        <v>212.54699999999997</v>
      </c>
      <c r="G8" s="50">
        <v>229.45900000000006</v>
      </c>
      <c r="H8" s="50">
        <v>209.98399999999998</v>
      </c>
      <c r="I8" s="50">
        <v>193.77900000000008</v>
      </c>
    </row>
    <row r="9" spans="1:9" ht="15">
      <c r="A9" s="43" t="str">
        <f>HLOOKUP(INDICE!$F$2,Nombres!$C$3:$D$636,34,FALSE)</f>
        <v>Comisiones netas</v>
      </c>
      <c r="B9" s="44">
        <v>21.442577090000007</v>
      </c>
      <c r="C9" s="44">
        <v>21.786242820000002</v>
      </c>
      <c r="D9" s="44">
        <v>19.6519719</v>
      </c>
      <c r="E9" s="45">
        <v>19.83739961000001</v>
      </c>
      <c r="F9" s="44">
        <v>25.100369359999995</v>
      </c>
      <c r="G9" s="44">
        <v>26.831253300000007</v>
      </c>
      <c r="H9" s="44">
        <v>26.33378805</v>
      </c>
      <c r="I9" s="44">
        <v>22.687322599999987</v>
      </c>
    </row>
    <row r="10" spans="1:9" ht="15">
      <c r="A10" s="43" t="str">
        <f>HLOOKUP(INDICE!$F$2,Nombres!$C$3:$D$636,35,FALSE)</f>
        <v>Resultados de operaciones financieras</v>
      </c>
      <c r="B10" s="44">
        <v>7.323841200000001</v>
      </c>
      <c r="C10" s="44">
        <v>21.407726229999998</v>
      </c>
      <c r="D10" s="44">
        <v>18.564150070000004</v>
      </c>
      <c r="E10" s="45">
        <v>23.17207716</v>
      </c>
      <c r="F10" s="44">
        <v>24.080761770000002</v>
      </c>
      <c r="G10" s="44">
        <v>27.28842504999998</v>
      </c>
      <c r="H10" s="44">
        <v>28.27491731999998</v>
      </c>
      <c r="I10" s="44">
        <v>23.58645037000004</v>
      </c>
    </row>
    <row r="11" spans="1:9" ht="15">
      <c r="A11" s="43" t="str">
        <f>HLOOKUP(INDICE!$F$2,Nombres!$C$3:$D$636,36,FALSE)</f>
        <v>Otros ingresos y cargas de explotación</v>
      </c>
      <c r="B11" s="44">
        <v>-4.484</v>
      </c>
      <c r="C11" s="44">
        <v>-9.119</v>
      </c>
      <c r="D11" s="44">
        <v>-9.748999999999999</v>
      </c>
      <c r="E11" s="45">
        <v>-8.159000000000017</v>
      </c>
      <c r="F11" s="44">
        <v>-3.629000000000004</v>
      </c>
      <c r="G11" s="44">
        <v>-4.538999999999997</v>
      </c>
      <c r="H11" s="44">
        <v>-9.156999999999996</v>
      </c>
      <c r="I11" s="44">
        <v>-13.725999999999999</v>
      </c>
    </row>
    <row r="12" spans="1:9" ht="15">
      <c r="A12" s="41" t="str">
        <f>HLOOKUP(INDICE!$F$2,Nombres!$C$3:$D$636,37,FALSE)</f>
        <v>Margen bruto</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279.0396783500001</v>
      </c>
      <c r="H12" s="50">
        <f t="shared" si="0"/>
        <v>255.43570537</v>
      </c>
      <c r="I12" s="50">
        <f t="shared" si="0"/>
        <v>226.32677297000012</v>
      </c>
    </row>
    <row r="13" spans="1:9" ht="15">
      <c r="A13" s="43" t="str">
        <f>HLOOKUP(INDICE!$F$2,Nombres!$C$3:$D$636,38,FALSE)</f>
        <v>Gastos de explotación</v>
      </c>
      <c r="B13" s="44">
        <v>-82.39568934000002</v>
      </c>
      <c r="C13" s="44">
        <v>-79.25102936</v>
      </c>
      <c r="D13" s="44">
        <v>-82.50551233</v>
      </c>
      <c r="E13" s="45">
        <v>-85.82463134000001</v>
      </c>
      <c r="F13" s="44">
        <v>-88.63072147999999</v>
      </c>
      <c r="G13" s="44">
        <v>-98.69991742</v>
      </c>
      <c r="H13" s="44">
        <v>-102.64975664999999</v>
      </c>
      <c r="I13" s="44">
        <v>-123.77646802999999</v>
      </c>
    </row>
    <row r="14" spans="1:9" ht="15">
      <c r="A14" s="43" t="str">
        <f>HLOOKUP(INDICE!$F$2,Nombres!$C$3:$D$636,39,FALSE)</f>
        <v>  Gastos de administración</v>
      </c>
      <c r="B14" s="44">
        <v>-75.29368934000001</v>
      </c>
      <c r="C14" s="44">
        <v>-72.44402936</v>
      </c>
      <c r="D14" s="44">
        <v>-75.91251233</v>
      </c>
      <c r="E14" s="45">
        <v>-79.05763134</v>
      </c>
      <c r="F14" s="44">
        <v>-81.40872148</v>
      </c>
      <c r="G14" s="44">
        <v>-91.13491742000002</v>
      </c>
      <c r="H14" s="44">
        <v>-95.46175664999998</v>
      </c>
      <c r="I14" s="44">
        <v>-117.02546803</v>
      </c>
    </row>
    <row r="15" spans="1:9" ht="15">
      <c r="A15" s="46" t="str">
        <f>HLOOKUP(INDICE!$F$2,Nombres!$C$3:$D$636,40,FALSE)</f>
        <v>  Gastos de personal</v>
      </c>
      <c r="B15" s="44">
        <v>-37.051</v>
      </c>
      <c r="C15" s="44">
        <v>-34.51000001</v>
      </c>
      <c r="D15" s="44">
        <v>-37.00099999</v>
      </c>
      <c r="E15" s="45">
        <v>-35.537</v>
      </c>
      <c r="F15" s="44">
        <v>-41.048</v>
      </c>
      <c r="G15" s="44">
        <v>-45.84</v>
      </c>
      <c r="H15" s="44">
        <v>-44.34999999</v>
      </c>
      <c r="I15" s="44">
        <v>-60.28000001</v>
      </c>
    </row>
    <row r="16" spans="1:9" ht="15">
      <c r="A16" s="46" t="str">
        <f>HLOOKUP(INDICE!$F$2,Nombres!$C$3:$D$636,41,FALSE)</f>
        <v>  Otros gastos de administración</v>
      </c>
      <c r="B16" s="44">
        <v>-38.24268934</v>
      </c>
      <c r="C16" s="44">
        <v>-37.93402935</v>
      </c>
      <c r="D16" s="44">
        <v>-38.91151234</v>
      </c>
      <c r="E16" s="45">
        <v>-43.52063134000001</v>
      </c>
      <c r="F16" s="44">
        <v>-40.36072148</v>
      </c>
      <c r="G16" s="44">
        <v>-45.294917420000004</v>
      </c>
      <c r="H16" s="44">
        <v>-51.11175665999998</v>
      </c>
      <c r="I16" s="44">
        <v>-56.74546801999999</v>
      </c>
    </row>
    <row r="17" spans="1:9" ht="15">
      <c r="A17" s="43" t="str">
        <f>HLOOKUP(INDICE!$F$2,Nombres!$C$3:$D$636,42,FALSE)</f>
        <v>  Amortización</v>
      </c>
      <c r="B17" s="44">
        <v>-7.102</v>
      </c>
      <c r="C17" s="44">
        <v>-6.807</v>
      </c>
      <c r="D17" s="44">
        <v>-6.593</v>
      </c>
      <c r="E17" s="45">
        <v>-6.767</v>
      </c>
      <c r="F17" s="44">
        <v>-7.2219999999999995</v>
      </c>
      <c r="G17" s="44">
        <v>-7.565</v>
      </c>
      <c r="H17" s="44">
        <v>-7.188000000000001</v>
      </c>
      <c r="I17" s="44">
        <v>-6.750999999999998</v>
      </c>
    </row>
    <row r="18" spans="1:9" ht="15">
      <c r="A18" s="41" t="str">
        <f>HLOOKUP(INDICE!$F$2,Nombres!$C$3:$D$636,43,FALSE)</f>
        <v>Margen neto</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180.33976093000007</v>
      </c>
      <c r="H18" s="50">
        <f t="shared" si="1"/>
        <v>152.78594872000002</v>
      </c>
      <c r="I18" s="50">
        <f t="shared" si="1"/>
        <v>102.55030494000013</v>
      </c>
    </row>
    <row r="19" spans="1:9" ht="15">
      <c r="A19" s="43" t="str">
        <f>HLOOKUP(INDICE!$F$2,Nombres!$C$3:$D$636,44,FALSE)</f>
        <v>Deterioro de activos financieros no valorados a valor razonable con cambios en resultados</v>
      </c>
      <c r="B19" s="44">
        <v>-68.209</v>
      </c>
      <c r="C19" s="44">
        <v>-66.84700000000001</v>
      </c>
      <c r="D19" s="44">
        <v>-49.621</v>
      </c>
      <c r="E19" s="45">
        <v>-41.258999999999986</v>
      </c>
      <c r="F19" s="44">
        <v>-55.44199999999999</v>
      </c>
      <c r="G19" s="44">
        <v>-54.81700000000001</v>
      </c>
      <c r="H19" s="44">
        <v>-55.49100000000002</v>
      </c>
      <c r="I19" s="44">
        <v>-62.056999999999995</v>
      </c>
    </row>
    <row r="20" spans="1:9" ht="15">
      <c r="A20" s="43" t="str">
        <f>HLOOKUP(INDICE!$F$2,Nombres!$C$3:$D$636,45,FALSE)</f>
        <v>Provisiones o reversión de provisiones y otros resultados</v>
      </c>
      <c r="B20" s="44">
        <v>-7.4769999999999985</v>
      </c>
      <c r="C20" s="44">
        <v>3.812</v>
      </c>
      <c r="D20" s="44">
        <v>2.474</v>
      </c>
      <c r="E20" s="45">
        <v>-3.8530000000000006</v>
      </c>
      <c r="F20" s="44">
        <v>-1.6279999999999997</v>
      </c>
      <c r="G20" s="44">
        <v>-3.370000000000001</v>
      </c>
      <c r="H20" s="44">
        <v>-5.473000000000001</v>
      </c>
      <c r="I20" s="44">
        <v>3.0569999999999986</v>
      </c>
    </row>
    <row r="21" spans="1:9" ht="15">
      <c r="A21" s="41" t="str">
        <f>HLOOKUP(INDICE!$F$2,Nombres!$C$3:$D$636,46,FALSE)</f>
        <v>Resultado antes de impuestos</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122.15276093000006</v>
      </c>
      <c r="H21" s="50">
        <f t="shared" si="2"/>
        <v>91.82194872000001</v>
      </c>
      <c r="I21" s="50">
        <f t="shared" si="2"/>
        <v>43.55030494000013</v>
      </c>
    </row>
    <row r="22" spans="1:9" ht="15">
      <c r="A22" s="43" t="str">
        <f>HLOOKUP(INDICE!$F$2,Nombres!$C$3:$D$636,47,FALSE)</f>
        <v>Impuesto sobre beneficios</v>
      </c>
      <c r="B22" s="44">
        <v>-18.26494178</v>
      </c>
      <c r="C22" s="44">
        <v>-20.94797282</v>
      </c>
      <c r="D22" s="44">
        <v>-30.519016289999996</v>
      </c>
      <c r="E22" s="45">
        <v>-28.29888186000001</v>
      </c>
      <c r="F22" s="44">
        <v>-40.56970269</v>
      </c>
      <c r="G22" s="44">
        <v>-40.13303441</v>
      </c>
      <c r="H22" s="44">
        <v>-32.08847906</v>
      </c>
      <c r="I22" s="44">
        <v>-13.004536770000007</v>
      </c>
    </row>
    <row r="23" spans="1:9" ht="15">
      <c r="A23" s="41" t="str">
        <f>HLOOKUP(INDICE!$F$2,Nombres!$C$3:$D$636,48,FALSE)</f>
        <v>Resultado del ejercicio</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82.01972652000006</v>
      </c>
      <c r="H23" s="50">
        <f t="shared" si="3"/>
        <v>59.73346966000001</v>
      </c>
      <c r="I23" s="50">
        <f t="shared" si="3"/>
        <v>30.545768170000123</v>
      </c>
    </row>
    <row r="24" spans="1:9" ht="15">
      <c r="A24" s="43" t="str">
        <f>HLOOKUP(INDICE!$F$2,Nombres!$C$3:$D$636,49,FALSE)</f>
        <v>Minoritarios</v>
      </c>
      <c r="B24" s="44">
        <v>-1.9025127199999998</v>
      </c>
      <c r="C24" s="44">
        <v>-2.2688781899999997</v>
      </c>
      <c r="D24" s="44">
        <v>-2.0351615499999998</v>
      </c>
      <c r="E24" s="45">
        <v>-2.7948472599999996</v>
      </c>
      <c r="F24" s="44">
        <v>-2.6336704399999995</v>
      </c>
      <c r="G24" s="44">
        <v>-2.46849901</v>
      </c>
      <c r="H24" s="44">
        <v>-1.7643560000000005</v>
      </c>
      <c r="I24" s="44">
        <v>0.6529529999999991</v>
      </c>
    </row>
    <row r="25" spans="1:9" ht="15">
      <c r="A25" s="47" t="str">
        <f>HLOOKUP(INDICE!$F$2,Nombres!$C$3:$D$636,50,FALSE)</f>
        <v>Resultado atribuido</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79.55122751000006</v>
      </c>
      <c r="H25" s="51">
        <f t="shared" si="4"/>
        <v>57.96911366000001</v>
      </c>
      <c r="I25" s="51">
        <f t="shared" si="4"/>
        <v>31.198721170000123</v>
      </c>
    </row>
    <row r="26" spans="1:9" ht="15">
      <c r="A26" s="62"/>
      <c r="B26" s="63">
        <v>0</v>
      </c>
      <c r="C26" s="63">
        <v>0</v>
      </c>
      <c r="D26" s="63">
        <v>5.684341886080802E-14</v>
      </c>
      <c r="E26" s="63">
        <v>0</v>
      </c>
      <c r="F26" s="63">
        <v>0</v>
      </c>
      <c r="G26" s="63">
        <v>0</v>
      </c>
      <c r="H26" s="63">
        <v>0</v>
      </c>
      <c r="I26" s="63">
        <v>-3.907985046680551E-14</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850.8539999999999</v>
      </c>
      <c r="C31" s="44">
        <v>1637.203</v>
      </c>
      <c r="D31" s="44">
        <v>1604.7279999999998</v>
      </c>
      <c r="E31" s="45">
        <v>2291.037</v>
      </c>
      <c r="F31" s="44">
        <v>1954.2510000000002</v>
      </c>
      <c r="G31" s="44">
        <v>2289.665</v>
      </c>
      <c r="H31" s="44">
        <v>2473.2560000000003</v>
      </c>
      <c r="I31" s="44">
        <v>1860.75</v>
      </c>
    </row>
    <row r="32" spans="1:9" ht="15">
      <c r="A32" s="43" t="str">
        <f>HLOOKUP(INDICE!$F$2,Nombres!$C$3:$D$636,53,FALSE)</f>
        <v>Activos financieros a valor razonable</v>
      </c>
      <c r="B32" s="58">
        <v>2339.992</v>
      </c>
      <c r="C32" s="58">
        <v>1797.245</v>
      </c>
      <c r="D32" s="58">
        <v>1874.4669999999996</v>
      </c>
      <c r="E32" s="64">
        <v>2070.1910000000007</v>
      </c>
      <c r="F32" s="44">
        <v>2833.606</v>
      </c>
      <c r="G32" s="44">
        <v>3459.0099999999998</v>
      </c>
      <c r="H32" s="44">
        <v>3412.79</v>
      </c>
      <c r="I32" s="44">
        <v>3106.6140000000005</v>
      </c>
    </row>
    <row r="33" spans="1:9" ht="15">
      <c r="A33" s="43" t="str">
        <f>HLOOKUP(INDICE!$F$2,Nombres!$C$3:$D$636,54,FALSE)</f>
        <v>Activos financieros a coste amortizado</v>
      </c>
      <c r="B33" s="44">
        <v>12129.947000000002</v>
      </c>
      <c r="C33" s="44">
        <v>12130.293</v>
      </c>
      <c r="D33" s="44">
        <v>12569.425</v>
      </c>
      <c r="E33" s="45">
        <v>13134.494000000002</v>
      </c>
      <c r="F33" s="44">
        <v>14983.569999999998</v>
      </c>
      <c r="G33" s="44">
        <v>15759.891999999998</v>
      </c>
      <c r="H33" s="44">
        <v>15630.280000000002</v>
      </c>
      <c r="I33" s="44">
        <v>14208.483</v>
      </c>
    </row>
    <row r="34" spans="1:9" ht="15">
      <c r="A34" s="43" t="str">
        <f>HLOOKUP(INDICE!$F$2,Nombres!$C$3:$D$636,55,FALSE)</f>
        <v>    de los que préstamos y anticipos a la clientela</v>
      </c>
      <c r="B34" s="44">
        <v>11305.914999999997</v>
      </c>
      <c r="C34" s="44">
        <v>11350.898000000003</v>
      </c>
      <c r="D34" s="44">
        <v>11754.867000000002</v>
      </c>
      <c r="E34" s="45">
        <v>12328.554999999998</v>
      </c>
      <c r="F34" s="44">
        <v>14033.595</v>
      </c>
      <c r="G34" s="44">
        <v>14554.254</v>
      </c>
      <c r="H34" s="44">
        <v>14626.701</v>
      </c>
      <c r="I34" s="44">
        <v>13265.969999999998</v>
      </c>
    </row>
    <row r="35" spans="1:9" ht="15" customHeight="1" hidden="1">
      <c r="A35" s="43"/>
      <c r="B35" s="44"/>
      <c r="C35" s="44"/>
      <c r="D35" s="44"/>
      <c r="E35" s="45"/>
      <c r="F35" s="44"/>
      <c r="G35" s="44"/>
      <c r="H35" s="44"/>
      <c r="I35" s="44"/>
    </row>
    <row r="36" spans="1:9" ht="15">
      <c r="A36" s="43" t="str">
        <f>HLOOKUP(INDICE!$F$2,Nombres!$C$3:$D$636,56,FALSE)</f>
        <v>Activos tangibles</v>
      </c>
      <c r="B36" s="44">
        <v>106.25500000000001</v>
      </c>
      <c r="C36" s="44">
        <v>101.18100000000003</v>
      </c>
      <c r="D36" s="44">
        <v>100.869</v>
      </c>
      <c r="E36" s="45">
        <v>99.553</v>
      </c>
      <c r="F36" s="44">
        <v>105.84</v>
      </c>
      <c r="G36" s="44">
        <v>101.583</v>
      </c>
      <c r="H36" s="44">
        <v>98.19400000000002</v>
      </c>
      <c r="I36" s="44">
        <v>85.297</v>
      </c>
    </row>
    <row r="37" spans="1:9" ht="15">
      <c r="A37" s="43" t="str">
        <f>HLOOKUP(INDICE!$F$2,Nombres!$C$3:$D$636,57,FALSE)</f>
        <v>Otros activos</v>
      </c>
      <c r="B37" s="58">
        <f>+B38-B36-B33-B32-B31</f>
        <v>665.5359999999995</v>
      </c>
      <c r="C37" s="58">
        <f aca="true" t="shared" si="5" ref="C37:I37">+C38-C36-C33-C32-C31</f>
        <v>725.4700020199984</v>
      </c>
      <c r="D37" s="58">
        <f t="shared" si="5"/>
        <v>716.0520000000035</v>
      </c>
      <c r="E37" s="64">
        <f t="shared" si="5"/>
        <v>614.4509999999959</v>
      </c>
      <c r="F37" s="44">
        <f t="shared" si="5"/>
        <v>638.2563698599965</v>
      </c>
      <c r="G37" s="44">
        <f t="shared" si="5"/>
        <v>686.4183542299957</v>
      </c>
      <c r="H37" s="44">
        <f t="shared" si="5"/>
        <v>711.1058793799984</v>
      </c>
      <c r="I37" s="44">
        <f t="shared" si="5"/>
        <v>613.7581230299993</v>
      </c>
    </row>
    <row r="38" spans="1:9" ht="15">
      <c r="A38" s="47" t="str">
        <f>HLOOKUP(INDICE!$F$2,Nombres!$C$3:$D$636,58,FALSE)</f>
        <v>Total activo / pasivo</v>
      </c>
      <c r="B38" s="47">
        <v>16092.584</v>
      </c>
      <c r="C38" s="47">
        <v>16391.39200202</v>
      </c>
      <c r="D38" s="47">
        <v>16865.541</v>
      </c>
      <c r="E38" s="47">
        <v>18209.726</v>
      </c>
      <c r="F38" s="51">
        <v>20515.523369859995</v>
      </c>
      <c r="G38" s="51">
        <v>22296.568354229992</v>
      </c>
      <c r="H38" s="51">
        <v>22325.62587938</v>
      </c>
      <c r="I38" s="51">
        <v>19874.90212303</v>
      </c>
    </row>
    <row r="39" spans="1:9" ht="15">
      <c r="A39" s="43" t="str">
        <f>HLOOKUP(INDICE!$F$2,Nombres!$C$3:$D$636,59,FALSE)</f>
        <v>Pasivos financieros mantenidos para negociar y designados a valor razonable con cambios en resultados</v>
      </c>
      <c r="B39" s="58">
        <v>953.83</v>
      </c>
      <c r="C39" s="58">
        <v>801.3800000000001</v>
      </c>
      <c r="D39" s="58">
        <v>1070.816</v>
      </c>
      <c r="E39" s="64">
        <v>1526.2820000000002</v>
      </c>
      <c r="F39" s="44">
        <v>2159.98</v>
      </c>
      <c r="G39" s="44">
        <v>2693.205</v>
      </c>
      <c r="H39" s="44">
        <v>3097.04</v>
      </c>
      <c r="I39" s="44">
        <v>2434.834</v>
      </c>
    </row>
    <row r="40" spans="1:9" ht="15.75" customHeight="1">
      <c r="A40" s="43" t="str">
        <f>HLOOKUP(INDICE!$F$2,Nombres!$C$3:$D$636,60,FALSE)</f>
        <v>Depósitos de bancos centrales y entidades de crédito</v>
      </c>
      <c r="B40" s="58">
        <v>395.64700000999994</v>
      </c>
      <c r="C40" s="58">
        <v>439.034</v>
      </c>
      <c r="D40" s="58">
        <v>509.10799998999994</v>
      </c>
      <c r="E40" s="64">
        <v>707.2239999999999</v>
      </c>
      <c r="F40" s="44">
        <v>1515.10800001</v>
      </c>
      <c r="G40" s="44">
        <v>866.4019999899999</v>
      </c>
      <c r="H40" s="44">
        <v>1194.093</v>
      </c>
      <c r="I40" s="44">
        <v>1320.184</v>
      </c>
    </row>
    <row r="41" spans="1:9" ht="15">
      <c r="A41" s="43" t="str">
        <f>HLOOKUP(INDICE!$F$2,Nombres!$C$3:$D$636,61,FALSE)</f>
        <v>Depósitos de la clientela</v>
      </c>
      <c r="B41" s="58">
        <v>11750.15199999</v>
      </c>
      <c r="C41" s="58">
        <v>12172.918</v>
      </c>
      <c r="D41" s="58">
        <v>12192.843000009998</v>
      </c>
      <c r="E41" s="64">
        <v>12808.773000000001</v>
      </c>
      <c r="F41" s="44">
        <v>13447.496999990002</v>
      </c>
      <c r="G41" s="44">
        <v>15291.701000009998</v>
      </c>
      <c r="H41" s="44">
        <v>14512.007999999998</v>
      </c>
      <c r="I41" s="44">
        <v>13051.841</v>
      </c>
    </row>
    <row r="42" spans="1:9" ht="15">
      <c r="A42" s="43" t="str">
        <f>HLOOKUP(INDICE!$F$2,Nombres!$C$3:$D$636,62,FALSE)</f>
        <v>Valores representativos de deuda emitidos</v>
      </c>
      <c r="B42" s="44">
        <v>786.25855903</v>
      </c>
      <c r="C42" s="44">
        <v>781.3103575099999</v>
      </c>
      <c r="D42" s="44">
        <v>812.9652056699999</v>
      </c>
      <c r="E42" s="45">
        <v>825.57491559</v>
      </c>
      <c r="F42" s="44">
        <v>878.09216156</v>
      </c>
      <c r="G42" s="44">
        <v>926.68810403</v>
      </c>
      <c r="H42" s="44">
        <v>967.88829056</v>
      </c>
      <c r="I42" s="44">
        <v>871.12451771</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725.877412850002</v>
      </c>
      <c r="C44" s="58">
        <f aca="true" t="shared" si="6" ref="C44:I44">+C38-C39-C40-C41-C42-C45</f>
        <v>740.6406283899983</v>
      </c>
      <c r="D44" s="58">
        <f t="shared" si="6"/>
        <v>768.2748206700035</v>
      </c>
      <c r="E44" s="64">
        <f t="shared" si="6"/>
        <v>732.391322399998</v>
      </c>
      <c r="F44" s="44">
        <f t="shared" si="6"/>
        <v>691.0029178499922</v>
      </c>
      <c r="G44" s="44">
        <f t="shared" si="6"/>
        <v>507.77871122999454</v>
      </c>
      <c r="H44" s="44">
        <f t="shared" si="6"/>
        <v>524.1015022400011</v>
      </c>
      <c r="I44" s="44">
        <f t="shared" si="6"/>
        <v>356.5187739400003</v>
      </c>
    </row>
    <row r="45" spans="1:9" ht="15">
      <c r="A45" s="43" t="str">
        <f>HLOOKUP(INDICE!$F$2,Nombres!$C$3:$D$636,282,FALSE)</f>
        <v>Dotación de capital regulatorio</v>
      </c>
      <c r="B45" s="58">
        <v>1480.8190281199998</v>
      </c>
      <c r="C45" s="58">
        <v>1456.10901612</v>
      </c>
      <c r="D45" s="58">
        <v>1511.53397366</v>
      </c>
      <c r="E45" s="64">
        <v>1609.48076201</v>
      </c>
      <c r="F45" s="44">
        <v>1823.84329045</v>
      </c>
      <c r="G45" s="44">
        <v>2010.7935389700003</v>
      </c>
      <c r="H45" s="44">
        <v>2030.4950865800001</v>
      </c>
      <c r="I45" s="44">
        <v>1840.3998313799998</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12034.93293952</v>
      </c>
      <c r="C51" s="44">
        <v>12079.247994190002</v>
      </c>
      <c r="D51" s="44">
        <v>12484.517301830001</v>
      </c>
      <c r="E51" s="45">
        <v>13030.622690890003</v>
      </c>
      <c r="F51" s="44">
        <v>14793.28574614</v>
      </c>
      <c r="G51" s="44">
        <v>15287.00888123</v>
      </c>
      <c r="H51" s="44">
        <v>15341.23810557</v>
      </c>
      <c r="I51" s="44">
        <v>13892.12711996</v>
      </c>
    </row>
    <row r="52" spans="1:9" ht="15">
      <c r="A52" s="43" t="str">
        <f>HLOOKUP(INDICE!$F$2,Nombres!$C$3:$D$636,67,FALSE)</f>
        <v>Depósitos de clientes en gestión (**)</v>
      </c>
      <c r="B52" s="44">
        <v>11749.840563439999</v>
      </c>
      <c r="C52" s="44">
        <v>12156.89869217</v>
      </c>
      <c r="D52" s="44">
        <v>12170.919346829998</v>
      </c>
      <c r="E52" s="45">
        <v>12813.57684951</v>
      </c>
      <c r="F52" s="44">
        <v>13454.03386858</v>
      </c>
      <c r="G52" s="44">
        <v>15291.150695029997</v>
      </c>
      <c r="H52" s="44">
        <v>14522.02052336</v>
      </c>
      <c r="I52" s="44">
        <v>13061.399960910001</v>
      </c>
    </row>
    <row r="53" spans="1:9" ht="15">
      <c r="A53" s="43" t="str">
        <f>HLOOKUP(INDICE!$F$2,Nombres!$C$3:$D$636,68,FALSE)</f>
        <v>Fondos de inversión y carteras gestionadas</v>
      </c>
      <c r="B53" s="44">
        <v>1418.3319806199997</v>
      </c>
      <c r="C53" s="44">
        <v>1290.78533828</v>
      </c>
      <c r="D53" s="44">
        <v>1362.3609899699998</v>
      </c>
      <c r="E53" s="45">
        <v>2375.4923008199994</v>
      </c>
      <c r="F53" s="44">
        <v>2572.59723742</v>
      </c>
      <c r="G53" s="44">
        <v>2309.0974927700004</v>
      </c>
      <c r="H53" s="44">
        <v>2286.90941909</v>
      </c>
      <c r="I53" s="44">
        <v>2045.6128869899999</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192.57075407588695</v>
      </c>
      <c r="C64" s="41">
        <v>187.292702616681</v>
      </c>
      <c r="D64" s="41">
        <v>189.09776453359433</v>
      </c>
      <c r="E64" s="42">
        <v>193.28931755606618</v>
      </c>
      <c r="F64" s="50">
        <v>208.74947669950885</v>
      </c>
      <c r="G64" s="50">
        <v>214.66030096704804</v>
      </c>
      <c r="H64" s="50">
        <v>207.35952316764156</v>
      </c>
      <c r="I64" s="50">
        <v>214.99969916580153</v>
      </c>
    </row>
    <row r="65" spans="1:9" ht="15">
      <c r="A65" s="43" t="str">
        <f>HLOOKUP(INDICE!$F$2,Nombres!$C$3:$D$636,34,FALSE)</f>
        <v>Comisiones netas</v>
      </c>
      <c r="B65" s="44">
        <v>20.55541680962774</v>
      </c>
      <c r="C65" s="44">
        <v>21.697940367331267</v>
      </c>
      <c r="D65" s="44">
        <v>19.99941791806547</v>
      </c>
      <c r="E65" s="45">
        <v>19.693263061626613</v>
      </c>
      <c r="F65" s="44">
        <v>24.651907431600474</v>
      </c>
      <c r="G65" s="44">
        <v>25.094830857775996</v>
      </c>
      <c r="H65" s="44">
        <v>25.971322406413492</v>
      </c>
      <c r="I65" s="44">
        <v>25.234672614210034</v>
      </c>
    </row>
    <row r="66" spans="1:9" ht="15">
      <c r="A66" s="43" t="str">
        <f>HLOOKUP(INDICE!$F$2,Nombres!$C$3:$D$636,35,FALSE)</f>
        <v>Resultados de operaciones financieras</v>
      </c>
      <c r="B66" s="44">
        <v>7.020826269232927</v>
      </c>
      <c r="C66" s="44">
        <v>21.062410409472697</v>
      </c>
      <c r="D66" s="44">
        <v>18.740118748842917</v>
      </c>
      <c r="E66" s="45">
        <v>22.98664030486797</v>
      </c>
      <c r="F66" s="44">
        <v>23.650516911615032</v>
      </c>
      <c r="G66" s="44">
        <v>25.55744852407596</v>
      </c>
      <c r="H66" s="44">
        <v>27.843915550142967</v>
      </c>
      <c r="I66" s="44">
        <v>26.17867352416606</v>
      </c>
    </row>
    <row r="67" spans="1:9" ht="15">
      <c r="A67" s="43" t="str">
        <f>HLOOKUP(INDICE!$F$2,Nombres!$C$3:$D$636,36,FALSE)</f>
        <v>Otros ingresos y cargas de explotación</v>
      </c>
      <c r="B67" s="44">
        <v>-4.298480009539315</v>
      </c>
      <c r="C67" s="44">
        <v>-8.99756690718932</v>
      </c>
      <c r="D67" s="44">
        <v>-9.822726911876748</v>
      </c>
      <c r="E67" s="45">
        <v>-8.098079006621097</v>
      </c>
      <c r="F67" s="44">
        <v>-3.5641615781098746</v>
      </c>
      <c r="G67" s="44">
        <v>-4.260191629720875</v>
      </c>
      <c r="H67" s="44">
        <v>-8.936759902726914</v>
      </c>
      <c r="I67" s="44">
        <v>-14.289886889442336</v>
      </c>
    </row>
    <row r="68" spans="1:9" ht="15">
      <c r="A68" s="41" t="str">
        <f>HLOOKUP(INDICE!$F$2,Nombres!$C$3:$D$636,37,FALSE)</f>
        <v>Margen bruto</v>
      </c>
      <c r="B68" s="41">
        <f>+SUM(B64:B67)</f>
        <v>215.84851714520832</v>
      </c>
      <c r="C68" s="41">
        <f aca="true" t="shared" si="9" ref="C68:I68">+SUM(C64:C67)</f>
        <v>221.05548648629565</v>
      </c>
      <c r="D68" s="41">
        <f t="shared" si="9"/>
        <v>218.01457428862597</v>
      </c>
      <c r="E68" s="42">
        <f t="shared" si="9"/>
        <v>227.87114191593966</v>
      </c>
      <c r="F68" s="50">
        <f t="shared" si="9"/>
        <v>253.4877394646145</v>
      </c>
      <c r="G68" s="50">
        <f t="shared" si="9"/>
        <v>261.05238871917913</v>
      </c>
      <c r="H68" s="50">
        <f t="shared" si="9"/>
        <v>252.2380012214711</v>
      </c>
      <c r="I68" s="50">
        <f t="shared" si="9"/>
        <v>252.1231584147353</v>
      </c>
    </row>
    <row r="69" spans="1:9" ht="15">
      <c r="A69" s="43" t="str">
        <f>HLOOKUP(INDICE!$F$2,Nombres!$C$3:$D$636,38,FALSE)</f>
        <v>Gastos de explotación</v>
      </c>
      <c r="B69" s="44">
        <v>-78.98666893403254</v>
      </c>
      <c r="C69" s="44">
        <v>-79.0124750614418</v>
      </c>
      <c r="D69" s="44">
        <v>-83.71463679126683</v>
      </c>
      <c r="E69" s="45">
        <v>-85.18283155923541</v>
      </c>
      <c r="F69" s="44">
        <v>-87.04717887549539</v>
      </c>
      <c r="G69" s="44">
        <v>-92.40202354886776</v>
      </c>
      <c r="H69" s="44">
        <v>-101.09303189931947</v>
      </c>
      <c r="I69" s="44">
        <v>-133.21462925631735</v>
      </c>
    </row>
    <row r="70" spans="1:9" ht="15">
      <c r="A70" s="43" t="str">
        <f>HLOOKUP(INDICE!$F$2,Nombres!$C$3:$D$636,39,FALSE)</f>
        <v>  Gastos de administración</v>
      </c>
      <c r="B70" s="44">
        <v>-72.17850545772828</v>
      </c>
      <c r="C70" s="44">
        <v>-72.22549654224662</v>
      </c>
      <c r="D70" s="44">
        <v>-77.01254081853793</v>
      </c>
      <c r="E70" s="45">
        <v>-78.46561870191739</v>
      </c>
      <c r="F70" s="44">
        <v>-79.95421251641315</v>
      </c>
      <c r="G70" s="44">
        <v>-85.33011345298021</v>
      </c>
      <c r="H70" s="44">
        <v>-93.99814150843041</v>
      </c>
      <c r="I70" s="44">
        <v>-125.74839610217623</v>
      </c>
    </row>
    <row r="71" spans="1:9" ht="15">
      <c r="A71" s="46" t="str">
        <f>HLOOKUP(INDICE!$F$2,Nombres!$C$3:$D$636,40,FALSE)</f>
        <v>  Gastos de personal</v>
      </c>
      <c r="B71" s="44">
        <v>-35.5180603999646</v>
      </c>
      <c r="C71" s="44">
        <v>-34.428158341561456</v>
      </c>
      <c r="D71" s="44">
        <v>-37.5315272494408</v>
      </c>
      <c r="E71" s="45">
        <v>-35.27612652032439</v>
      </c>
      <c r="F71" s="44">
        <v>-40.3146058027704</v>
      </c>
      <c r="G71" s="44">
        <v>-42.91781358043209</v>
      </c>
      <c r="H71" s="44">
        <v>-43.73410080356548</v>
      </c>
      <c r="I71" s="44">
        <v>-64.55147981323202</v>
      </c>
    </row>
    <row r="72" spans="1:9" ht="15">
      <c r="A72" s="46" t="str">
        <f>HLOOKUP(INDICE!$F$2,Nombres!$C$3:$D$636,41,FALSE)</f>
        <v>  Otros gastos de administración</v>
      </c>
      <c r="B72" s="44">
        <v>-36.66044505776368</v>
      </c>
      <c r="C72" s="44">
        <v>-37.79733820068516</v>
      </c>
      <c r="D72" s="44">
        <v>-39.481013569097136</v>
      </c>
      <c r="E72" s="45">
        <v>-43.18949218159301</v>
      </c>
      <c r="F72" s="44">
        <v>-39.639606713642756</v>
      </c>
      <c r="G72" s="44">
        <v>-42.41229987254812</v>
      </c>
      <c r="H72" s="44">
        <v>-50.26404070486491</v>
      </c>
      <c r="I72" s="44">
        <v>-61.196916288944195</v>
      </c>
    </row>
    <row r="73" spans="1:9" ht="15">
      <c r="A73" s="43" t="str">
        <f>HLOOKUP(INDICE!$F$2,Nombres!$C$3:$D$636,42,FALSE)</f>
        <v>  Amortización</v>
      </c>
      <c r="B73" s="44">
        <v>-6.808163476304245</v>
      </c>
      <c r="C73" s="44">
        <v>-6.7869785191951815</v>
      </c>
      <c r="D73" s="44">
        <v>-6.702095972728887</v>
      </c>
      <c r="E73" s="45">
        <v>-6.717212857318015</v>
      </c>
      <c r="F73" s="44">
        <v>-7.092966359082241</v>
      </c>
      <c r="G73" s="44">
        <v>-7.07191009588755</v>
      </c>
      <c r="H73" s="44">
        <v>-7.094890390889061</v>
      </c>
      <c r="I73" s="44">
        <v>-7.466233154141148</v>
      </c>
    </row>
    <row r="74" spans="1:9" ht="15">
      <c r="A74" s="41" t="str">
        <f>HLOOKUP(INDICE!$F$2,Nombres!$C$3:$D$636,43,FALSE)</f>
        <v>Margen neto</v>
      </c>
      <c r="B74" s="41">
        <f>+B68+B69</f>
        <v>136.86184821117578</v>
      </c>
      <c r="C74" s="41">
        <f aca="true" t="shared" si="10" ref="C74:I74">+C68+C69</f>
        <v>142.04301142485383</v>
      </c>
      <c r="D74" s="41">
        <f t="shared" si="10"/>
        <v>134.29993749735914</v>
      </c>
      <c r="E74" s="42">
        <f t="shared" si="10"/>
        <v>142.68831035670425</v>
      </c>
      <c r="F74" s="50">
        <f t="shared" si="10"/>
        <v>166.44056058911912</v>
      </c>
      <c r="G74" s="50">
        <f t="shared" si="10"/>
        <v>168.65036517031137</v>
      </c>
      <c r="H74" s="50">
        <f t="shared" si="10"/>
        <v>151.14496932215164</v>
      </c>
      <c r="I74" s="50">
        <f t="shared" si="10"/>
        <v>118.90852915841793</v>
      </c>
    </row>
    <row r="75" spans="1:9" ht="15">
      <c r="A75" s="43" t="str">
        <f>HLOOKUP(INDICE!$F$2,Nombres!$C$3:$D$636,44,FALSE)</f>
        <v>Deterioro de activos financieros no valorados a valor razonable con cambios en resultados</v>
      </c>
      <c r="B75" s="44">
        <v>-65.38693643413635</v>
      </c>
      <c r="C75" s="44">
        <v>-66.62151114255289</v>
      </c>
      <c r="D75" s="44">
        <v>-50.82410613799718</v>
      </c>
      <c r="E75" s="45">
        <v>-40.99439123087946</v>
      </c>
      <c r="F75" s="44">
        <v>-54.451431858243936</v>
      </c>
      <c r="G75" s="44">
        <v>-51.16871509844195</v>
      </c>
      <c r="H75" s="44">
        <v>-54.735091027437214</v>
      </c>
      <c r="I75" s="44">
        <v>-67.45176201587694</v>
      </c>
    </row>
    <row r="76" spans="1:9" ht="15">
      <c r="A76" s="43" t="str">
        <f>HLOOKUP(INDICE!$F$2,Nombres!$C$3:$D$636,45,FALSE)</f>
        <v>Provisiones o reversión de provisiones y otros resultados</v>
      </c>
      <c r="B76" s="44">
        <v>-7.167648312070802</v>
      </c>
      <c r="C76" s="44">
        <v>3.585349411107009</v>
      </c>
      <c r="D76" s="44">
        <v>2.403193915100954</v>
      </c>
      <c r="E76" s="45">
        <v>-3.8178105579435253</v>
      </c>
      <c r="F76" s="44">
        <v>-1.5989129372176523</v>
      </c>
      <c r="G76" s="44">
        <v>-3.188809556996118</v>
      </c>
      <c r="H76" s="44">
        <v>-5.342471755751557</v>
      </c>
      <c r="I76" s="44">
        <v>2.7161942499653273</v>
      </c>
    </row>
    <row r="77" spans="1:9" ht="15">
      <c r="A77" s="41" t="str">
        <f>HLOOKUP(INDICE!$F$2,Nombres!$C$3:$D$636,46,FALSE)</f>
        <v>Resultado antes de impuestos</v>
      </c>
      <c r="B77" s="41">
        <f>+B74+B75+B76</f>
        <v>64.30726346496864</v>
      </c>
      <c r="C77" s="41">
        <f aca="true" t="shared" si="11" ref="C77:I77">+C74+C75+C76</f>
        <v>79.00684969340794</v>
      </c>
      <c r="D77" s="41">
        <f t="shared" si="11"/>
        <v>85.87902527446292</v>
      </c>
      <c r="E77" s="42">
        <f t="shared" si="11"/>
        <v>97.87610856788126</v>
      </c>
      <c r="F77" s="50">
        <f t="shared" si="11"/>
        <v>110.39021579365753</v>
      </c>
      <c r="G77" s="50">
        <f t="shared" si="11"/>
        <v>114.2928405148733</v>
      </c>
      <c r="H77" s="50">
        <f t="shared" si="11"/>
        <v>91.06740653896286</v>
      </c>
      <c r="I77" s="50">
        <f t="shared" si="11"/>
        <v>54.17296139250632</v>
      </c>
    </row>
    <row r="78" spans="1:9" ht="15">
      <c r="A78" s="43" t="str">
        <f>HLOOKUP(INDICE!$F$2,Nombres!$C$3:$D$636,47,FALSE)</f>
        <v>Impuesto sobre beneficios</v>
      </c>
      <c r="B78" s="44">
        <v>-17.509252256184098</v>
      </c>
      <c r="C78" s="44">
        <v>-20.818818923943347</v>
      </c>
      <c r="D78" s="44">
        <v>-30.70741780916048</v>
      </c>
      <c r="E78" s="45">
        <v>-28.080231074638718</v>
      </c>
      <c r="F78" s="44">
        <v>-39.84485410940712</v>
      </c>
      <c r="G78" s="44">
        <v>-37.46253079621315</v>
      </c>
      <c r="H78" s="44">
        <v>-31.8127496938094</v>
      </c>
      <c r="I78" s="44">
        <v>-16.675618330570327</v>
      </c>
    </row>
    <row r="79" spans="1:9" ht="15">
      <c r="A79" s="41" t="str">
        <f>HLOOKUP(INDICE!$F$2,Nombres!$C$3:$D$636,48,FALSE)</f>
        <v>Resultado del ejercicio</v>
      </c>
      <c r="B79" s="41">
        <f>+B77+B78</f>
        <v>46.798011208784544</v>
      </c>
      <c r="C79" s="41">
        <f aca="true" t="shared" si="12" ref="C79:I79">+C77+C78</f>
        <v>58.188030769464596</v>
      </c>
      <c r="D79" s="41">
        <f t="shared" si="12"/>
        <v>55.17160746530244</v>
      </c>
      <c r="E79" s="42">
        <f t="shared" si="12"/>
        <v>69.79587749324254</v>
      </c>
      <c r="F79" s="50">
        <f t="shared" si="12"/>
        <v>70.54536168425041</v>
      </c>
      <c r="G79" s="50">
        <f t="shared" si="12"/>
        <v>76.83030971866015</v>
      </c>
      <c r="H79" s="50">
        <f t="shared" si="12"/>
        <v>59.254656845153455</v>
      </c>
      <c r="I79" s="50">
        <f t="shared" si="12"/>
        <v>37.49734306193599</v>
      </c>
    </row>
    <row r="80" spans="1:9" ht="15">
      <c r="A80" s="43" t="str">
        <f>HLOOKUP(INDICE!$F$2,Nombres!$C$3:$D$636,49,FALSE)</f>
        <v>Minoritarios</v>
      </c>
      <c r="B80" s="44">
        <v>-1.8237985938479646</v>
      </c>
      <c r="C80" s="44">
        <v>-2.253464454551314</v>
      </c>
      <c r="D80" s="44">
        <v>-2.0673019814959925</v>
      </c>
      <c r="E80" s="45">
        <v>-2.772808914768138</v>
      </c>
      <c r="F80" s="44">
        <v>-2.586615318724636</v>
      </c>
      <c r="G80" s="44">
        <v>-2.300893974003514</v>
      </c>
      <c r="H80" s="44">
        <v>-1.7555273447306001</v>
      </c>
      <c r="I80" s="44">
        <v>0.4294641874587488</v>
      </c>
    </row>
    <row r="81" spans="1:9" ht="15">
      <c r="A81" s="47" t="str">
        <f>HLOOKUP(INDICE!$F$2,Nombres!$C$3:$D$636,50,FALSE)</f>
        <v>Resultado atribuido</v>
      </c>
      <c r="B81" s="47">
        <f>+B79+B80</f>
        <v>44.974212614936576</v>
      </c>
      <c r="C81" s="47">
        <f aca="true" t="shared" si="13" ref="C81:I81">+C79+C80</f>
        <v>55.93456631491328</v>
      </c>
      <c r="D81" s="47">
        <f t="shared" si="13"/>
        <v>53.10430548380645</v>
      </c>
      <c r="E81" s="47">
        <f t="shared" si="13"/>
        <v>67.02306857847441</v>
      </c>
      <c r="F81" s="51">
        <f t="shared" si="13"/>
        <v>67.95874636552577</v>
      </c>
      <c r="G81" s="51">
        <f t="shared" si="13"/>
        <v>74.52941574465663</v>
      </c>
      <c r="H81" s="51">
        <f t="shared" si="13"/>
        <v>57.49912950042285</v>
      </c>
      <c r="I81" s="51">
        <f t="shared" si="13"/>
        <v>37.92680724939474</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726.6341792651466</v>
      </c>
      <c r="C87" s="44">
        <v>1424.6346658672173</v>
      </c>
      <c r="D87" s="44">
        <v>1388.7910206389815</v>
      </c>
      <c r="E87" s="45">
        <v>2013.509022444915</v>
      </c>
      <c r="F87" s="44">
        <v>1584.873835402332</v>
      </c>
      <c r="G87" s="44">
        <v>1913.2921518528494</v>
      </c>
      <c r="H87" s="44">
        <v>2129.690471403123</v>
      </c>
      <c r="I87" s="44">
        <v>1860.75</v>
      </c>
    </row>
    <row r="88" spans="1:9" ht="15">
      <c r="A88" s="43" t="str">
        <f>HLOOKUP(INDICE!$F$2,Nombres!$C$3:$D$636,53,FALSE)</f>
        <v>Activos financieros a valor razonable</v>
      </c>
      <c r="B88" s="58">
        <v>1998.3665427993628</v>
      </c>
      <c r="C88" s="58">
        <v>1563.8974092134738</v>
      </c>
      <c r="D88" s="58">
        <v>1622.2331373815932</v>
      </c>
      <c r="E88" s="64">
        <v>1819.4155121389401</v>
      </c>
      <c r="F88" s="44">
        <v>2298.0200645869236</v>
      </c>
      <c r="G88" s="44">
        <v>2890.421387487045</v>
      </c>
      <c r="H88" s="44">
        <v>2938.711699840156</v>
      </c>
      <c r="I88" s="44">
        <v>3106.6140000000005</v>
      </c>
    </row>
    <row r="89" spans="1:9" ht="15">
      <c r="A89" s="43" t="str">
        <f>HLOOKUP(INDICE!$F$2,Nombres!$C$3:$D$636,54,FALSE)</f>
        <v>Activos financieros a coste amortizado</v>
      </c>
      <c r="B89" s="44">
        <v>10359.044069693187</v>
      </c>
      <c r="C89" s="44">
        <v>10555.340977830145</v>
      </c>
      <c r="D89" s="44">
        <v>10878.045733978051</v>
      </c>
      <c r="E89" s="45">
        <v>11543.42866319863</v>
      </c>
      <c r="F89" s="44">
        <v>12151.493361865652</v>
      </c>
      <c r="G89" s="44">
        <v>13169.296677744785</v>
      </c>
      <c r="H89" s="44">
        <v>13459.042808897586</v>
      </c>
      <c r="I89" s="44">
        <v>14208.483</v>
      </c>
    </row>
    <row r="90" spans="1:9" ht="15">
      <c r="A90" s="43" t="str">
        <f>HLOOKUP(INDICE!$F$2,Nombres!$C$3:$D$636,55,FALSE)</f>
        <v>    de los que préstamos y anticipos a la clientela</v>
      </c>
      <c r="B90" s="44">
        <v>9655.316031735772</v>
      </c>
      <c r="C90" s="44">
        <v>9877.139719095841</v>
      </c>
      <c r="D90" s="44">
        <v>10173.097084618379</v>
      </c>
      <c r="E90" s="45">
        <v>10835.118213371663</v>
      </c>
      <c r="F90" s="44">
        <v>11381.075170043658</v>
      </c>
      <c r="G90" s="44">
        <v>12161.84024923862</v>
      </c>
      <c r="H90" s="44">
        <v>12594.87321480774</v>
      </c>
      <c r="I90" s="44">
        <v>13265.969999999998</v>
      </c>
    </row>
    <row r="91" spans="1:9" ht="15" customHeight="1" hidden="1">
      <c r="A91" s="43"/>
      <c r="B91" s="44"/>
      <c r="C91" s="44"/>
      <c r="D91" s="44"/>
      <c r="E91" s="45"/>
      <c r="F91" s="44"/>
      <c r="G91" s="44"/>
      <c r="H91" s="44"/>
      <c r="I91" s="44"/>
    </row>
    <row r="92" spans="1:9" ht="15">
      <c r="A92" s="43" t="str">
        <f>HLOOKUP(INDICE!$F$2,Nombres!$C$3:$D$636,56,FALSE)</f>
        <v>Activos tangibles</v>
      </c>
      <c r="B92" s="44">
        <v>90.74237732656616</v>
      </c>
      <c r="C92" s="44">
        <v>88.04403615624388</v>
      </c>
      <c r="D92" s="44">
        <v>87.29576692176707</v>
      </c>
      <c r="E92" s="45">
        <v>87.49350783573493</v>
      </c>
      <c r="F92" s="44">
        <v>85.83495504875413</v>
      </c>
      <c r="G92" s="44">
        <v>84.88488781619498</v>
      </c>
      <c r="H92" s="44">
        <v>84.55365160297129</v>
      </c>
      <c r="I92" s="44">
        <v>85.297</v>
      </c>
    </row>
    <row r="93" spans="1:9" ht="15">
      <c r="A93" s="43" t="str">
        <f>HLOOKUP(INDICE!$F$2,Nombres!$C$3:$D$636,57,FALSE)</f>
        <v>Otros activos</v>
      </c>
      <c r="B93" s="58">
        <f>+B94-B92-B89-B88-B87</f>
        <v>568.3715480345708</v>
      </c>
      <c r="C93" s="58">
        <f aca="true" t="shared" si="15" ref="C93:I93">+C94-C92-C89-C88-C87</f>
        <v>631.2776814631106</v>
      </c>
      <c r="D93" s="58">
        <f t="shared" si="15"/>
        <v>619.6979101197103</v>
      </c>
      <c r="E93" s="64">
        <f t="shared" si="15"/>
        <v>540.0186170499637</v>
      </c>
      <c r="F93" s="44">
        <f t="shared" si="15"/>
        <v>517.6181672006267</v>
      </c>
      <c r="G93" s="44">
        <f t="shared" si="15"/>
        <v>573.5855900474564</v>
      </c>
      <c r="H93" s="44">
        <f t="shared" si="15"/>
        <v>612.3245695044584</v>
      </c>
      <c r="I93" s="44">
        <f t="shared" si="15"/>
        <v>613.7581230299993</v>
      </c>
    </row>
    <row r="94" spans="1:9" ht="15">
      <c r="A94" s="47" t="str">
        <f>HLOOKUP(INDICE!$F$2,Nombres!$C$3:$D$636,58,FALSE)</f>
        <v>Total activo / pasivo</v>
      </c>
      <c r="B94" s="47">
        <v>13743.158717118833</v>
      </c>
      <c r="C94" s="47">
        <v>14263.19477053019</v>
      </c>
      <c r="D94" s="47">
        <v>14596.063569040103</v>
      </c>
      <c r="E94" s="47">
        <v>16003.865322668185</v>
      </c>
      <c r="F94" s="51">
        <v>16637.84038410429</v>
      </c>
      <c r="G94" s="51">
        <v>18631.48069494833</v>
      </c>
      <c r="H94" s="51">
        <v>19224.323201248295</v>
      </c>
      <c r="I94" s="51">
        <v>19874.90212303</v>
      </c>
    </row>
    <row r="95" spans="1:9" ht="15">
      <c r="A95" s="43" t="str">
        <f>HLOOKUP(INDICE!$F$2,Nombres!$C$3:$D$636,59,FALSE)</f>
        <v>Pasivos financieros mantenidos para negociar y designados a valor razonable con cambios en resultados</v>
      </c>
      <c r="B95" s="58">
        <v>814.5762718497824</v>
      </c>
      <c r="C95" s="58">
        <v>697.3318082929671</v>
      </c>
      <c r="D95" s="58">
        <v>926.7238096154312</v>
      </c>
      <c r="E95" s="64">
        <v>1341.3936910644697</v>
      </c>
      <c r="F95" s="44">
        <v>1751.7175567479962</v>
      </c>
      <c r="G95" s="44">
        <v>2250.4986492918633</v>
      </c>
      <c r="H95" s="44">
        <v>2666.8232393065373</v>
      </c>
      <c r="I95" s="44">
        <v>2434.834</v>
      </c>
    </row>
    <row r="96" spans="1:9" ht="15">
      <c r="A96" s="43" t="str">
        <f>HLOOKUP(INDICE!$F$2,Nombres!$C$3:$D$636,60,FALSE)</f>
        <v>Depósitos de bancos centrales y entidades de crédito</v>
      </c>
      <c r="B96" s="58">
        <v>337.8847994262045</v>
      </c>
      <c r="C96" s="58">
        <v>382.0314621304432</v>
      </c>
      <c r="D96" s="58">
        <v>440.6009111335894</v>
      </c>
      <c r="E96" s="64">
        <v>621.5534296868984</v>
      </c>
      <c r="F96" s="44">
        <v>1228.734193829045</v>
      </c>
      <c r="G96" s="44">
        <v>723.9837036992222</v>
      </c>
      <c r="H96" s="44">
        <v>1028.2188677877136</v>
      </c>
      <c r="I96" s="44">
        <v>1320.184</v>
      </c>
    </row>
    <row r="97" spans="1:9" ht="15">
      <c r="A97" s="43" t="str">
        <f>HLOOKUP(INDICE!$F$2,Nombres!$C$3:$D$636,61,FALSE)</f>
        <v>Depósitos de la clientela</v>
      </c>
      <c r="B97" s="58">
        <v>10034.696968872984</v>
      </c>
      <c r="C97" s="58">
        <v>10592.431706733396</v>
      </c>
      <c r="D97" s="58">
        <v>10552.13772955588</v>
      </c>
      <c r="E97" s="64">
        <v>11257.164332984941</v>
      </c>
      <c r="F97" s="44">
        <v>10905.756807562335</v>
      </c>
      <c r="G97" s="44">
        <v>12778.066447187475</v>
      </c>
      <c r="H97" s="44">
        <v>12496.112476236143</v>
      </c>
      <c r="I97" s="44">
        <v>13051.841</v>
      </c>
    </row>
    <row r="98" spans="1:9" ht="15">
      <c r="A98" s="43" t="str">
        <f>HLOOKUP(INDICE!$F$2,Nombres!$C$3:$D$636,62,FALSE)</f>
        <v>Valores representativos de deuda emitidos</v>
      </c>
      <c r="B98" s="44">
        <v>671.4693034656484</v>
      </c>
      <c r="C98" s="44">
        <v>679.8679333655355</v>
      </c>
      <c r="D98" s="44">
        <v>703.5701861788533</v>
      </c>
      <c r="E98" s="45">
        <v>725.5677412650534</v>
      </c>
      <c r="F98" s="44">
        <v>712.1220825412504</v>
      </c>
      <c r="G98" s="44">
        <v>774.3600381086301</v>
      </c>
      <c r="H98" s="44">
        <v>833.4367610098952</v>
      </c>
      <c r="I98" s="44">
        <v>871.12451771</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619.9034595046453</v>
      </c>
      <c r="C100" s="58">
        <f aca="true" t="shared" si="16" ref="C100:I100">+C94-C95-C96-C97-C98-C101</f>
        <v>644.4786102603475</v>
      </c>
      <c r="D100" s="58">
        <f t="shared" si="16"/>
        <v>664.8934724947278</v>
      </c>
      <c r="E100" s="64">
        <f t="shared" si="16"/>
        <v>643.6720732195772</v>
      </c>
      <c r="F100" s="44">
        <f t="shared" si="16"/>
        <v>560.3949772506883</v>
      </c>
      <c r="G100" s="44">
        <f t="shared" si="16"/>
        <v>424.31055332300184</v>
      </c>
      <c r="H100" s="44">
        <f t="shared" si="16"/>
        <v>451.29738909703724</v>
      </c>
      <c r="I100" s="44">
        <f t="shared" si="16"/>
        <v>356.5187739400003</v>
      </c>
    </row>
    <row r="101" spans="1:9" ht="15">
      <c r="A101" s="43" t="str">
        <f>HLOOKUP(INDICE!$F$2,Nombres!$C$3:$D$636,282,FALSE)</f>
        <v>Dotación de capital regulatorio</v>
      </c>
      <c r="B101" s="58">
        <v>1264.6279139995675</v>
      </c>
      <c r="C101" s="58">
        <v>1267.0532497475015</v>
      </c>
      <c r="D101" s="58">
        <v>1308.137460061622</v>
      </c>
      <c r="E101" s="64">
        <v>1414.5140544472447</v>
      </c>
      <c r="F101" s="44">
        <v>1479.1147661729738</v>
      </c>
      <c r="G101" s="44">
        <v>1680.2613033381385</v>
      </c>
      <c r="H101" s="44">
        <v>1748.434467810969</v>
      </c>
      <c r="I101" s="44">
        <v>1840.3998313799998</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10277.901518967052</v>
      </c>
      <c r="C107" s="44">
        <v>10510.923465282025</v>
      </c>
      <c r="D107" s="44">
        <v>10804.563468571318</v>
      </c>
      <c r="E107" s="45">
        <v>11452.139950678427</v>
      </c>
      <c r="F107" s="44">
        <v>11997.175142132484</v>
      </c>
      <c r="G107" s="44">
        <v>12774.145614210887</v>
      </c>
      <c r="H107" s="44">
        <v>13210.152371189612</v>
      </c>
      <c r="I107" s="44">
        <v>13892.12711996</v>
      </c>
    </row>
    <row r="108" spans="1:9" ht="15">
      <c r="A108" s="43" t="str">
        <f>HLOOKUP(INDICE!$F$2,Nombres!$C$3:$D$636,67,FALSE)</f>
        <v>Depósitos de clientes en gestión (**)</v>
      </c>
      <c r="B108" s="44">
        <v>10034.431000279192</v>
      </c>
      <c r="C108" s="44">
        <v>10578.492286113094</v>
      </c>
      <c r="D108" s="44">
        <v>10533.164188447365</v>
      </c>
      <c r="E108" s="45">
        <v>11261.386261452642</v>
      </c>
      <c r="F108" s="44">
        <v>10911.05812862793</v>
      </c>
      <c r="G108" s="44">
        <v>12777.60660079101</v>
      </c>
      <c r="H108" s="44">
        <v>12504.734137558098</v>
      </c>
      <c r="I108" s="44">
        <v>13061.399960910001</v>
      </c>
    </row>
    <row r="109" spans="1:9" ht="15">
      <c r="A109" s="43" t="str">
        <f>HLOOKUP(INDICE!$F$2,Nombres!$C$3:$D$636,68,FALSE)</f>
        <v>Fondos de inversión y carteras gestionadas</v>
      </c>
      <c r="B109" s="44">
        <v>1211.263618274491</v>
      </c>
      <c r="C109" s="44">
        <v>1123.1945819222362</v>
      </c>
      <c r="D109" s="44">
        <v>1179.037637368557</v>
      </c>
      <c r="E109" s="45">
        <v>2087.733712048081</v>
      </c>
      <c r="F109" s="44">
        <v>2086.3451269132156</v>
      </c>
      <c r="G109" s="44">
        <v>1929.5303508504226</v>
      </c>
      <c r="H109" s="44">
        <v>1969.2297112785836</v>
      </c>
      <c r="I109" s="44">
        <v>2045.6128869899999</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860613.8709447717</v>
      </c>
      <c r="C120" s="41">
        <v>837025.8431616802</v>
      </c>
      <c r="D120" s="41">
        <v>845092.8070735396</v>
      </c>
      <c r="E120" s="42">
        <v>863825.1877470778</v>
      </c>
      <c r="F120" s="50">
        <v>932917.8569309828</v>
      </c>
      <c r="G120" s="50">
        <v>959333.7962451973</v>
      </c>
      <c r="H120" s="50">
        <v>926706.0450946839</v>
      </c>
      <c r="I120" s="50">
        <v>960850.5935336672</v>
      </c>
    </row>
    <row r="121" spans="1:9" ht="15">
      <c r="A121" s="43" t="str">
        <f>HLOOKUP(INDICE!$F$2,Nombres!$C$3:$D$636,34,FALSE)</f>
        <v>Comisiones netas</v>
      </c>
      <c r="B121" s="44">
        <v>91863.77710524874</v>
      </c>
      <c r="C121" s="44">
        <v>96969.80489414834</v>
      </c>
      <c r="D121" s="44">
        <v>89378.97425652639</v>
      </c>
      <c r="E121" s="45">
        <v>88010.74408381492</v>
      </c>
      <c r="F121" s="44">
        <v>110171.316421814</v>
      </c>
      <c r="G121" s="44">
        <v>112150.77610748782</v>
      </c>
      <c r="H121" s="44">
        <v>116067.88588951659</v>
      </c>
      <c r="I121" s="44">
        <v>112775.73993391075</v>
      </c>
    </row>
    <row r="122" spans="1:9" ht="15">
      <c r="A122" s="43" t="str">
        <f>HLOOKUP(INDICE!$F$2,Nombres!$C$3:$D$636,35,FALSE)</f>
        <v>Resultados de operaciones financieras</v>
      </c>
      <c r="B122" s="44">
        <v>31376.625707215208</v>
      </c>
      <c r="C122" s="44">
        <v>94129.5714445847</v>
      </c>
      <c r="D122" s="44">
        <v>83751.06706001046</v>
      </c>
      <c r="E122" s="45">
        <v>102729.10644049168</v>
      </c>
      <c r="F122" s="44">
        <v>105696.02329712459</v>
      </c>
      <c r="G122" s="44">
        <v>114218.25090381627</v>
      </c>
      <c r="H122" s="44">
        <v>124436.65217421726</v>
      </c>
      <c r="I122" s="44">
        <v>116994.55437014902</v>
      </c>
    </row>
    <row r="123" spans="1:9" ht="15">
      <c r="A123" s="43" t="str">
        <f>HLOOKUP(INDICE!$F$2,Nombres!$C$3:$D$636,36,FALSE)</f>
        <v>Otros ingresos y cargas de explotación</v>
      </c>
      <c r="B123" s="44">
        <v>-19210.24580259236</v>
      </c>
      <c r="C123" s="44">
        <v>-40210.835348493805</v>
      </c>
      <c r="D123" s="44">
        <v>-43898.540416642405</v>
      </c>
      <c r="E123" s="45">
        <v>-36190.95305800348</v>
      </c>
      <c r="F123" s="44">
        <v>-15928.518881953374</v>
      </c>
      <c r="G123" s="44">
        <v>-19039.13201677433</v>
      </c>
      <c r="H123" s="44">
        <v>-39939.08405509482</v>
      </c>
      <c r="I123" s="44">
        <v>-63862.63028517594</v>
      </c>
    </row>
    <row r="124" spans="1:9" ht="15">
      <c r="A124" s="41" t="str">
        <f>HLOOKUP(INDICE!$F$2,Nombres!$C$3:$D$636,37,FALSE)</f>
        <v>Margen bruto</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1166663.691239727</v>
      </c>
      <c r="H124" s="50">
        <f t="shared" si="19"/>
        <v>1127271.4991033229</v>
      </c>
      <c r="I124" s="50">
        <f t="shared" si="19"/>
        <v>1126758.2575525509</v>
      </c>
    </row>
    <row r="125" spans="1:9" ht="15">
      <c r="A125" s="43" t="str">
        <f>HLOOKUP(INDICE!$F$2,Nombres!$C$3:$D$636,38,FALSE)</f>
        <v>Gastos de explotación</v>
      </c>
      <c r="B125" s="44">
        <v>-352997.64614082035</v>
      </c>
      <c r="C125" s="44">
        <v>-353112.97575725336</v>
      </c>
      <c r="D125" s="44">
        <v>-374127.3069703843</v>
      </c>
      <c r="E125" s="45">
        <v>-380688.78505476867</v>
      </c>
      <c r="F125" s="44">
        <v>-389020.70008689095</v>
      </c>
      <c r="G125" s="44">
        <v>-412951.9227939637</v>
      </c>
      <c r="H125" s="44">
        <v>-451792.72380130703</v>
      </c>
      <c r="I125" s="44">
        <v>-595346.6729718101</v>
      </c>
    </row>
    <row r="126" spans="1:9" ht="15">
      <c r="A126" s="43" t="str">
        <f>HLOOKUP(INDICE!$F$2,Nombres!$C$3:$D$636,39,FALSE)</f>
        <v>  Gastos de administración</v>
      </c>
      <c r="B126" s="44">
        <v>-322571.4272090605</v>
      </c>
      <c r="C126" s="44">
        <v>-322781.434067793</v>
      </c>
      <c r="D126" s="44">
        <v>-344175.11206824146</v>
      </c>
      <c r="E126" s="45">
        <v>-350669.0316044688</v>
      </c>
      <c r="F126" s="44">
        <v>-357321.67463484715</v>
      </c>
      <c r="G126" s="44">
        <v>-381346.99944097735</v>
      </c>
      <c r="H126" s="44">
        <v>-420085.0996995407</v>
      </c>
      <c r="I126" s="44">
        <v>-561979.4888061944</v>
      </c>
    </row>
    <row r="127" spans="1:9" ht="15">
      <c r="A127" s="46" t="str">
        <f>HLOOKUP(INDICE!$F$2,Nombres!$C$3:$D$636,40,FALSE)</f>
        <v>  Gastos de personal</v>
      </c>
      <c r="B127" s="44">
        <v>-158733.01008738833</v>
      </c>
      <c r="C127" s="44">
        <v>-153862.15192445373</v>
      </c>
      <c r="D127" s="44">
        <v>-167731.3520612886</v>
      </c>
      <c r="E127" s="45">
        <v>-157651.78851940407</v>
      </c>
      <c r="F127" s="44">
        <v>-180169.14937074142</v>
      </c>
      <c r="G127" s="44">
        <v>-191803.09001327585</v>
      </c>
      <c r="H127" s="44">
        <v>-195451.14192164998</v>
      </c>
      <c r="I127" s="44">
        <v>-288485.64873660204</v>
      </c>
    </row>
    <row r="128" spans="1:9" ht="15">
      <c r="A128" s="46" t="str">
        <f>HLOOKUP(INDICE!$F$2,Nombres!$C$3:$D$636,41,FALSE)</f>
        <v>  Otros gastos de administración</v>
      </c>
      <c r="B128" s="44">
        <v>-163838.41712167225</v>
      </c>
      <c r="C128" s="44">
        <v>-168919.2821433393</v>
      </c>
      <c r="D128" s="44">
        <v>-176443.76000695289</v>
      </c>
      <c r="E128" s="45">
        <v>-193017.24308506475</v>
      </c>
      <c r="F128" s="44">
        <v>-177152.52526410576</v>
      </c>
      <c r="G128" s="44">
        <v>-189543.90942770144</v>
      </c>
      <c r="H128" s="44">
        <v>-224633.95777789076</v>
      </c>
      <c r="I128" s="44">
        <v>-273493.84006959235</v>
      </c>
    </row>
    <row r="129" spans="1:9" ht="15">
      <c r="A129" s="43" t="str">
        <f>HLOOKUP(INDICE!$F$2,Nombres!$C$3:$D$636,42,FALSE)</f>
        <v>  Amortización</v>
      </c>
      <c r="B129" s="44">
        <v>-30426.218931759788</v>
      </c>
      <c r="C129" s="44">
        <v>-30331.54168946034</v>
      </c>
      <c r="D129" s="44">
        <v>-29952.194902142783</v>
      </c>
      <c r="E129" s="45">
        <v>-30019.753450299842</v>
      </c>
      <c r="F129" s="44">
        <v>-31699.02545204381</v>
      </c>
      <c r="G129" s="44">
        <v>-31604.923352986378</v>
      </c>
      <c r="H129" s="44">
        <v>-31707.624101766276</v>
      </c>
      <c r="I129" s="44">
        <v>-33367.18416561567</v>
      </c>
    </row>
    <row r="130" spans="1:9" ht="15">
      <c r="A130" s="41" t="str">
        <f>HLOOKUP(INDICE!$F$2,Nombres!$C$3:$D$636,43,FALSE)</f>
        <v>Margen neto</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753711.7684457633</v>
      </c>
      <c r="H130" s="50">
        <f t="shared" si="20"/>
        <v>675478.7753020158</v>
      </c>
      <c r="I130" s="50">
        <f t="shared" si="20"/>
        <v>531411.5845807408</v>
      </c>
    </row>
    <row r="131" spans="1:9" ht="15">
      <c r="A131" s="43" t="str">
        <f>HLOOKUP(INDICE!$F$2,Nombres!$C$3:$D$636,44,FALSE)</f>
        <v>Deterioro de activos financieros no valorados a valor razonable con cambios en resultados</v>
      </c>
      <c r="B131" s="44">
        <v>-292219.3701938051</v>
      </c>
      <c r="C131" s="44">
        <v>-297736.78182715294</v>
      </c>
      <c r="D131" s="44">
        <v>-227136.93432125694</v>
      </c>
      <c r="E131" s="45">
        <v>-183207.1640033592</v>
      </c>
      <c r="F131" s="44">
        <v>-243347.73873057507</v>
      </c>
      <c r="G131" s="44">
        <v>-228677.0189142361</v>
      </c>
      <c r="H131" s="44">
        <v>-244615.4339047458</v>
      </c>
      <c r="I131" s="44">
        <v>-301447.238388304</v>
      </c>
    </row>
    <row r="132" spans="1:9" ht="15">
      <c r="A132" s="43" t="str">
        <f>HLOOKUP(INDICE!$F$2,Nombres!$C$3:$D$636,45,FALSE)</f>
        <v>Provisiones o reversión de provisiones y otros resultados</v>
      </c>
      <c r="B132" s="44">
        <v>-32032.78498349309</v>
      </c>
      <c r="C132" s="44">
        <v>16023.20897682318</v>
      </c>
      <c r="D132" s="44">
        <v>10740.062933392892</v>
      </c>
      <c r="E132" s="45">
        <v>-17062.096155633284</v>
      </c>
      <c r="F132" s="44">
        <v>-7145.667880909348</v>
      </c>
      <c r="G132" s="44">
        <v>-14251.041128865514</v>
      </c>
      <c r="H132" s="44">
        <v>-23875.927163470453</v>
      </c>
      <c r="I132" s="44">
        <v>12138.886088483678</v>
      </c>
    </row>
    <row r="133" spans="1:9" ht="15">
      <c r="A133" s="41" t="str">
        <f>HLOOKUP(INDICE!$F$2,Nombres!$C$3:$D$636,46,FALSE)</f>
        <v>Resultado antes de impuestos</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510783.70840266166</v>
      </c>
      <c r="H133" s="50">
        <f t="shared" si="21"/>
        <v>406987.41423379956</v>
      </c>
      <c r="I133" s="50">
        <f t="shared" si="21"/>
        <v>242103.23228092043</v>
      </c>
    </row>
    <row r="134" spans="1:9" ht="15">
      <c r="A134" s="43" t="str">
        <f>HLOOKUP(INDICE!$F$2,Nombres!$C$3:$D$636,47,FALSE)</f>
        <v>Impuesto sobre beneficios</v>
      </c>
      <c r="B134" s="44">
        <v>-78250.227735022</v>
      </c>
      <c r="C134" s="44">
        <v>-93040.94190529347</v>
      </c>
      <c r="D134" s="44">
        <v>-137233.8693602755</v>
      </c>
      <c r="E134" s="45">
        <v>-125492.7648704394</v>
      </c>
      <c r="F134" s="44">
        <v>-178069.792045439</v>
      </c>
      <c r="G134" s="44">
        <v>-167423.00147618205</v>
      </c>
      <c r="H134" s="44">
        <v>-142173.68463228474</v>
      </c>
      <c r="I134" s="44">
        <v>-74524.65204666689</v>
      </c>
    </row>
    <row r="135" spans="1:9" ht="15">
      <c r="A135" s="41" t="str">
        <f>HLOOKUP(INDICE!$F$2,Nombres!$C$3:$D$636,48,FALSE)</f>
        <v>Resultado del ejercicio</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343360.7069264796</v>
      </c>
      <c r="H135" s="50">
        <f t="shared" si="22"/>
        <v>264813.7296015148</v>
      </c>
      <c r="I135" s="50">
        <f t="shared" si="22"/>
        <v>167578.58023425355</v>
      </c>
    </row>
    <row r="136" spans="1:9" ht="15">
      <c r="A136" s="43" t="str">
        <f>HLOOKUP(INDICE!$F$2,Nombres!$C$3:$D$636,49,FALSE)</f>
        <v>Minoritarios</v>
      </c>
      <c r="B136" s="44">
        <v>-8150.699597180766</v>
      </c>
      <c r="C136" s="44">
        <v>-10070.910178310898</v>
      </c>
      <c r="D136" s="44">
        <v>-9238.935420099922</v>
      </c>
      <c r="E136" s="45">
        <v>-12391.901485665856</v>
      </c>
      <c r="F136" s="44">
        <v>-11559.787636368794</v>
      </c>
      <c r="G136" s="44">
        <v>-10282.876437303285</v>
      </c>
      <c r="H136" s="44">
        <v>-7845.590006375633</v>
      </c>
      <c r="I136" s="44">
        <v>1919.3092875119246</v>
      </c>
    </row>
    <row r="137" spans="1:9" ht="15">
      <c r="A137" s="47" t="str">
        <f>HLOOKUP(INDICE!$F$2,Nombres!$C$3:$D$636,50,FALSE)</f>
        <v>Resultado atribuido</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333077.8304891763</v>
      </c>
      <c r="H137" s="51">
        <f t="shared" si="23"/>
        <v>256968.1395951392</v>
      </c>
      <c r="I137" s="51">
        <f t="shared" si="23"/>
        <v>169497.88952176546</v>
      </c>
    </row>
    <row r="138" spans="1:9" ht="15">
      <c r="A138" s="62"/>
      <c r="B138" s="63">
        <v>0</v>
      </c>
      <c r="C138" s="63">
        <v>0</v>
      </c>
      <c r="D138" s="63">
        <v>0</v>
      </c>
      <c r="E138" s="63">
        <v>0</v>
      </c>
      <c r="F138" s="63">
        <v>0</v>
      </c>
      <c r="G138" s="63">
        <v>0</v>
      </c>
      <c r="H138" s="63">
        <v>2.3283064365386963E-10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3728039.759377931</v>
      </c>
      <c r="C143" s="44">
        <v>7309172.660047796</v>
      </c>
      <c r="D143" s="44">
        <v>7125274.712022508</v>
      </c>
      <c r="E143" s="45">
        <v>10330427.477458026</v>
      </c>
      <c r="F143" s="44">
        <v>8131289.224452657</v>
      </c>
      <c r="G143" s="44">
        <v>9816258.878197405</v>
      </c>
      <c r="H143" s="44">
        <v>10926503.29301678</v>
      </c>
      <c r="I143" s="44">
        <v>9546688.25140857</v>
      </c>
    </row>
    <row r="144" spans="1:9" ht="15">
      <c r="A144" s="43" t="str">
        <f>HLOOKUP(INDICE!$F$2,Nombres!$C$3:$D$636,53,FALSE)</f>
        <v>Activos financieros a valor razonable</v>
      </c>
      <c r="B144" s="58">
        <v>10252738.087411333</v>
      </c>
      <c r="C144" s="58">
        <v>8023668.425606111</v>
      </c>
      <c r="D144" s="58">
        <v>8322963.339345169</v>
      </c>
      <c r="E144" s="64">
        <v>9334619.209548473</v>
      </c>
      <c r="F144" s="44">
        <v>11790128.255860886</v>
      </c>
      <c r="G144" s="44">
        <v>14829478.383201739</v>
      </c>
      <c r="H144" s="44">
        <v>15077234.69522554</v>
      </c>
      <c r="I144" s="44">
        <v>15938667.405863972</v>
      </c>
    </row>
    <row r="145" spans="1:9" ht="15">
      <c r="A145" s="43" t="str">
        <f>HLOOKUP(INDICE!$F$2,Nombres!$C$3:$D$636,54,FALSE)</f>
        <v>Activos financieros a coste amortizado</v>
      </c>
      <c r="B145" s="44">
        <v>53147690.07978696</v>
      </c>
      <c r="C145" s="44">
        <v>54154803.01097002</v>
      </c>
      <c r="D145" s="44">
        <v>55810458.904663906</v>
      </c>
      <c r="E145" s="45">
        <v>59224245.49237206</v>
      </c>
      <c r="F145" s="44">
        <v>62343957.498208836</v>
      </c>
      <c r="G145" s="44">
        <v>67565857.7846245</v>
      </c>
      <c r="H145" s="44">
        <v>69052417.49773349</v>
      </c>
      <c r="I145" s="44">
        <v>72897464.85365492</v>
      </c>
    </row>
    <row r="146" spans="1:9" ht="15">
      <c r="A146" s="43" t="str">
        <f>HLOOKUP(INDICE!$F$2,Nombres!$C$3:$D$636,55,FALSE)</f>
        <v>    de los que préstamos y anticipos a la clientela</v>
      </c>
      <c r="B146" s="44">
        <v>49537171.63714026</v>
      </c>
      <c r="C146" s="44">
        <v>50675251.22333102</v>
      </c>
      <c r="D146" s="44">
        <v>52193678.04281339</v>
      </c>
      <c r="E146" s="45">
        <v>55590216.713808015</v>
      </c>
      <c r="F146" s="44">
        <v>58391281.265217565</v>
      </c>
      <c r="G146" s="44">
        <v>62397042.817634925</v>
      </c>
      <c r="H146" s="44">
        <v>64618744.13423918</v>
      </c>
      <c r="I146" s="44">
        <v>68061845.99894588</v>
      </c>
    </row>
    <row r="147" spans="1:9" ht="15" customHeight="1" hidden="1">
      <c r="A147" s="43"/>
      <c r="B147" s="44"/>
      <c r="C147" s="44"/>
      <c r="D147" s="44"/>
      <c r="E147" s="45"/>
      <c r="F147" s="44"/>
      <c r="G147" s="44"/>
      <c r="H147" s="44"/>
      <c r="I147" s="44"/>
    </row>
    <row r="148" spans="1:9" ht="15">
      <c r="A148" s="43" t="str">
        <f>HLOOKUP(INDICE!$F$2,Nombres!$C$3:$D$636,56,FALSE)</f>
        <v>Activos tangibles</v>
      </c>
      <c r="B148" s="44">
        <v>465559.1495517467</v>
      </c>
      <c r="C148" s="44">
        <v>451715.15011656843</v>
      </c>
      <c r="D148" s="44">
        <v>447876.11042307375</v>
      </c>
      <c r="E148" s="45">
        <v>448890.6319118281</v>
      </c>
      <c r="F148" s="44">
        <v>440381.3284557966</v>
      </c>
      <c r="G148" s="44">
        <v>435506.95216283906</v>
      </c>
      <c r="H148" s="44">
        <v>433807.52512254694</v>
      </c>
      <c r="I148" s="44">
        <v>437621.3181676189</v>
      </c>
    </row>
    <row r="149" spans="1:9" ht="15">
      <c r="A149" s="43" t="str">
        <f>HLOOKUP(INDICE!$F$2,Nombres!$C$3:$D$636,57,FALSE)</f>
        <v>Otros activos</v>
      </c>
      <c r="B149" s="58">
        <f>+B150-B148-B145-B144-B143</f>
        <v>2916063.94198928</v>
      </c>
      <c r="C149" s="58">
        <f aca="true" t="shared" si="25" ref="C149:I149">+C150-C148-C145-C144-C143</f>
        <v>3238807.5910253245</v>
      </c>
      <c r="D149" s="58">
        <f t="shared" si="25"/>
        <v>3179396.8872563783</v>
      </c>
      <c r="E149" s="64">
        <f t="shared" si="25"/>
        <v>2770597.5477268957</v>
      </c>
      <c r="F149" s="44">
        <f t="shared" si="25"/>
        <v>2655670.711019662</v>
      </c>
      <c r="G149" s="44">
        <f t="shared" si="25"/>
        <v>2942814.8938241657</v>
      </c>
      <c r="H149" s="44">
        <f t="shared" si="25"/>
        <v>3141567.525856264</v>
      </c>
      <c r="I149" s="44">
        <f t="shared" si="25"/>
        <v>3148922.457254907</v>
      </c>
    </row>
    <row r="150" spans="1:9" ht="15">
      <c r="A150" s="47" t="str">
        <f>HLOOKUP(INDICE!$F$2,Nombres!$C$3:$D$636,58,FALSE)</f>
        <v>Total activo / pasivo</v>
      </c>
      <c r="B150" s="47">
        <v>70510091.01811725</v>
      </c>
      <c r="C150" s="47">
        <v>73178166.83776581</v>
      </c>
      <c r="D150" s="47">
        <v>74885969.95371103</v>
      </c>
      <c r="E150" s="47">
        <v>82108780.35901728</v>
      </c>
      <c r="F150" s="51">
        <v>85361427.01799783</v>
      </c>
      <c r="G150" s="51">
        <v>95589916.89201064</v>
      </c>
      <c r="H150" s="51">
        <v>98631530.53695463</v>
      </c>
      <c r="I150" s="51">
        <v>101969364.28634998</v>
      </c>
    </row>
    <row r="151" spans="1:9" ht="15">
      <c r="A151" s="43" t="str">
        <f>HLOOKUP(INDICE!$F$2,Nombres!$C$3:$D$636,59,FALSE)</f>
        <v>Pasivos financieros mantenidos para negociar y designados a valor razonable con cambios en resultados</v>
      </c>
      <c r="B151" s="58">
        <v>4179231.881953251</v>
      </c>
      <c r="C151" s="58">
        <v>3577702.2069401927</v>
      </c>
      <c r="D151" s="58">
        <v>4754611.476854079</v>
      </c>
      <c r="E151" s="64">
        <v>6882099.901114469</v>
      </c>
      <c r="F151" s="44">
        <v>8987290.83369191</v>
      </c>
      <c r="G151" s="44">
        <v>11546316.81580303</v>
      </c>
      <c r="H151" s="44">
        <v>13682294.820513805</v>
      </c>
      <c r="I151" s="44">
        <v>12492060.267059054</v>
      </c>
    </row>
    <row r="152" spans="1:9" ht="15">
      <c r="A152" s="43" t="str">
        <f>HLOOKUP(INDICE!$F$2,Nombres!$C$3:$D$636,60,FALSE)</f>
        <v>Depósitos de bancos centrales y entidades de crédito</v>
      </c>
      <c r="B152" s="58">
        <v>1733538.0061865845</v>
      </c>
      <c r="C152" s="58">
        <v>1960035.0778928602</v>
      </c>
      <c r="D152" s="58">
        <v>2260529.1102399295</v>
      </c>
      <c r="E152" s="64">
        <v>3188916.740461972</v>
      </c>
      <c r="F152" s="44">
        <v>6304093.667785421</v>
      </c>
      <c r="G152" s="44">
        <v>3714441.337265419</v>
      </c>
      <c r="H152" s="44">
        <v>5275337.893314839</v>
      </c>
      <c r="I152" s="44">
        <v>6773282.322986738</v>
      </c>
    </row>
    <row r="153" spans="1:9" ht="15">
      <c r="A153" s="43" t="str">
        <f>HLOOKUP(INDICE!$F$2,Nombres!$C$3:$D$636,61,FALSE)</f>
        <v>Depósitos de la clientela</v>
      </c>
      <c r="B153" s="58">
        <v>51483608.039330855</v>
      </c>
      <c r="C153" s="58">
        <v>54345099.195764795</v>
      </c>
      <c r="D153" s="58">
        <v>54138368.55568788</v>
      </c>
      <c r="E153" s="64">
        <v>57755549.36551548</v>
      </c>
      <c r="F153" s="44">
        <v>55952632.21146009</v>
      </c>
      <c r="G153" s="44">
        <v>65558627.87966287</v>
      </c>
      <c r="H153" s="44">
        <v>64112046.30668473</v>
      </c>
      <c r="I153" s="44">
        <v>66963244.462691225</v>
      </c>
    </row>
    <row r="154" spans="1:9" ht="15">
      <c r="A154" s="43" t="str">
        <f>HLOOKUP(INDICE!$F$2,Nombres!$C$3:$D$636,62,FALSE)</f>
        <v>Valores representativos de deuda emitidos</v>
      </c>
      <c r="B154" s="44">
        <v>3445013.0918054557</v>
      </c>
      <c r="C154" s="44">
        <v>3488102.760698742</v>
      </c>
      <c r="D154" s="44">
        <v>3609708.5747333057</v>
      </c>
      <c r="E154" s="45">
        <v>3722568.3359592305</v>
      </c>
      <c r="F154" s="44">
        <v>3653584.586303995</v>
      </c>
      <c r="G154" s="44">
        <v>3972900.1091882037</v>
      </c>
      <c r="H154" s="44">
        <v>4275996.740360166</v>
      </c>
      <c r="I154" s="44">
        <v>4469356.011681318</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3180451.470568632</v>
      </c>
      <c r="C156" s="58">
        <f aca="true" t="shared" si="26" ref="C156:I156">+C150-C151-C152-C153-C154-C157</f>
        <v>3306535.7392753474</v>
      </c>
      <c r="D156" s="58">
        <f t="shared" si="26"/>
        <v>3411275.4009424504</v>
      </c>
      <c r="E156" s="64">
        <f t="shared" si="26"/>
        <v>3302397.7531453315</v>
      </c>
      <c r="F156" s="44">
        <f t="shared" si="26"/>
        <v>2875139.6724264612</v>
      </c>
      <c r="G156" s="44">
        <f t="shared" si="26"/>
        <v>2176950.463177422</v>
      </c>
      <c r="H156" s="44">
        <f t="shared" si="26"/>
        <v>2315408.024927644</v>
      </c>
      <c r="I156" s="44">
        <f t="shared" si="26"/>
        <v>1829140.7177640982</v>
      </c>
    </row>
    <row r="157" spans="1:9" ht="15.75" customHeight="1">
      <c r="A157" s="43" t="str">
        <f>HLOOKUP(INDICE!$F$2,Nombres!$C$3:$D$636,282,FALSE)</f>
        <v>Dotación de capital regulatorio</v>
      </c>
      <c r="B157" s="58">
        <v>6488248.5282724695</v>
      </c>
      <c r="C157" s="58">
        <v>6500691.857193885</v>
      </c>
      <c r="D157" s="58">
        <v>6711476.835253386</v>
      </c>
      <c r="E157" s="64">
        <v>7257248.2628208045</v>
      </c>
      <c r="F157" s="44">
        <v>7588686.046329954</v>
      </c>
      <c r="G157" s="44">
        <v>8620680.286913695</v>
      </c>
      <c r="H157" s="44">
        <v>8970446.751153445</v>
      </c>
      <c r="I157" s="44">
        <v>9442280.504167546</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52731383.410053514</v>
      </c>
      <c r="C163" s="44">
        <v>53926916.32807338</v>
      </c>
      <c r="D163" s="44">
        <v>55433453.78315624</v>
      </c>
      <c r="E163" s="45">
        <v>58755883.337701716</v>
      </c>
      <c r="F163" s="44">
        <v>61552218.717983134</v>
      </c>
      <c r="G163" s="44">
        <v>65538511.8134996</v>
      </c>
      <c r="H163" s="44">
        <v>67775470.34333088</v>
      </c>
      <c r="I163" s="44">
        <v>71274382.24543679</v>
      </c>
    </row>
    <row r="164" spans="1:9" ht="15">
      <c r="A164" s="43" t="str">
        <f>HLOOKUP(INDICE!$F$2,Nombres!$C$3:$D$636,67,FALSE)</f>
        <v>Depósitos de clientes en gestión (**)</v>
      </c>
      <c r="B164" s="44">
        <v>51482243.47168362</v>
      </c>
      <c r="C164" s="44">
        <v>54273582.1714105</v>
      </c>
      <c r="D164" s="44">
        <v>54041023.67755364</v>
      </c>
      <c r="E164" s="45">
        <v>57777210.21995637</v>
      </c>
      <c r="F164" s="44">
        <v>55979830.953652136</v>
      </c>
      <c r="G164" s="44">
        <v>65556268.61044855</v>
      </c>
      <c r="H164" s="44">
        <v>64156280.25151877</v>
      </c>
      <c r="I164" s="44">
        <v>67012287.27866066</v>
      </c>
    </row>
    <row r="165" spans="1:9" ht="15">
      <c r="A165" s="43" t="str">
        <f>HLOOKUP(INDICE!$F$2,Nombres!$C$3:$D$636,68,FALSE)</f>
        <v>Fondos de inversión y carteras gestionadas</v>
      </c>
      <c r="B165" s="44">
        <v>6214459.843579048</v>
      </c>
      <c r="C165" s="44">
        <v>5762616.428473881</v>
      </c>
      <c r="D165" s="44">
        <v>6049122.536952799</v>
      </c>
      <c r="E165" s="45">
        <v>10711241.650344765</v>
      </c>
      <c r="F165" s="44">
        <v>10704117.431941915</v>
      </c>
      <c r="G165" s="44">
        <v>9899569.921375781</v>
      </c>
      <c r="H165" s="44">
        <v>10103249.844948512</v>
      </c>
      <c r="I165" s="44">
        <v>10495138.258851217</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E27" sqref="E27"/>
    </sheetView>
  </sheetViews>
  <sheetFormatPr defaultColWidth="11.421875" defaultRowHeight="15"/>
  <cols>
    <col min="1" max="1" width="62.00390625" style="31" customWidth="1"/>
    <col min="2"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182.101</v>
      </c>
      <c r="C8" s="41">
        <v>177.758</v>
      </c>
      <c r="D8" s="41">
        <v>192.64100000000005</v>
      </c>
      <c r="E8" s="42">
        <v>208.13799999999998</v>
      </c>
      <c r="F8" s="50">
        <v>218.20399999999995</v>
      </c>
      <c r="G8" s="50">
        <v>262.255</v>
      </c>
      <c r="H8" s="237">
        <v>292.43999999999994</v>
      </c>
      <c r="I8" s="237">
        <v>306.841</v>
      </c>
      <c r="J8" s="86"/>
      <c r="K8" s="86"/>
      <c r="L8" s="86"/>
      <c r="M8" s="86"/>
      <c r="N8" s="86"/>
      <c r="O8" s="86"/>
    </row>
    <row r="9" spans="1:9" ht="15">
      <c r="A9" s="87" t="str">
        <f>HLOOKUP(INDICE!$F$2,Nombres!$C$3:$D$636,34,FALSE)</f>
        <v>Comisiones netas</v>
      </c>
      <c r="B9" s="44">
        <v>54.90512817</v>
      </c>
      <c r="C9" s="44">
        <v>59.07316048999999</v>
      </c>
      <c r="D9" s="44">
        <v>58.71583201999999</v>
      </c>
      <c r="E9" s="45">
        <v>58.1263661</v>
      </c>
      <c r="F9" s="44">
        <v>63.51501187999999</v>
      </c>
      <c r="G9" s="44">
        <v>75.50539903</v>
      </c>
      <c r="H9" s="44">
        <v>71.98586402999999</v>
      </c>
      <c r="I9" s="44">
        <v>67.69021174000002</v>
      </c>
    </row>
    <row r="10" spans="1:9" ht="15">
      <c r="A10" s="87" t="str">
        <f>HLOOKUP(INDICE!$F$2,Nombres!$C$3:$D$636,35,FALSE)</f>
        <v>Resultados de operaciones financieras</v>
      </c>
      <c r="B10" s="44">
        <v>33.87019303999999</v>
      </c>
      <c r="C10" s="44">
        <v>55.55867029999999</v>
      </c>
      <c r="D10" s="44">
        <v>22.65121704000002</v>
      </c>
      <c r="E10" s="45">
        <v>29.103929020000006</v>
      </c>
      <c r="F10" s="44">
        <v>33.20376918000001</v>
      </c>
      <c r="G10" s="44">
        <v>41.37323429</v>
      </c>
      <c r="H10" s="44">
        <v>45.19068422</v>
      </c>
      <c r="I10" s="44">
        <v>42.070255339999996</v>
      </c>
    </row>
    <row r="11" spans="1:9" ht="15">
      <c r="A11" s="87" t="str">
        <f>HLOOKUP(INDICE!$F$2,Nombres!$C$3:$D$636,36,FALSE)</f>
        <v>Otros ingresos y cargas de explotación</v>
      </c>
      <c r="B11" s="44">
        <v>-8.507</v>
      </c>
      <c r="C11" s="44">
        <v>-10.249000000000002</v>
      </c>
      <c r="D11" s="44">
        <v>-8.525999999999998</v>
      </c>
      <c r="E11" s="45">
        <v>-7.714000000000003</v>
      </c>
      <c r="F11" s="44">
        <v>-8.483000000000002</v>
      </c>
      <c r="G11" s="44">
        <v>-8.852</v>
      </c>
      <c r="H11" s="44">
        <v>-8.345999999999997</v>
      </c>
      <c r="I11" s="44">
        <v>-10.532000000000004</v>
      </c>
    </row>
    <row r="12" spans="1:9" ht="15">
      <c r="A12" s="41" t="str">
        <f>HLOOKUP(INDICE!$F$2,Nombres!$C$3:$D$636,37,FALSE)</f>
        <v>Margen bruto</v>
      </c>
      <c r="B12" s="41">
        <f aca="true" t="shared" si="0" ref="B12:I12">+SUM(B8:B11)</f>
        <v>262.36932121</v>
      </c>
      <c r="C12" s="41">
        <f t="shared" si="0"/>
        <v>282.14083079</v>
      </c>
      <c r="D12" s="41">
        <f t="shared" si="0"/>
        <v>265.48204906000007</v>
      </c>
      <c r="E12" s="42">
        <f t="shared" si="0"/>
        <v>287.65429512</v>
      </c>
      <c r="F12" s="50">
        <f t="shared" si="0"/>
        <v>306.4397810599999</v>
      </c>
      <c r="G12" s="50">
        <f t="shared" si="0"/>
        <v>370.2816333200001</v>
      </c>
      <c r="H12" s="50">
        <f t="shared" si="0"/>
        <v>401.27054824999993</v>
      </c>
      <c r="I12" s="50">
        <f t="shared" si="0"/>
        <v>406.06946708000004</v>
      </c>
    </row>
    <row r="13" spans="1:9" ht="15">
      <c r="A13" s="87" t="str">
        <f>HLOOKUP(INDICE!$F$2,Nombres!$C$3:$D$636,38,FALSE)</f>
        <v>Gastos de explotación</v>
      </c>
      <c r="B13" s="44">
        <v>-102.38831486000001</v>
      </c>
      <c r="C13" s="44">
        <v>-102.50110823</v>
      </c>
      <c r="D13" s="44">
        <v>-101.13769025</v>
      </c>
      <c r="E13" s="45">
        <v>-112.82812424999999</v>
      </c>
      <c r="F13" s="44">
        <v>-119.00970702000001</v>
      </c>
      <c r="G13" s="44">
        <v>-130.94358369</v>
      </c>
      <c r="H13" s="44">
        <v>-148.16788755000005</v>
      </c>
      <c r="I13" s="44">
        <v>-153.96008085999998</v>
      </c>
    </row>
    <row r="14" spans="1:9" ht="15">
      <c r="A14" s="87" t="str">
        <f>HLOOKUP(INDICE!$F$2,Nombres!$C$3:$D$636,39,FALSE)</f>
        <v>  Gastos de administración</v>
      </c>
      <c r="B14" s="44">
        <v>-87.45931486</v>
      </c>
      <c r="C14" s="44">
        <v>-88.41310822999998</v>
      </c>
      <c r="D14" s="44">
        <v>-87.67369025</v>
      </c>
      <c r="E14" s="45">
        <v>-99.13412424999996</v>
      </c>
      <c r="F14" s="44">
        <v>-102.51670702000001</v>
      </c>
      <c r="G14" s="44">
        <v>-113.09858369</v>
      </c>
      <c r="H14" s="44">
        <v>-130.19688755</v>
      </c>
      <c r="I14" s="44">
        <v>-136.28008085999994</v>
      </c>
    </row>
    <row r="15" spans="1:9" ht="15">
      <c r="A15" s="88" t="str">
        <f>HLOOKUP(INDICE!$F$2,Nombres!$C$3:$D$636,40,FALSE)</f>
        <v>  Gastos de personal</v>
      </c>
      <c r="B15" s="44">
        <v>-47.685</v>
      </c>
      <c r="C15" s="44">
        <v>-47.566</v>
      </c>
      <c r="D15" s="44">
        <v>-48.599000000000004</v>
      </c>
      <c r="E15" s="45">
        <v>-58.57062599999999</v>
      </c>
      <c r="F15" s="44">
        <v>-53.595</v>
      </c>
      <c r="G15" s="44">
        <v>-59.07700000000001</v>
      </c>
      <c r="H15" s="44">
        <v>-67.195</v>
      </c>
      <c r="I15" s="44">
        <v>-72.404</v>
      </c>
    </row>
    <row r="16" spans="1:9" ht="15">
      <c r="A16" s="88" t="str">
        <f>HLOOKUP(INDICE!$F$2,Nombres!$C$3:$D$636,41,FALSE)</f>
        <v>  Otros gastos de administración</v>
      </c>
      <c r="B16" s="44">
        <v>-39.774314860000004</v>
      </c>
      <c r="C16" s="44">
        <v>-40.847108229999996</v>
      </c>
      <c r="D16" s="44">
        <v>-39.07469025000001</v>
      </c>
      <c r="E16" s="45">
        <v>-40.56349824999997</v>
      </c>
      <c r="F16" s="44">
        <v>-48.92170701999999</v>
      </c>
      <c r="G16" s="44">
        <v>-54.021583690000014</v>
      </c>
      <c r="H16" s="44">
        <v>-63.001887550000006</v>
      </c>
      <c r="I16" s="44">
        <v>-63.87608085999996</v>
      </c>
    </row>
    <row r="17" spans="1:9" ht="15">
      <c r="A17" s="87" t="str">
        <f>HLOOKUP(INDICE!$F$2,Nombres!$C$3:$D$636,42,FALSE)</f>
        <v>  Amortización</v>
      </c>
      <c r="B17" s="44">
        <v>-14.929</v>
      </c>
      <c r="C17" s="44">
        <v>-14.088</v>
      </c>
      <c r="D17" s="44">
        <v>-13.463999999999999</v>
      </c>
      <c r="E17" s="45">
        <v>-13.694000000000003</v>
      </c>
      <c r="F17" s="44">
        <v>-16.493000000000002</v>
      </c>
      <c r="G17" s="44">
        <v>-17.845</v>
      </c>
      <c r="H17" s="44">
        <v>-17.971000000000004</v>
      </c>
      <c r="I17" s="44">
        <v>-17.679999999999996</v>
      </c>
    </row>
    <row r="18" spans="1:9" ht="15">
      <c r="A18" s="41" t="str">
        <f>HLOOKUP(INDICE!$F$2,Nombres!$C$3:$D$636,43,FALSE)</f>
        <v>Margen neto</v>
      </c>
      <c r="B18" s="41">
        <f aca="true" t="shared" si="1" ref="B18:I18">+B12+B13</f>
        <v>159.98100635</v>
      </c>
      <c r="C18" s="41">
        <f t="shared" si="1"/>
        <v>179.63972256</v>
      </c>
      <c r="D18" s="41">
        <f t="shared" si="1"/>
        <v>164.34435881000007</v>
      </c>
      <c r="E18" s="42">
        <f t="shared" si="1"/>
        <v>174.82617087</v>
      </c>
      <c r="F18" s="50">
        <f t="shared" si="1"/>
        <v>187.4300740399999</v>
      </c>
      <c r="G18" s="50">
        <f t="shared" si="1"/>
        <v>239.33804963000009</v>
      </c>
      <c r="H18" s="50">
        <f t="shared" si="1"/>
        <v>253.1026606999999</v>
      </c>
      <c r="I18" s="50">
        <f t="shared" si="1"/>
        <v>252.10938622000006</v>
      </c>
    </row>
    <row r="19" spans="1:9" ht="15">
      <c r="A19" s="87" t="str">
        <f>HLOOKUP(INDICE!$F$2,Nombres!$C$3:$D$636,44,FALSE)</f>
        <v>Deterioro de activos financieros no valorados a valor razonable con cambios en resultados</v>
      </c>
      <c r="B19" s="44">
        <v>-66.37799999999997</v>
      </c>
      <c r="C19" s="44">
        <v>-81.15900000000002</v>
      </c>
      <c r="D19" s="44">
        <v>-72.707</v>
      </c>
      <c r="E19" s="45">
        <v>-34.973</v>
      </c>
      <c r="F19" s="44">
        <v>-30.826999999999998</v>
      </c>
      <c r="G19" s="44">
        <v>-43.44600000000002</v>
      </c>
      <c r="H19" s="44">
        <v>-88.217</v>
      </c>
      <c r="I19" s="44">
        <v>-123.83900000000004</v>
      </c>
    </row>
    <row r="20" spans="1:9" ht="15">
      <c r="A20" s="87" t="str">
        <f>HLOOKUP(INDICE!$F$2,Nombres!$C$3:$D$636,45,FALSE)</f>
        <v>Provisiones o reversión de provisiones y otros resultados</v>
      </c>
      <c r="B20" s="44">
        <v>-6.544999999999999</v>
      </c>
      <c r="C20" s="44">
        <v>-12.276</v>
      </c>
      <c r="D20" s="44">
        <v>-14.729</v>
      </c>
      <c r="E20" s="45">
        <v>-9.948000000000008</v>
      </c>
      <c r="F20" s="44">
        <v>-9.047</v>
      </c>
      <c r="G20" s="44">
        <v>-8.422999999999977</v>
      </c>
      <c r="H20" s="44">
        <v>-11.660000000000002</v>
      </c>
      <c r="I20" s="44">
        <v>-9.266000000000002</v>
      </c>
    </row>
    <row r="21" spans="1:9" ht="15">
      <c r="A21" s="89" t="str">
        <f>HLOOKUP(INDICE!$F$2,Nombres!$C$3:$D$636,46,FALSE)</f>
        <v>Resultado antes de impuestos</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187.4690496300001</v>
      </c>
      <c r="H21" s="50">
        <f t="shared" si="2"/>
        <v>153.2256606999999</v>
      </c>
      <c r="I21" s="50">
        <f t="shared" si="2"/>
        <v>119.00438622000003</v>
      </c>
    </row>
    <row r="22" spans="1:9" ht="15">
      <c r="A22" s="43" t="str">
        <f>HLOOKUP(INDICE!$F$2,Nombres!$C$3:$D$636,47,FALSE)</f>
        <v>Impuesto sobre beneficios</v>
      </c>
      <c r="B22" s="44">
        <v>-26.959631610000002</v>
      </c>
      <c r="C22" s="44">
        <v>-29.657473080000003</v>
      </c>
      <c r="D22" s="44">
        <v>-25.605789299999998</v>
      </c>
      <c r="E22" s="45">
        <v>-36.37013999</v>
      </c>
      <c r="F22" s="44">
        <v>-37.16825010000001</v>
      </c>
      <c r="G22" s="44">
        <v>-50.69169471</v>
      </c>
      <c r="H22" s="44">
        <v>-39.59375947000001</v>
      </c>
      <c r="I22" s="44">
        <v>-38.45487958999999</v>
      </c>
    </row>
    <row r="23" spans="1:9" ht="15">
      <c r="A23" s="89" t="str">
        <f>HLOOKUP(INDICE!$F$2,Nombres!$C$3:$D$636,48,FALSE)</f>
        <v>Resultado del ejercicio</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136.77735492000008</v>
      </c>
      <c r="H23" s="50">
        <f t="shared" si="3"/>
        <v>113.6319012299999</v>
      </c>
      <c r="I23" s="50">
        <f t="shared" si="3"/>
        <v>80.54950663000004</v>
      </c>
    </row>
    <row r="24" spans="1:9" ht="15">
      <c r="A24" s="87" t="str">
        <f>HLOOKUP(INDICE!$F$2,Nombres!$C$3:$D$636,49,FALSE)</f>
        <v>Minoritarios</v>
      </c>
      <c r="B24" s="44">
        <v>-33.19100227</v>
      </c>
      <c r="C24" s="44">
        <v>-30.662351949999998</v>
      </c>
      <c r="D24" s="44">
        <v>-28.361814059999997</v>
      </c>
      <c r="E24" s="45">
        <v>-51.32902664000001</v>
      </c>
      <c r="F24" s="44">
        <v>-59.35333915</v>
      </c>
      <c r="G24" s="44">
        <v>-70.39765243000001</v>
      </c>
      <c r="H24" s="44">
        <v>-62.72391561</v>
      </c>
      <c r="I24" s="44">
        <v>-43.352942729999995</v>
      </c>
    </row>
    <row r="25" spans="1:9" ht="15">
      <c r="A25" s="90" t="str">
        <f>HLOOKUP(INDICE!$F$2,Nombres!$C$3:$D$636,50,FALSE)</f>
        <v>Resultado atribuido</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66.37970249000007</v>
      </c>
      <c r="H25" s="51">
        <f t="shared" si="4"/>
        <v>50.9079856199999</v>
      </c>
      <c r="I25" s="51">
        <f t="shared" si="4"/>
        <v>37.196563900000044</v>
      </c>
    </row>
    <row r="26" spans="1:9" ht="15">
      <c r="A26" s="91"/>
      <c r="B26" s="63">
        <v>0</v>
      </c>
      <c r="C26" s="63">
        <v>0</v>
      </c>
      <c r="D26" s="63">
        <v>4.618527782440651E-14</v>
      </c>
      <c r="E26" s="63">
        <v>0</v>
      </c>
      <c r="F26" s="63">
        <v>-9.947598300641403E-14</v>
      </c>
      <c r="G26" s="63">
        <v>0</v>
      </c>
      <c r="H26" s="63">
        <v>-7.105427357601002E-14</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3055.0239999999994</v>
      </c>
      <c r="C31" s="44">
        <v>2519.9790000000003</v>
      </c>
      <c r="D31" s="44">
        <v>3426.904</v>
      </c>
      <c r="E31" s="45">
        <v>3290.2690000000002</v>
      </c>
      <c r="F31" s="44">
        <v>3470.1679999999997</v>
      </c>
      <c r="G31" s="44">
        <v>3729.0200000000004</v>
      </c>
      <c r="H31" s="44">
        <v>4383.277</v>
      </c>
      <c r="I31" s="44">
        <v>2912.387</v>
      </c>
    </row>
    <row r="32" spans="1:9" ht="15">
      <c r="A32" s="87" t="str">
        <f>HLOOKUP(INDICE!$F$2,Nombres!$C$3:$D$636,53,FALSE)</f>
        <v>Activos financieros a valor razonable</v>
      </c>
      <c r="B32" s="58">
        <v>2774.0229999999997</v>
      </c>
      <c r="C32" s="58">
        <v>3046.906</v>
      </c>
      <c r="D32" s="58">
        <v>2781.4759999999997</v>
      </c>
      <c r="E32" s="64">
        <v>2548.754</v>
      </c>
      <c r="F32" s="44">
        <v>2913.6949999999997</v>
      </c>
      <c r="G32" s="44">
        <v>2986.973</v>
      </c>
      <c r="H32" s="44">
        <v>3344.2919999999995</v>
      </c>
      <c r="I32" s="44">
        <v>3185.991</v>
      </c>
    </row>
    <row r="33" spans="1:9" ht="15">
      <c r="A33" s="43" t="str">
        <f>HLOOKUP(INDICE!$F$2,Nombres!$C$3:$D$636,54,FALSE)</f>
        <v>Activos financieros a coste amortizado</v>
      </c>
      <c r="B33" s="44">
        <v>17518.131999999998</v>
      </c>
      <c r="C33" s="44">
        <v>16835.772999999997</v>
      </c>
      <c r="D33" s="44">
        <v>16144.789999999999</v>
      </c>
      <c r="E33" s="45">
        <v>16098.956</v>
      </c>
      <c r="F33" s="44">
        <v>17268.314000000002</v>
      </c>
      <c r="G33" s="44">
        <v>18041.945</v>
      </c>
      <c r="H33" s="44">
        <v>19025.966000000004</v>
      </c>
      <c r="I33" s="44">
        <v>17303.598</v>
      </c>
    </row>
    <row r="34" spans="1:9" ht="15">
      <c r="A34" s="87" t="str">
        <f>HLOOKUP(INDICE!$F$2,Nombres!$C$3:$D$636,55,FALSE)</f>
        <v>    de los que préstamos y anticipos a la clientela</v>
      </c>
      <c r="B34" s="44">
        <v>15276.72</v>
      </c>
      <c r="C34" s="44">
        <v>15395.269999999997</v>
      </c>
      <c r="D34" s="44">
        <v>14612.89</v>
      </c>
      <c r="E34" s="45">
        <v>15648.623000000003</v>
      </c>
      <c r="F34" s="44">
        <v>16947.196</v>
      </c>
      <c r="G34" s="44">
        <v>17677.086</v>
      </c>
      <c r="H34" s="44">
        <v>18066.41</v>
      </c>
      <c r="I34" s="44">
        <v>16998.711</v>
      </c>
    </row>
    <row r="35" spans="1:9" ht="15" customHeight="1" hidden="1">
      <c r="A35" s="87"/>
      <c r="B35" s="44"/>
      <c r="C35" s="44"/>
      <c r="D35" s="44"/>
      <c r="E35" s="45"/>
      <c r="F35" s="44"/>
      <c r="G35" s="44"/>
      <c r="H35" s="44"/>
      <c r="I35" s="44"/>
    </row>
    <row r="36" spans="1:9" ht="15">
      <c r="A36" s="43" t="str">
        <f>HLOOKUP(INDICE!$F$2,Nombres!$C$3:$D$636,56,FALSE)</f>
        <v>Activos tangibles</v>
      </c>
      <c r="B36" s="44">
        <v>262.35299999999995</v>
      </c>
      <c r="C36" s="44">
        <v>247.649</v>
      </c>
      <c r="D36" s="44">
        <v>239.67399999999998</v>
      </c>
      <c r="E36" s="45">
        <v>270.206</v>
      </c>
      <c r="F36" s="44">
        <v>288.717</v>
      </c>
      <c r="G36" s="44">
        <v>298.78</v>
      </c>
      <c r="H36" s="44">
        <v>315.13899999999995</v>
      </c>
      <c r="I36" s="44">
        <v>310.281</v>
      </c>
    </row>
    <row r="37" spans="1:9" ht="15">
      <c r="A37" s="87" t="str">
        <f>HLOOKUP(INDICE!$F$2,Nombres!$C$3:$D$636,57,FALSE)</f>
        <v>Otros activos</v>
      </c>
      <c r="B37" s="58">
        <f aca="true" t="shared" si="5" ref="B37:I37">+B38-B36-B33-B32-B31</f>
        <v>362.5350000000067</v>
      </c>
      <c r="C37" s="58">
        <f t="shared" si="5"/>
        <v>352.3049318799949</v>
      </c>
      <c r="D37" s="58">
        <f t="shared" si="5"/>
        <v>354.51499999999896</v>
      </c>
      <c r="E37" s="64">
        <f t="shared" si="5"/>
        <v>405.79277088000435</v>
      </c>
      <c r="F37" s="44">
        <f t="shared" si="5"/>
        <v>443.0927348899986</v>
      </c>
      <c r="G37" s="44">
        <f t="shared" si="5"/>
        <v>470.6485883399964</v>
      </c>
      <c r="H37" s="44">
        <f t="shared" si="5"/>
        <v>469.59934287000215</v>
      </c>
      <c r="I37" s="44">
        <f t="shared" si="5"/>
        <v>507.73974963000046</v>
      </c>
    </row>
    <row r="38" spans="1:9" ht="15">
      <c r="A38" s="90" t="str">
        <f>HLOOKUP(INDICE!$F$2,Nombres!$C$3:$D$636,58,FALSE)</f>
        <v>Total activo / pasivo</v>
      </c>
      <c r="B38" s="47">
        <v>23972.067000000003</v>
      </c>
      <c r="C38" s="47">
        <v>23002.611931879994</v>
      </c>
      <c r="D38" s="47">
        <v>22947.358999999997</v>
      </c>
      <c r="E38" s="47">
        <v>22613.977770880003</v>
      </c>
      <c r="F38" s="51">
        <v>24383.98673489</v>
      </c>
      <c r="G38" s="51">
        <v>25527.366588339995</v>
      </c>
      <c r="H38" s="51">
        <v>27538.273342870005</v>
      </c>
      <c r="I38" s="51">
        <v>24219.99674963</v>
      </c>
    </row>
    <row r="39" spans="1:9" ht="15">
      <c r="A39" s="87" t="str">
        <f>HLOOKUP(INDICE!$F$2,Nombres!$C$3:$D$636,59,FALSE)</f>
        <v>Pasivos financieros mantenidos para negociar y designados a valor razonable con cambios en resultados</v>
      </c>
      <c r="B39" s="58">
        <v>265.115</v>
      </c>
      <c r="C39" s="58">
        <v>374.055</v>
      </c>
      <c r="D39" s="58">
        <v>513.88</v>
      </c>
      <c r="E39" s="64">
        <v>354.679</v>
      </c>
      <c r="F39" s="44">
        <v>421.15200000000004</v>
      </c>
      <c r="G39" s="44">
        <v>410.173</v>
      </c>
      <c r="H39" s="44">
        <v>459.85699999999997</v>
      </c>
      <c r="I39" s="44">
        <v>376.86699999999996</v>
      </c>
    </row>
    <row r="40" spans="1:9" ht="15.75" customHeight="1">
      <c r="A40" s="87" t="str">
        <f>HLOOKUP(INDICE!$F$2,Nombres!$C$3:$D$636,60,FALSE)</f>
        <v>Depósitos de bancos centrales y entidades de crédito</v>
      </c>
      <c r="B40" s="58">
        <v>4194.721</v>
      </c>
      <c r="C40" s="58">
        <v>4325.62</v>
      </c>
      <c r="D40" s="58">
        <v>4183.368</v>
      </c>
      <c r="E40" s="64">
        <v>4130.728</v>
      </c>
      <c r="F40" s="44">
        <v>4168.018</v>
      </c>
      <c r="G40" s="44">
        <v>4008.562</v>
      </c>
      <c r="H40" s="44">
        <v>3885.9220000000005</v>
      </c>
      <c r="I40" s="44">
        <v>3097.4950000000003</v>
      </c>
    </row>
    <row r="41" spans="1:9" ht="15">
      <c r="A41" s="87" t="str">
        <f>HLOOKUP(INDICE!$F$2,Nombres!$C$3:$D$636,61,FALSE)</f>
        <v>Depósitos de la clientela</v>
      </c>
      <c r="B41" s="58">
        <v>15191.590000000002</v>
      </c>
      <c r="C41" s="58">
        <v>14250.752</v>
      </c>
      <c r="D41" s="58">
        <v>14239.42</v>
      </c>
      <c r="E41" s="64">
        <v>13945.919</v>
      </c>
      <c r="F41" s="44">
        <v>14966.210000000001</v>
      </c>
      <c r="G41" s="44">
        <v>16149.865000000002</v>
      </c>
      <c r="H41" s="44">
        <v>18199.582000000002</v>
      </c>
      <c r="I41" s="44">
        <v>16220.615999999998</v>
      </c>
    </row>
    <row r="42" spans="1:9" ht="15">
      <c r="A42" s="43" t="str">
        <f>HLOOKUP(INDICE!$F$2,Nombres!$C$3:$D$636,62,FALSE)</f>
        <v>Valores representativos de deuda emitidos</v>
      </c>
      <c r="B42" s="44">
        <v>1330.2121669000003</v>
      </c>
      <c r="C42" s="44">
        <v>1252.4018942</v>
      </c>
      <c r="D42" s="44">
        <v>1261.7598223500001</v>
      </c>
      <c r="E42" s="45">
        <v>1331.59579592</v>
      </c>
      <c r="F42" s="44">
        <v>1371.86706993</v>
      </c>
      <c r="G42" s="44">
        <v>1657.98805191</v>
      </c>
      <c r="H42" s="44">
        <v>1109.12309372</v>
      </c>
      <c r="I42" s="44">
        <v>947.3668865199999</v>
      </c>
    </row>
    <row r="43" spans="1:9" ht="15" customHeight="1" hidden="1">
      <c r="A43" s="43"/>
      <c r="B43" s="44"/>
      <c r="C43" s="44"/>
      <c r="D43" s="44"/>
      <c r="E43" s="45"/>
      <c r="F43" s="44"/>
      <c r="G43" s="44"/>
      <c r="H43" s="44"/>
      <c r="I43" s="44"/>
    </row>
    <row r="44" spans="1:9" ht="15">
      <c r="A44" s="87" t="str">
        <f>HLOOKUP(INDICE!$F$2,Nombres!$C$3:$D$636,63,FALSE)</f>
        <v>Otros pasivos</v>
      </c>
      <c r="B44" s="58">
        <f aca="true" t="shared" si="6" ref="B44:I44">+B38-B39-B40-B41-B42-B45</f>
        <v>1075.1838846899977</v>
      </c>
      <c r="C44" s="58">
        <f t="shared" si="6"/>
        <v>936.8081084299938</v>
      </c>
      <c r="D44" s="58">
        <f t="shared" si="6"/>
        <v>861.282845539997</v>
      </c>
      <c r="E44" s="64">
        <f t="shared" si="6"/>
        <v>766.9513349600038</v>
      </c>
      <c r="F44" s="44">
        <f t="shared" si="6"/>
        <v>1103.4058635199976</v>
      </c>
      <c r="G44" s="44">
        <f t="shared" si="6"/>
        <v>826.3090805699935</v>
      </c>
      <c r="H44" s="44">
        <f t="shared" si="6"/>
        <v>1301.7892427900042</v>
      </c>
      <c r="I44" s="44">
        <f t="shared" si="6"/>
        <v>1148.868887300006</v>
      </c>
    </row>
    <row r="45" spans="1:9" ht="15">
      <c r="A45" s="43" t="str">
        <f>HLOOKUP(INDICE!$F$2,Nombres!$C$3:$D$636,282,FALSE)</f>
        <v>Dotación de capital regulatorio</v>
      </c>
      <c r="B45" s="58">
        <v>1915.2449484099998</v>
      </c>
      <c r="C45" s="58">
        <v>1862.97492925</v>
      </c>
      <c r="D45" s="58">
        <v>1887.6483321100002</v>
      </c>
      <c r="E45" s="64">
        <v>2084.10464</v>
      </c>
      <c r="F45" s="44">
        <v>2353.33380144</v>
      </c>
      <c r="G45" s="44">
        <v>2474.46945586</v>
      </c>
      <c r="H45" s="44">
        <v>2582.00000636</v>
      </c>
      <c r="I45" s="44">
        <v>2428.78297581</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16203.41439927</v>
      </c>
      <c r="C51" s="44">
        <v>16301.121977589997</v>
      </c>
      <c r="D51" s="44">
        <v>15451.05718892</v>
      </c>
      <c r="E51" s="45">
        <v>16449.94807243</v>
      </c>
      <c r="F51" s="44">
        <v>17752.37983082</v>
      </c>
      <c r="G51" s="44">
        <v>18596.673595989996</v>
      </c>
      <c r="H51" s="44">
        <v>19002.71136395</v>
      </c>
      <c r="I51" s="44">
        <v>17882.37740801</v>
      </c>
    </row>
    <row r="52" spans="1:9" ht="15">
      <c r="A52" s="87" t="str">
        <f>HLOOKUP(INDICE!$F$2,Nombres!$C$3:$D$636,67,FALSE)</f>
        <v>Depósitos de clientes en gestión (**)</v>
      </c>
      <c r="B52" s="44">
        <v>15191.590106359998</v>
      </c>
      <c r="C52" s="44">
        <v>14250.75032512</v>
      </c>
      <c r="D52" s="44">
        <v>14239.41983855</v>
      </c>
      <c r="E52" s="45">
        <v>13945.907744039998</v>
      </c>
      <c r="F52" s="44">
        <v>14961.13244227</v>
      </c>
      <c r="G52" s="44">
        <v>16146.37809049</v>
      </c>
      <c r="H52" s="44">
        <v>18197.51001594</v>
      </c>
      <c r="I52" s="44">
        <v>16218.54734089</v>
      </c>
    </row>
    <row r="53" spans="1:9" ht="15">
      <c r="A53" s="43" t="str">
        <f>HLOOKUP(INDICE!$F$2,Nombres!$C$3:$D$636,68,FALSE)</f>
        <v>Fondos de inversión y carteras gestionadas</v>
      </c>
      <c r="B53" s="44">
        <v>2426.3901238900003</v>
      </c>
      <c r="C53" s="44">
        <v>2012.74475404</v>
      </c>
      <c r="D53" s="44">
        <v>1650.81825016</v>
      </c>
      <c r="E53" s="45">
        <v>1633.0466087900002</v>
      </c>
      <c r="F53" s="44">
        <v>1538.61888528</v>
      </c>
      <c r="G53" s="44">
        <v>1445.36195728</v>
      </c>
      <c r="H53" s="44">
        <v>1516.4828849299997</v>
      </c>
      <c r="I53" s="44">
        <v>1452.6608816399998</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199.24976654780522</v>
      </c>
      <c r="C64" s="41">
        <v>201.75821333460533</v>
      </c>
      <c r="D64" s="41">
        <v>227.1035897257567</v>
      </c>
      <c r="E64" s="42">
        <v>237.4106207080087</v>
      </c>
      <c r="F64" s="50">
        <v>230.88075237668616</v>
      </c>
      <c r="G64" s="50">
        <v>260.75762528137</v>
      </c>
      <c r="H64" s="50">
        <v>285.2647796569862</v>
      </c>
      <c r="I64" s="50">
        <v>302.8368426849577</v>
      </c>
    </row>
    <row r="65" spans="1:9" ht="15">
      <c r="A65" s="87" t="str">
        <f>HLOOKUP(INDICE!$F$2,Nombres!$C$3:$D$636,34,FALSE)</f>
        <v>Comisiones netas</v>
      </c>
      <c r="B65" s="44">
        <v>60.075639179080966</v>
      </c>
      <c r="C65" s="44">
        <v>66.93578275562362</v>
      </c>
      <c r="D65" s="44">
        <v>69.3164969836973</v>
      </c>
      <c r="E65" s="45">
        <v>66.3203490982782</v>
      </c>
      <c r="F65" s="44">
        <v>67.20497209065168</v>
      </c>
      <c r="G65" s="44">
        <v>75.05018242024043</v>
      </c>
      <c r="H65" s="44">
        <v>69.84428049183383</v>
      </c>
      <c r="I65" s="44">
        <v>66.59705167727407</v>
      </c>
    </row>
    <row r="66" spans="1:9" ht="15">
      <c r="A66" s="87" t="str">
        <f>HLOOKUP(INDICE!$F$2,Nombres!$C$3:$D$636,35,FALSE)</f>
        <v>Resultados de operaciones financieras</v>
      </c>
      <c r="B66" s="44">
        <v>37.059807777821625</v>
      </c>
      <c r="C66" s="44">
        <v>62.595023228637984</v>
      </c>
      <c r="D66" s="44">
        <v>27.76380285651116</v>
      </c>
      <c r="E66" s="45">
        <v>33.2332045325703</v>
      </c>
      <c r="F66" s="44">
        <v>35.132771214185915</v>
      </c>
      <c r="G66" s="44">
        <v>41.179498920393755</v>
      </c>
      <c r="H66" s="44">
        <v>44.075897932247855</v>
      </c>
      <c r="I66" s="44">
        <v>41.44977496317248</v>
      </c>
    </row>
    <row r="67" spans="1:9" ht="15">
      <c r="A67" s="87" t="str">
        <f>HLOOKUP(INDICE!$F$2,Nombres!$C$3:$D$636,36,FALSE)</f>
        <v>Otros ingresos y cargas de explotación</v>
      </c>
      <c r="B67" s="44">
        <v>-9.308118923137044</v>
      </c>
      <c r="C67" s="44">
        <v>-11.592582936965087</v>
      </c>
      <c r="D67" s="44">
        <v>-10.114935863065321</v>
      </c>
      <c r="E67" s="45">
        <v>-8.805952274051847</v>
      </c>
      <c r="F67" s="44">
        <v>-8.975827310275836</v>
      </c>
      <c r="G67" s="44">
        <v>-8.762525549598582</v>
      </c>
      <c r="H67" s="44">
        <v>-8.07569267907388</v>
      </c>
      <c r="I67" s="44">
        <v>-10.398954461051703</v>
      </c>
    </row>
    <row r="68" spans="1:9" ht="15">
      <c r="A68" s="41" t="str">
        <f>HLOOKUP(INDICE!$F$2,Nombres!$C$3:$D$636,37,FALSE)</f>
        <v>Margen bruto</v>
      </c>
      <c r="B68" s="41">
        <f aca="true" t="shared" si="9" ref="B68:I68">+SUM(B64:B67)</f>
        <v>287.07709458157075</v>
      </c>
      <c r="C68" s="41">
        <f t="shared" si="9"/>
        <v>319.6964363819019</v>
      </c>
      <c r="D68" s="41">
        <f t="shared" si="9"/>
        <v>314.0689537028999</v>
      </c>
      <c r="E68" s="42">
        <f t="shared" si="9"/>
        <v>328.1582220648054</v>
      </c>
      <c r="F68" s="50">
        <f t="shared" si="9"/>
        <v>324.24266837124793</v>
      </c>
      <c r="G68" s="50">
        <f t="shared" si="9"/>
        <v>368.2247810724056</v>
      </c>
      <c r="H68" s="50">
        <f t="shared" si="9"/>
        <v>391.10926540199404</v>
      </c>
      <c r="I68" s="50">
        <f t="shared" si="9"/>
        <v>400.48471486435255</v>
      </c>
    </row>
    <row r="69" spans="1:9" ht="15">
      <c r="A69" s="87" t="str">
        <f>HLOOKUP(INDICE!$F$2,Nombres!$C$3:$D$636,38,FALSE)</f>
        <v>Gastos de explotación</v>
      </c>
      <c r="B69" s="44">
        <v>-112.0303997950488</v>
      </c>
      <c r="C69" s="44">
        <v>-116.28761824144166</v>
      </c>
      <c r="D69" s="44">
        <v>-119.58998287327223</v>
      </c>
      <c r="E69" s="45">
        <v>-128.70308434274781</v>
      </c>
      <c r="F69" s="44">
        <v>-125.92368012000966</v>
      </c>
      <c r="G69" s="44">
        <v>-129.84555374793092</v>
      </c>
      <c r="H69" s="44">
        <v>-144.41449050507427</v>
      </c>
      <c r="I69" s="44">
        <v>-151.89753474698512</v>
      </c>
    </row>
    <row r="70" spans="1:9" ht="15">
      <c r="A70" s="87" t="str">
        <f>HLOOKUP(INDICE!$F$2,Nombres!$C$3:$D$636,39,FALSE)</f>
        <v>  Gastos de administración</v>
      </c>
      <c r="B70" s="44">
        <v>-95.69551000975278</v>
      </c>
      <c r="C70" s="44">
        <v>-100.28748638701794</v>
      </c>
      <c r="D70" s="44">
        <v>-103.63033014462175</v>
      </c>
      <c r="E70" s="45">
        <v>-113.07680151332988</v>
      </c>
      <c r="F70" s="44">
        <v>-108.4725048484808</v>
      </c>
      <c r="G70" s="44">
        <v>-112.15974831554473</v>
      </c>
      <c r="H70" s="44">
        <v>-126.97147400884735</v>
      </c>
      <c r="I70" s="44">
        <v>-134.4885319471271</v>
      </c>
    </row>
    <row r="71" spans="1:9" ht="15">
      <c r="A71" s="88" t="str">
        <f>HLOOKUP(INDICE!$F$2,Nombres!$C$3:$D$636,40,FALSE)</f>
        <v>  Gastos de personal</v>
      </c>
      <c r="B71" s="44">
        <v>-52.17557903488774</v>
      </c>
      <c r="C71" s="44">
        <v>-53.96713544989516</v>
      </c>
      <c r="D71" s="44">
        <v>-57.393664317271146</v>
      </c>
      <c r="E71" s="45">
        <v>-66.7959784831348</v>
      </c>
      <c r="F71" s="44">
        <v>-56.7086484373728</v>
      </c>
      <c r="G71" s="44">
        <v>-58.58501717715103</v>
      </c>
      <c r="H71" s="44">
        <v>-65.50517122804516</v>
      </c>
      <c r="I71" s="44">
        <v>-71.47216315743103</v>
      </c>
    </row>
    <row r="72" spans="1:9" ht="15">
      <c r="A72" s="88" t="str">
        <f>HLOOKUP(INDICE!$F$2,Nombres!$C$3:$D$636,41,FALSE)</f>
        <v>  Otros gastos de administración</v>
      </c>
      <c r="B72" s="44">
        <v>-43.51993097486505</v>
      </c>
      <c r="C72" s="44">
        <v>-46.32035093712277</v>
      </c>
      <c r="D72" s="44">
        <v>-46.23666582735062</v>
      </c>
      <c r="E72" s="45">
        <v>-46.28082303019504</v>
      </c>
      <c r="F72" s="44">
        <v>-51.76385641110798</v>
      </c>
      <c r="G72" s="44">
        <v>-53.574731138393716</v>
      </c>
      <c r="H72" s="44">
        <v>-61.46630278080218</v>
      </c>
      <c r="I72" s="44">
        <v>-63.016368789696095</v>
      </c>
    </row>
    <row r="73" spans="1:9" ht="15">
      <c r="A73" s="87" t="str">
        <f>HLOOKUP(INDICE!$F$2,Nombres!$C$3:$D$636,42,FALSE)</f>
        <v>  Amortización</v>
      </c>
      <c r="B73" s="44">
        <v>-16.334889785295985</v>
      </c>
      <c r="C73" s="44">
        <v>-16.000131854423756</v>
      </c>
      <c r="D73" s="44">
        <v>-15.959652728650488</v>
      </c>
      <c r="E73" s="45">
        <v>-15.626282829417924</v>
      </c>
      <c r="F73" s="44">
        <v>-17.451175271528864</v>
      </c>
      <c r="G73" s="44">
        <v>-17.685805432386204</v>
      </c>
      <c r="H73" s="44">
        <v>-17.443016496226928</v>
      </c>
      <c r="I73" s="44">
        <v>-17.409002799858</v>
      </c>
    </row>
    <row r="74" spans="1:9" ht="15">
      <c r="A74" s="41" t="str">
        <f>HLOOKUP(INDICE!$F$2,Nombres!$C$3:$D$636,43,FALSE)</f>
        <v>Margen neto</v>
      </c>
      <c r="B74" s="41">
        <f aca="true" t="shared" si="10" ref="B74:I74">+B68+B69</f>
        <v>175.04669478652195</v>
      </c>
      <c r="C74" s="41">
        <f t="shared" si="10"/>
        <v>203.40881814046023</v>
      </c>
      <c r="D74" s="41">
        <f t="shared" si="10"/>
        <v>194.47897082962766</v>
      </c>
      <c r="E74" s="42">
        <f t="shared" si="10"/>
        <v>199.45513772205757</v>
      </c>
      <c r="F74" s="50">
        <f t="shared" si="10"/>
        <v>198.31898825123827</v>
      </c>
      <c r="G74" s="50">
        <f t="shared" si="10"/>
        <v>238.3792273244747</v>
      </c>
      <c r="H74" s="50">
        <f t="shared" si="10"/>
        <v>246.69477489691977</v>
      </c>
      <c r="I74" s="50">
        <f t="shared" si="10"/>
        <v>248.58718011736744</v>
      </c>
    </row>
    <row r="75" spans="1:9" ht="15">
      <c r="A75" s="87" t="str">
        <f>HLOOKUP(INDICE!$F$2,Nombres!$C$3:$D$636,44,FALSE)</f>
        <v>Deterioro de activos financieros no valorados a valor razonable con cambios en resultados</v>
      </c>
      <c r="B75" s="44">
        <v>-72.62893121899506</v>
      </c>
      <c r="C75" s="44">
        <v>-91.77855706922674</v>
      </c>
      <c r="D75" s="44">
        <v>-85.97767829418757</v>
      </c>
      <c r="E75" s="45">
        <v>-40.023643976520766</v>
      </c>
      <c r="F75" s="44">
        <v>-32.61792154825807</v>
      </c>
      <c r="G75" s="44">
        <v>-43.383271527107</v>
      </c>
      <c r="H75" s="44">
        <v>-87.33061875531561</v>
      </c>
      <c r="I75" s="44">
        <v>-122.9971881693194</v>
      </c>
    </row>
    <row r="76" spans="1:9" ht="15">
      <c r="A76" s="87" t="str">
        <f>HLOOKUP(INDICE!$F$2,Nombres!$C$3:$D$636,45,FALSE)</f>
        <v>Provisiones o reversión de provisiones y otros resultados</v>
      </c>
      <c r="B76" s="44">
        <v>-7.161353985180669</v>
      </c>
      <c r="C76" s="44">
        <v>-13.811780462941647</v>
      </c>
      <c r="D76" s="44">
        <v>-17.168301136228834</v>
      </c>
      <c r="E76" s="45">
        <v>-11.354493141761704</v>
      </c>
      <c r="F76" s="44">
        <v>-9.572593383952082</v>
      </c>
      <c r="G76" s="44">
        <v>-8.303900672119802</v>
      </c>
      <c r="H76" s="44">
        <v>-11.40441971479235</v>
      </c>
      <c r="I76" s="44">
        <v>-9.11508622913577</v>
      </c>
    </row>
    <row r="77" spans="1:9" ht="15">
      <c r="A77" s="89" t="str">
        <f>HLOOKUP(INDICE!$F$2,Nombres!$C$3:$D$636,46,FALSE)</f>
        <v>Resultado antes de impuestos</v>
      </c>
      <c r="B77" s="41">
        <f aca="true" t="shared" si="11" ref="B77:I77">+B74+B75+B76</f>
        <v>95.25640958234622</v>
      </c>
      <c r="C77" s="41">
        <f t="shared" si="11"/>
        <v>97.81848060829185</v>
      </c>
      <c r="D77" s="41">
        <f t="shared" si="11"/>
        <v>91.33299139921125</v>
      </c>
      <c r="E77" s="42">
        <f t="shared" si="11"/>
        <v>148.0770006037751</v>
      </c>
      <c r="F77" s="50">
        <f t="shared" si="11"/>
        <v>156.1284733190281</v>
      </c>
      <c r="G77" s="50">
        <f t="shared" si="11"/>
        <v>186.6920551252479</v>
      </c>
      <c r="H77" s="50">
        <f t="shared" si="11"/>
        <v>147.95973642681182</v>
      </c>
      <c r="I77" s="50">
        <f t="shared" si="11"/>
        <v>116.47490571891227</v>
      </c>
    </row>
    <row r="78" spans="1:9" ht="15">
      <c r="A78" s="43" t="str">
        <f>HLOOKUP(INDICE!$F$2,Nombres!$C$3:$D$636,47,FALSE)</f>
        <v>Impuesto sobre beneficios</v>
      </c>
      <c r="B78" s="44">
        <v>-29.498466809667875</v>
      </c>
      <c r="C78" s="44">
        <v>-33.592662711972125</v>
      </c>
      <c r="D78" s="44">
        <v>-30.38425690692984</v>
      </c>
      <c r="E78" s="45">
        <v>-41.47041239637749</v>
      </c>
      <c r="F78" s="44">
        <v>-39.32757212339297</v>
      </c>
      <c r="G78" s="44">
        <v>-50.57670842398932</v>
      </c>
      <c r="H78" s="44">
        <v>-38.209723050280175</v>
      </c>
      <c r="I78" s="44">
        <v>-37.79458027233753</v>
      </c>
    </row>
    <row r="79" spans="1:9" ht="15">
      <c r="A79" s="89" t="str">
        <f>HLOOKUP(INDICE!$F$2,Nombres!$C$3:$D$636,48,FALSE)</f>
        <v>Resultado del ejercicio</v>
      </c>
      <c r="B79" s="41">
        <f aca="true" t="shared" si="12" ref="B79:I79">+B77+B78</f>
        <v>65.75794277267835</v>
      </c>
      <c r="C79" s="41">
        <f t="shared" si="12"/>
        <v>64.22581789631973</v>
      </c>
      <c r="D79" s="41">
        <f t="shared" si="12"/>
        <v>60.94873449228142</v>
      </c>
      <c r="E79" s="42">
        <f t="shared" si="12"/>
        <v>106.6065882073976</v>
      </c>
      <c r="F79" s="50">
        <f t="shared" si="12"/>
        <v>116.80090119563513</v>
      </c>
      <c r="G79" s="50">
        <f t="shared" si="12"/>
        <v>136.11534670125857</v>
      </c>
      <c r="H79" s="50">
        <f t="shared" si="12"/>
        <v>109.75001337653164</v>
      </c>
      <c r="I79" s="50">
        <f t="shared" si="12"/>
        <v>78.68032544657474</v>
      </c>
    </row>
    <row r="80" spans="1:9" ht="15">
      <c r="A80" s="87" t="str">
        <f>HLOOKUP(INDICE!$F$2,Nombres!$C$3:$D$636,49,FALSE)</f>
        <v>Minoritarios</v>
      </c>
      <c r="B80" s="44">
        <v>-36.31665643673112</v>
      </c>
      <c r="C80" s="44">
        <v>-34.838169715951445</v>
      </c>
      <c r="D80" s="44">
        <v>-33.680312471809884</v>
      </c>
      <c r="E80" s="45">
        <v>-58.50233070300696</v>
      </c>
      <c r="F80" s="44">
        <v>-62.80152334063822</v>
      </c>
      <c r="G80" s="44">
        <v>-69.96852987912725</v>
      </c>
      <c r="H80" s="44">
        <v>-60.702008588867656</v>
      </c>
      <c r="I80" s="44">
        <v>-42.35578811136686</v>
      </c>
    </row>
    <row r="81" spans="1:9" ht="15">
      <c r="A81" s="90" t="str">
        <f>HLOOKUP(INDICE!$F$2,Nombres!$C$3:$D$636,50,FALSE)</f>
        <v>Resultado atribuido</v>
      </c>
      <c r="B81" s="47">
        <f aca="true" t="shared" si="13" ref="B81:I81">+B79+B80</f>
        <v>29.441286335947225</v>
      </c>
      <c r="C81" s="47">
        <f t="shared" si="13"/>
        <v>29.38764818036828</v>
      </c>
      <c r="D81" s="47">
        <f t="shared" si="13"/>
        <v>27.268422020471533</v>
      </c>
      <c r="E81" s="47">
        <f t="shared" si="13"/>
        <v>48.104257504390645</v>
      </c>
      <c r="F81" s="51">
        <f t="shared" si="13"/>
        <v>53.999377854996915</v>
      </c>
      <c r="G81" s="51">
        <f t="shared" si="13"/>
        <v>66.14681682213133</v>
      </c>
      <c r="H81" s="51">
        <f t="shared" si="13"/>
        <v>49.048004787663984</v>
      </c>
      <c r="I81" s="51">
        <f t="shared" si="13"/>
        <v>36.32453733520788</v>
      </c>
    </row>
    <row r="82" spans="1:9" ht="15">
      <c r="A82" s="91"/>
      <c r="B82" s="63">
        <v>-5.684341886080802E-14</v>
      </c>
      <c r="C82" s="63">
        <v>9.237055564881302E-14</v>
      </c>
      <c r="D82" s="63">
        <v>4.618527782440651E-14</v>
      </c>
      <c r="E82" s="63">
        <v>0</v>
      </c>
      <c r="F82" s="63">
        <v>0</v>
      </c>
      <c r="G82" s="63">
        <v>0</v>
      </c>
      <c r="H82" s="63">
        <v>7.815970093361102E-14</v>
      </c>
      <c r="I82" s="63">
        <v>0</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3322.063385498754</v>
      </c>
      <c r="C87" s="44">
        <v>2866.1323299375135</v>
      </c>
      <c r="D87" s="44">
        <v>4039.3679413971036</v>
      </c>
      <c r="E87" s="45">
        <v>3652.950027738539</v>
      </c>
      <c r="F87" s="44">
        <v>3522.5390346954728</v>
      </c>
      <c r="G87" s="44">
        <v>3606.845524107407</v>
      </c>
      <c r="H87" s="44">
        <v>4181.364327431524</v>
      </c>
      <c r="I87" s="44">
        <v>2912.387</v>
      </c>
    </row>
    <row r="88" spans="1:9" ht="15">
      <c r="A88" s="87" t="str">
        <f>HLOOKUP(INDICE!$F$2,Nombres!$C$3:$D$636,53,FALSE)</f>
        <v>Activos financieros a valor razonable</v>
      </c>
      <c r="B88" s="58">
        <v>3016.5001122188924</v>
      </c>
      <c r="C88" s="58">
        <v>3465.439907586765</v>
      </c>
      <c r="D88" s="58">
        <v>3278.58760682104</v>
      </c>
      <c r="E88" s="64">
        <v>2829.699029167133</v>
      </c>
      <c r="F88" s="44">
        <v>2957.6678629671605</v>
      </c>
      <c r="G88" s="44">
        <v>2889.110328096839</v>
      </c>
      <c r="H88" s="44">
        <v>3190.2394645181275</v>
      </c>
      <c r="I88" s="44">
        <v>3185.991</v>
      </c>
    </row>
    <row r="89" spans="1:9" ht="15">
      <c r="A89" s="43" t="str">
        <f>HLOOKUP(INDICE!$F$2,Nombres!$C$3:$D$636,54,FALSE)</f>
        <v>Activos financieros a coste amortizado</v>
      </c>
      <c r="B89" s="44">
        <v>19049.39041380168</v>
      </c>
      <c r="C89" s="44">
        <v>19148.39500439848</v>
      </c>
      <c r="D89" s="44">
        <v>19030.22294951611</v>
      </c>
      <c r="E89" s="45">
        <v>17873.517869439103</v>
      </c>
      <c r="F89" s="44">
        <v>17528.9237087018</v>
      </c>
      <c r="G89" s="44">
        <v>17450.833883819876</v>
      </c>
      <c r="H89" s="44">
        <v>18149.54782171536</v>
      </c>
      <c r="I89" s="44">
        <v>17303.598</v>
      </c>
    </row>
    <row r="90" spans="1:9" ht="15">
      <c r="A90" s="87" t="str">
        <f>HLOOKUP(INDICE!$F$2,Nombres!$C$3:$D$636,55,FALSE)</f>
        <v>    de los que préstamos y anticipos a la clientela</v>
      </c>
      <c r="B90" s="44">
        <v>16612.056783356373</v>
      </c>
      <c r="C90" s="44">
        <v>17510.019359334783</v>
      </c>
      <c r="D90" s="44">
        <v>17224.53835799378</v>
      </c>
      <c r="E90" s="45">
        <v>17373.54539155307</v>
      </c>
      <c r="F90" s="44">
        <v>17202.959464393363</v>
      </c>
      <c r="G90" s="44">
        <v>17097.928817319756</v>
      </c>
      <c r="H90" s="44">
        <v>17234.19311596145</v>
      </c>
      <c r="I90" s="44">
        <v>16998.711</v>
      </c>
    </row>
    <row r="91" spans="1:9" ht="15" customHeight="1" hidden="1">
      <c r="A91" s="87"/>
      <c r="B91" s="44"/>
      <c r="C91" s="44"/>
      <c r="D91" s="44"/>
      <c r="E91" s="45"/>
      <c r="F91" s="44"/>
      <c r="G91" s="44"/>
      <c r="H91" s="44"/>
      <c r="I91" s="44"/>
    </row>
    <row r="92" spans="1:9" ht="15">
      <c r="A92" s="43" t="str">
        <f>HLOOKUP(INDICE!$F$2,Nombres!$C$3:$D$636,56,FALSE)</f>
        <v>Activos tangibles</v>
      </c>
      <c r="B92" s="44">
        <v>285.28525320120383</v>
      </c>
      <c r="C92" s="44">
        <v>281.6669525328169</v>
      </c>
      <c r="D92" s="44">
        <v>282.50907290849386</v>
      </c>
      <c r="E92" s="45">
        <v>299.99037014758363</v>
      </c>
      <c r="F92" s="44">
        <v>293.0742553329328</v>
      </c>
      <c r="G92" s="44">
        <v>288.9910232964187</v>
      </c>
      <c r="H92" s="44">
        <v>300.6223363895194</v>
      </c>
      <c r="I92" s="44">
        <v>310.281</v>
      </c>
    </row>
    <row r="93" spans="1:9" ht="15">
      <c r="A93" s="87" t="str">
        <f>HLOOKUP(INDICE!$F$2,Nombres!$C$3:$D$636,57,FALSE)</f>
        <v>Otros activos</v>
      </c>
      <c r="B93" s="58">
        <f aca="true" t="shared" si="15" ref="B93:I93">+B94-B92-B89-B88-B87</f>
        <v>394.2241532183675</v>
      </c>
      <c r="C93" s="58">
        <f t="shared" si="15"/>
        <v>400.6987975922402</v>
      </c>
      <c r="D93" s="58">
        <f t="shared" si="15"/>
        <v>417.8747130775687</v>
      </c>
      <c r="E93" s="64">
        <f t="shared" si="15"/>
        <v>450.52265138266785</v>
      </c>
      <c r="F93" s="44">
        <f t="shared" si="15"/>
        <v>449.779795860034</v>
      </c>
      <c r="G93" s="44">
        <f t="shared" si="15"/>
        <v>455.2286537164291</v>
      </c>
      <c r="H93" s="44">
        <f t="shared" si="15"/>
        <v>447.9675686619639</v>
      </c>
      <c r="I93" s="44">
        <f t="shared" si="15"/>
        <v>507.73974963000046</v>
      </c>
    </row>
    <row r="94" spans="1:9" ht="15">
      <c r="A94" s="90" t="str">
        <f>HLOOKUP(INDICE!$F$2,Nombres!$C$3:$D$636,58,FALSE)</f>
        <v>Total activo / pasivo</v>
      </c>
      <c r="B94" s="47">
        <v>26067.4633179389</v>
      </c>
      <c r="C94" s="47">
        <v>26162.332992047817</v>
      </c>
      <c r="D94" s="47">
        <v>27048.562283720315</v>
      </c>
      <c r="E94" s="47">
        <v>25106.67994787503</v>
      </c>
      <c r="F94" s="51">
        <v>24751.9846575574</v>
      </c>
      <c r="G94" s="51">
        <v>24691.00941303697</v>
      </c>
      <c r="H94" s="51">
        <v>26269.741518716495</v>
      </c>
      <c r="I94" s="51">
        <v>24219.99674963</v>
      </c>
    </row>
    <row r="95" spans="1:9" ht="15">
      <c r="A95" s="87" t="str">
        <f>HLOOKUP(INDICE!$F$2,Nombres!$C$3:$D$636,59,FALSE)</f>
        <v>Pasivos financieros mantenidos para negociar y designados a valor razonable con cambios en resultados</v>
      </c>
      <c r="B95" s="58">
        <v>288.28867938402516</v>
      </c>
      <c r="C95" s="58">
        <v>425.4365328737964</v>
      </c>
      <c r="D95" s="58">
        <v>605.7217820298274</v>
      </c>
      <c r="E95" s="64">
        <v>393.7746922480433</v>
      </c>
      <c r="F95" s="44">
        <v>427.507936082653</v>
      </c>
      <c r="G95" s="44">
        <v>396.7344367044713</v>
      </c>
      <c r="H95" s="44">
        <v>438.6740001874575</v>
      </c>
      <c r="I95" s="44">
        <v>376.86699999999996</v>
      </c>
    </row>
    <row r="96" spans="1:9" ht="15">
      <c r="A96" s="87" t="str">
        <f>HLOOKUP(INDICE!$F$2,Nombres!$C$3:$D$636,60,FALSE)</f>
        <v>Depósitos de bancos centrales y entidades de crédito</v>
      </c>
      <c r="B96" s="58">
        <v>4561.381202400609</v>
      </c>
      <c r="C96" s="58">
        <v>4919.802636857015</v>
      </c>
      <c r="D96" s="58">
        <v>4931.028878038755</v>
      </c>
      <c r="E96" s="64">
        <v>4586.051463324233</v>
      </c>
      <c r="F96" s="44">
        <v>4230.920837928699</v>
      </c>
      <c r="G96" s="44">
        <v>3877.228845060374</v>
      </c>
      <c r="H96" s="44">
        <v>3706.9196470999577</v>
      </c>
      <c r="I96" s="44">
        <v>3097.4950000000003</v>
      </c>
    </row>
    <row r="97" spans="1:9" ht="15">
      <c r="A97" s="87" t="str">
        <f>HLOOKUP(INDICE!$F$2,Nombres!$C$3:$D$636,61,FALSE)</f>
        <v>Depósitos de la clientela</v>
      </c>
      <c r="B97" s="58">
        <v>16519.485577366668</v>
      </c>
      <c r="C97" s="58">
        <v>16208.286272671987</v>
      </c>
      <c r="D97" s="58">
        <v>16784.32096495517</v>
      </c>
      <c r="E97" s="64">
        <v>15483.155084854588</v>
      </c>
      <c r="F97" s="44">
        <v>15192.076846553173</v>
      </c>
      <c r="G97" s="44">
        <v>15620.74440206512</v>
      </c>
      <c r="H97" s="44">
        <v>17361.230638393346</v>
      </c>
      <c r="I97" s="44">
        <v>16220.615999999998</v>
      </c>
    </row>
    <row r="98" spans="1:9" ht="15">
      <c r="A98" s="43" t="str">
        <f>HLOOKUP(INDICE!$F$2,Nombres!$C$3:$D$636,62,FALSE)</f>
        <v>Valores representativos de deuda emitidos</v>
      </c>
      <c r="B98" s="44">
        <v>1446.485898180652</v>
      </c>
      <c r="C98" s="44">
        <v>1424.436298493599</v>
      </c>
      <c r="D98" s="44">
        <v>1487.2643576077692</v>
      </c>
      <c r="E98" s="45">
        <v>1478.3754457895348</v>
      </c>
      <c r="F98" s="44">
        <v>1392.5709949033385</v>
      </c>
      <c r="G98" s="44">
        <v>1603.6671254257533</v>
      </c>
      <c r="H98" s="44">
        <v>1058.032093069021</v>
      </c>
      <c r="I98" s="44">
        <v>947.3668865199999</v>
      </c>
    </row>
    <row r="99" spans="1:9" ht="15" customHeight="1" hidden="1">
      <c r="A99" s="43"/>
      <c r="B99" s="44"/>
      <c r="C99" s="44"/>
      <c r="D99" s="44"/>
      <c r="E99" s="45"/>
      <c r="F99" s="44"/>
      <c r="G99" s="44"/>
      <c r="H99" s="44"/>
      <c r="I99" s="44"/>
    </row>
    <row r="100" spans="1:9" ht="15">
      <c r="A100" s="87" t="str">
        <f>HLOOKUP(INDICE!$F$2,Nombres!$C$3:$D$636,63,FALSE)</f>
        <v>Otros pasivos</v>
      </c>
      <c r="B100" s="58">
        <f aca="true" t="shared" si="16" ref="B100:I100">+B94-B95-B96-B97-B98-B101</f>
        <v>1169.1656157224825</v>
      </c>
      <c r="C100" s="58">
        <f t="shared" si="16"/>
        <v>1065.4914213645575</v>
      </c>
      <c r="D100" s="58">
        <f t="shared" si="16"/>
        <v>1015.2132405079142</v>
      </c>
      <c r="E100" s="64">
        <f t="shared" si="16"/>
        <v>851.4911395743825</v>
      </c>
      <c r="F100" s="44">
        <f t="shared" si="16"/>
        <v>1120.0582292733593</v>
      </c>
      <c r="G100" s="44">
        <f t="shared" si="16"/>
        <v>799.2365846209527</v>
      </c>
      <c r="H100" s="44">
        <f t="shared" si="16"/>
        <v>1241.823207074569</v>
      </c>
      <c r="I100" s="44">
        <f t="shared" si="16"/>
        <v>1148.868887300006</v>
      </c>
    </row>
    <row r="101" spans="1:9" ht="15">
      <c r="A101" s="43" t="str">
        <f>HLOOKUP(INDICE!$F$2,Nombres!$C$3:$D$636,282,FALSE)</f>
        <v>Dotación de capital regulatorio</v>
      </c>
      <c r="B101" s="58">
        <v>2082.6563448844627</v>
      </c>
      <c r="C101" s="58">
        <v>2118.8798297868657</v>
      </c>
      <c r="D101" s="58">
        <v>2225.013060580876</v>
      </c>
      <c r="E101" s="64">
        <v>2313.8321220842486</v>
      </c>
      <c r="F101" s="44">
        <v>2388.8498128161764</v>
      </c>
      <c r="G101" s="44">
        <v>2393.3980191602973</v>
      </c>
      <c r="H101" s="44">
        <v>2463.0619328921425</v>
      </c>
      <c r="I101" s="44">
        <v>2428.78297581</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17619.753460489395</v>
      </c>
      <c r="C107" s="44">
        <v>18540.302404990533</v>
      </c>
      <c r="D107" s="44">
        <v>18212.50466007122</v>
      </c>
      <c r="E107" s="45">
        <v>18263.199230057082</v>
      </c>
      <c r="F107" s="44">
        <v>18020.294957709273</v>
      </c>
      <c r="G107" s="44">
        <v>17987.387818510742</v>
      </c>
      <c r="H107" s="44">
        <v>18127.36439465226</v>
      </c>
      <c r="I107" s="44">
        <v>17882.37740801</v>
      </c>
    </row>
    <row r="108" spans="1:9" ht="15">
      <c r="A108" s="87" t="str">
        <f>HLOOKUP(INDICE!$F$2,Nombres!$C$3:$D$636,67,FALSE)</f>
        <v>Depósitos de clientes en gestión (**)</v>
      </c>
      <c r="B108" s="44">
        <v>16519.485693023584</v>
      </c>
      <c r="C108" s="44">
        <v>16208.284367724478</v>
      </c>
      <c r="D108" s="44">
        <v>16784.32077465047</v>
      </c>
      <c r="E108" s="45">
        <v>15483.142588168332</v>
      </c>
      <c r="F108" s="44">
        <v>15186.922659405795</v>
      </c>
      <c r="G108" s="44">
        <v>15617.371734726485</v>
      </c>
      <c r="H108" s="44">
        <v>17359.254098869267</v>
      </c>
      <c r="I108" s="44">
        <v>16218.54734089</v>
      </c>
    </row>
    <row r="109" spans="1:9" ht="15">
      <c r="A109" s="43" t="str">
        <f>HLOOKUP(INDICE!$F$2,Nombres!$C$3:$D$636,68,FALSE)</f>
        <v>Fondos de inversión y carteras gestionadas</v>
      </c>
      <c r="B109" s="44">
        <v>2638.480676260074</v>
      </c>
      <c r="C109" s="44">
        <v>2289.2225734683393</v>
      </c>
      <c r="D109" s="44">
        <v>1945.856177111926</v>
      </c>
      <c r="E109" s="45">
        <v>1813.0546939711487</v>
      </c>
      <c r="F109" s="44">
        <v>1561.8393930548712</v>
      </c>
      <c r="G109" s="44">
        <v>1398.0073333826285</v>
      </c>
      <c r="H109" s="44">
        <v>1446.627132669632</v>
      </c>
      <c r="I109" s="44">
        <v>1452.6608816399998</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84" t="str">
        <f aca="true" t="shared" si="18" ref="B119:I119">+B$7</f>
        <v>1er Trim.</v>
      </c>
      <c r="C119" s="84" t="str">
        <f t="shared" si="18"/>
        <v>2º Trim.</v>
      </c>
      <c r="D119" s="84" t="str">
        <f t="shared" si="18"/>
        <v>3er Trim.</v>
      </c>
      <c r="E119" s="85" t="str">
        <f t="shared" si="18"/>
        <v>4º Trim.</v>
      </c>
      <c r="F119" s="84" t="str">
        <f t="shared" si="18"/>
        <v>1er Trim.</v>
      </c>
      <c r="G119" s="84" t="str">
        <f t="shared" si="18"/>
        <v>2º Trim.</v>
      </c>
      <c r="H119" s="84" t="str">
        <f t="shared" si="18"/>
        <v>3er Trim.</v>
      </c>
      <c r="I119" s="84" t="str">
        <f t="shared" si="18"/>
        <v>4º Trim.</v>
      </c>
    </row>
    <row r="120" spans="1:9" ht="15">
      <c r="A120" s="41" t="str">
        <f>HLOOKUP(INDICE!$F$2,Nombres!$C$3:$D$636,33,FALSE)</f>
        <v>Margen de intereses</v>
      </c>
      <c r="B120" s="41">
        <v>803.1604667218405</v>
      </c>
      <c r="C120" s="41">
        <v>813.2718225690252</v>
      </c>
      <c r="D120" s="41">
        <v>915.4370832077316</v>
      </c>
      <c r="E120" s="42">
        <v>956.9839314557855</v>
      </c>
      <c r="F120" s="50">
        <v>930.6625350120972</v>
      </c>
      <c r="G120" s="50">
        <v>1051.0939091716139</v>
      </c>
      <c r="H120" s="50">
        <v>1149.880361408794</v>
      </c>
      <c r="I120" s="50">
        <v>1220.711994425664</v>
      </c>
    </row>
    <row r="121" spans="1:9" ht="15">
      <c r="A121" s="87" t="str">
        <f>HLOOKUP(INDICE!$F$2,Nombres!$C$3:$D$636,34,FALSE)</f>
        <v>Comisiones netas</v>
      </c>
      <c r="B121" s="44">
        <v>242.16027570655672</v>
      </c>
      <c r="C121" s="44">
        <v>269.81298623253315</v>
      </c>
      <c r="D121" s="44">
        <v>279.40946197089863</v>
      </c>
      <c r="E121" s="45">
        <v>267.33222054816633</v>
      </c>
      <c r="F121" s="44">
        <v>270.89806771445194</v>
      </c>
      <c r="G121" s="44">
        <v>302.5215064718157</v>
      </c>
      <c r="H121" s="44">
        <v>281.5369166528658</v>
      </c>
      <c r="I121" s="44">
        <v>268.4475873379997</v>
      </c>
    </row>
    <row r="122" spans="1:9" ht="15">
      <c r="A122" s="87" t="str">
        <f>HLOOKUP(INDICE!$F$2,Nombres!$C$3:$D$636,35,FALSE)</f>
        <v>Resultados de operaciones financieras</v>
      </c>
      <c r="B122" s="44">
        <v>149.38523154713724</v>
      </c>
      <c r="C122" s="44">
        <v>252.31571881774494</v>
      </c>
      <c r="D122" s="44">
        <v>111.91375150172959</v>
      </c>
      <c r="E122" s="45">
        <v>133.9604885139854</v>
      </c>
      <c r="F122" s="44">
        <v>141.61749554094038</v>
      </c>
      <c r="G122" s="44">
        <v>165.99138932662055</v>
      </c>
      <c r="H122" s="44">
        <v>177.66655072067545</v>
      </c>
      <c r="I122" s="44">
        <v>167.0808512438058</v>
      </c>
    </row>
    <row r="123" spans="1:9" ht="15">
      <c r="A123" s="87" t="str">
        <f>HLOOKUP(INDICE!$F$2,Nombres!$C$3:$D$636,36,FALSE)</f>
        <v>Otros ingresos y cargas de explotación</v>
      </c>
      <c r="B123" s="44">
        <v>-37.52031065399256</v>
      </c>
      <c r="C123" s="44">
        <v>-46.72880919000045</v>
      </c>
      <c r="D123" s="44">
        <v>-40.772527613937726</v>
      </c>
      <c r="E123" s="45">
        <v>-35.49611555836296</v>
      </c>
      <c r="F123" s="44">
        <v>-36.18086874900378</v>
      </c>
      <c r="G123" s="44">
        <v>-35.321065775949705</v>
      </c>
      <c r="H123" s="44">
        <v>-32.552495360996815</v>
      </c>
      <c r="I123" s="44">
        <v>-41.9173847129883</v>
      </c>
    </row>
    <row r="124" spans="1:9" ht="15">
      <c r="A124" s="41" t="str">
        <f>HLOOKUP(INDICE!$F$2,Nombres!$C$3:$D$636,37,FALSE)</f>
        <v>Margen bruto</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1484.2857391941002</v>
      </c>
      <c r="H124" s="50">
        <f t="shared" si="19"/>
        <v>1576.5313334213386</v>
      </c>
      <c r="I124" s="50">
        <f t="shared" si="19"/>
        <v>1614.3230482944814</v>
      </c>
    </row>
    <row r="125" spans="1:9" ht="15">
      <c r="A125" s="87" t="str">
        <f>HLOOKUP(INDICE!$F$2,Nombres!$C$3:$D$636,38,FALSE)</f>
        <v>Gastos de explotación</v>
      </c>
      <c r="B125" s="44">
        <v>-451.5859152328674</v>
      </c>
      <c r="C125" s="44">
        <v>-468.7464349844496</v>
      </c>
      <c r="D125" s="44">
        <v>-482.0580125332765</v>
      </c>
      <c r="E125" s="45">
        <v>-518.7922228479033</v>
      </c>
      <c r="F125" s="44">
        <v>-507.58865844017606</v>
      </c>
      <c r="G125" s="44">
        <v>-523.397429050051</v>
      </c>
      <c r="H125" s="44">
        <v>-582.1236913099403</v>
      </c>
      <c r="I125" s="44">
        <v>-612.2872664546642</v>
      </c>
    </row>
    <row r="126" spans="1:9" ht="15">
      <c r="A126" s="87" t="str">
        <f>HLOOKUP(INDICE!$F$2,Nombres!$C$3:$D$636,39,FALSE)</f>
        <v>  Gastos de administración</v>
      </c>
      <c r="B126" s="44">
        <v>-385.74123229488043</v>
      </c>
      <c r="C126" s="44">
        <v>-404.2511354894474</v>
      </c>
      <c r="D126" s="44">
        <v>-417.7258812773735</v>
      </c>
      <c r="E126" s="45">
        <v>-455.80387998632415</v>
      </c>
      <c r="F126" s="44">
        <v>-437.24431466116874</v>
      </c>
      <c r="G126" s="44">
        <v>-452.10730915915036</v>
      </c>
      <c r="H126" s="44">
        <v>-511.8122349259495</v>
      </c>
      <c r="I126" s="44">
        <v>-542.1129166616817</v>
      </c>
    </row>
    <row r="127" spans="1:9" ht="15">
      <c r="A127" s="88" t="str">
        <f>HLOOKUP(INDICE!$F$2,Nombres!$C$3:$D$636,40,FALSE)</f>
        <v>  Gastos de personal</v>
      </c>
      <c r="B127" s="44">
        <v>-210.3157415699583</v>
      </c>
      <c r="C127" s="44">
        <v>-217.5373675290062</v>
      </c>
      <c r="D127" s="44">
        <v>-231.3494415506703</v>
      </c>
      <c r="E127" s="45">
        <v>-269.2494459750598</v>
      </c>
      <c r="F127" s="44">
        <v>-228.58819528502391</v>
      </c>
      <c r="G127" s="44">
        <v>-236.15169319467384</v>
      </c>
      <c r="H127" s="44">
        <v>-264.0463013219543</v>
      </c>
      <c r="I127" s="44">
        <v>-288.09878633092023</v>
      </c>
    </row>
    <row r="128" spans="1:9" ht="15">
      <c r="A128" s="88" t="str">
        <f>HLOOKUP(INDICE!$F$2,Nombres!$C$3:$D$636,41,FALSE)</f>
        <v>  Otros gastos de administración</v>
      </c>
      <c r="B128" s="44">
        <v>-175.42549072492216</v>
      </c>
      <c r="C128" s="44">
        <v>-186.7137679604412</v>
      </c>
      <c r="D128" s="44">
        <v>-186.3764397267032</v>
      </c>
      <c r="E128" s="45">
        <v>-186.5544340112644</v>
      </c>
      <c r="F128" s="44">
        <v>-208.6561193761449</v>
      </c>
      <c r="G128" s="44">
        <v>-215.9556159644765</v>
      </c>
      <c r="H128" s="44">
        <v>-247.76593360399517</v>
      </c>
      <c r="I128" s="44">
        <v>-254.01413033076142</v>
      </c>
    </row>
    <row r="129" spans="1:9" ht="15">
      <c r="A129" s="87" t="str">
        <f>HLOOKUP(INDICE!$F$2,Nombres!$C$3:$D$636,42,FALSE)</f>
        <v>  Amortización</v>
      </c>
      <c r="B129" s="44">
        <v>-65.84468293798695</v>
      </c>
      <c r="C129" s="44">
        <v>-64.49529949500223</v>
      </c>
      <c r="D129" s="44">
        <v>-64.33213125590296</v>
      </c>
      <c r="E129" s="45">
        <v>-62.98834286157927</v>
      </c>
      <c r="F129" s="44">
        <v>-70.34434377900736</v>
      </c>
      <c r="G129" s="44">
        <v>-71.2901198909005</v>
      </c>
      <c r="H129" s="44">
        <v>-70.31145638399093</v>
      </c>
      <c r="I129" s="44">
        <v>-70.17434979298253</v>
      </c>
    </row>
    <row r="130" spans="1:9" ht="15">
      <c r="A130" s="41" t="str">
        <f>HLOOKUP(INDICE!$F$2,Nombres!$C$3:$D$636,43,FALSE)</f>
        <v>Margen neto</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960.8883101440492</v>
      </c>
      <c r="H130" s="50">
        <f t="shared" si="20"/>
        <v>994.4076421113982</v>
      </c>
      <c r="I130" s="50">
        <f t="shared" si="20"/>
        <v>1002.0357818398172</v>
      </c>
    </row>
    <row r="131" spans="1:9" ht="15">
      <c r="A131" s="87" t="str">
        <f>HLOOKUP(INDICE!$F$2,Nombres!$C$3:$D$636,44,FALSE)</f>
        <v>Deterioro de activos financieros no valorados a valor razonable con cambios en resultados</v>
      </c>
      <c r="B131" s="44">
        <v>-292.76162931594195</v>
      </c>
      <c r="C131" s="44">
        <v>-369.952296597003</v>
      </c>
      <c r="D131" s="44">
        <v>-346.5694009224958</v>
      </c>
      <c r="E131" s="45">
        <v>-161.33222704870096</v>
      </c>
      <c r="F131" s="44">
        <v>-131.48033018101378</v>
      </c>
      <c r="G131" s="44">
        <v>-174.87462701378718</v>
      </c>
      <c r="H131" s="44">
        <v>-352.02299974488494</v>
      </c>
      <c r="I131" s="44">
        <v>-495.79219472682894</v>
      </c>
    </row>
    <row r="132" spans="1:9" ht="15">
      <c r="A132" s="87" t="str">
        <f>HLOOKUP(INDICE!$F$2,Nombres!$C$3:$D$636,45,FALSE)</f>
        <v>Provisiones o reversión de provisiones y otros resultados</v>
      </c>
      <c r="B132" s="44">
        <v>-28.866866489994273</v>
      </c>
      <c r="C132" s="44">
        <v>-55.67422353899872</v>
      </c>
      <c r="D132" s="44">
        <v>-69.20409992092185</v>
      </c>
      <c r="E132" s="45">
        <v>-45.76908755845022</v>
      </c>
      <c r="F132" s="44">
        <v>-38.58638684100403</v>
      </c>
      <c r="G132" s="44">
        <v>-33.47238420894908</v>
      </c>
      <c r="H132" s="44">
        <v>-45.97033772999054</v>
      </c>
      <c r="I132" s="44">
        <v>-36.74221072799123</v>
      </c>
    </row>
    <row r="133" spans="1:9" ht="15">
      <c r="A133" s="89" t="str">
        <f>HLOOKUP(INDICE!$F$2,Nombres!$C$3:$D$636,46,FALSE)</f>
        <v>Resultado antes de impuestos</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752.541298921313</v>
      </c>
      <c r="H133" s="50">
        <f t="shared" si="21"/>
        <v>596.4143046365227</v>
      </c>
      <c r="I133" s="50">
        <f t="shared" si="21"/>
        <v>469.50137638499706</v>
      </c>
    </row>
    <row r="134" spans="1:9" ht="15">
      <c r="A134" s="43" t="str">
        <f>HLOOKUP(INDICE!$F$2,Nombres!$C$3:$D$636,47,FALSE)</f>
        <v>Impuesto sobre beneficios</v>
      </c>
      <c r="B134" s="44">
        <v>-118.90604832777684</v>
      </c>
      <c r="C134" s="44">
        <v>-135.40943675687387</v>
      </c>
      <c r="D134" s="44">
        <v>-122.47660000400083</v>
      </c>
      <c r="E134" s="45">
        <v>-167.16403914797274</v>
      </c>
      <c r="F134" s="44">
        <v>-158.5264150062769</v>
      </c>
      <c r="G134" s="44">
        <v>-203.87081725046653</v>
      </c>
      <c r="H134" s="44">
        <v>-154.02045146693968</v>
      </c>
      <c r="I134" s="44">
        <v>-152.34704289504757</v>
      </c>
    </row>
    <row r="135" spans="1:9" ht="15">
      <c r="A135" s="89" t="str">
        <f>HLOOKUP(INDICE!$F$2,Nombres!$C$3:$D$636,48,FALSE)</f>
        <v>Resultado del ejercicio</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548.6704816708465</v>
      </c>
      <c r="H135" s="50">
        <f t="shared" si="22"/>
        <v>442.39385316958305</v>
      </c>
      <c r="I135" s="50">
        <f t="shared" si="22"/>
        <v>317.1543334899495</v>
      </c>
    </row>
    <row r="136" spans="1:9" ht="15">
      <c r="A136" s="87" t="str">
        <f>HLOOKUP(INDICE!$F$2,Nombres!$C$3:$D$636,49,FALSE)</f>
        <v>Minoritarios</v>
      </c>
      <c r="B136" s="44">
        <v>-146.38964571385588</v>
      </c>
      <c r="C136" s="44">
        <v>-140.42997958587307</v>
      </c>
      <c r="D136" s="44">
        <v>-135.76274618974824</v>
      </c>
      <c r="E136" s="45">
        <v>-235.81839038425767</v>
      </c>
      <c r="F136" s="44">
        <v>-253.14810486870894</v>
      </c>
      <c r="G136" s="44">
        <v>-282.03775636584254</v>
      </c>
      <c r="H136" s="44">
        <v>-244.68512256696118</v>
      </c>
      <c r="I136" s="44">
        <v>-170.73292048116343</v>
      </c>
    </row>
    <row r="137" spans="1:9" ht="15">
      <c r="A137" s="90" t="str">
        <f>HLOOKUP(INDICE!$F$2,Nombres!$C$3:$D$636,50,FALSE)</f>
        <v>Resultado atribuido</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266.63272530500393</v>
      </c>
      <c r="H137" s="51">
        <f t="shared" si="23"/>
        <v>197.70873060262187</v>
      </c>
      <c r="I137" s="51">
        <f t="shared" si="23"/>
        <v>146.4214130087861</v>
      </c>
    </row>
    <row r="138" spans="1:9" ht="15">
      <c r="A138" s="91"/>
      <c r="B138" s="63">
        <v>1.7053025658242404E-13</v>
      </c>
      <c r="C138" s="63">
        <v>0</v>
      </c>
      <c r="D138" s="63">
        <v>-1.4210854715202004E-13</v>
      </c>
      <c r="E138" s="63">
        <v>0</v>
      </c>
      <c r="F138" s="63">
        <v>0</v>
      </c>
      <c r="G138" s="63">
        <v>0</v>
      </c>
      <c r="H138" s="63">
        <v>2.5579538487363607E-13</v>
      </c>
      <c r="I138" s="63">
        <v>2.8421709430404007E-13</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87" t="str">
        <f>HLOOKUP(INDICE!$F$2,Nombres!$C$3:$D$636,52,FALSE)</f>
        <v>Efectivo, saldos en efectivo en bancos centrales y otros depósitos a la vista</v>
      </c>
      <c r="B143" s="44">
        <v>13478.40845017633</v>
      </c>
      <c r="C143" s="44">
        <v>11628.58673431168</v>
      </c>
      <c r="D143" s="44">
        <v>16388.685186548348</v>
      </c>
      <c r="E143" s="45">
        <v>14820.894970536818</v>
      </c>
      <c r="F143" s="44">
        <v>14291.78627312295</v>
      </c>
      <c r="G143" s="44">
        <v>14633.837934224506</v>
      </c>
      <c r="H143" s="44">
        <v>16964.798603822444</v>
      </c>
      <c r="I143" s="44">
        <v>11816.253031875938</v>
      </c>
    </row>
    <row r="144" spans="1:9" ht="15">
      <c r="A144" s="87" t="str">
        <f>HLOOKUP(INDICE!$F$2,Nombres!$C$3:$D$636,53,FALSE)</f>
        <v>Activos financieros a valor razonable</v>
      </c>
      <c r="B144" s="58">
        <v>12238.664915294772</v>
      </c>
      <c r="C144" s="58">
        <v>14060.121410652497</v>
      </c>
      <c r="D144" s="58">
        <v>13302.016781894023</v>
      </c>
      <c r="E144" s="64">
        <v>11480.768089094112</v>
      </c>
      <c r="F144" s="44">
        <v>11999.96836034076</v>
      </c>
      <c r="G144" s="44">
        <v>11721.81398756359</v>
      </c>
      <c r="H144" s="44">
        <v>12943.567165017079</v>
      </c>
      <c r="I144" s="44">
        <v>12926.330124835556</v>
      </c>
    </row>
    <row r="145" spans="1:9" ht="15">
      <c r="A145" s="43" t="str">
        <f>HLOOKUP(INDICE!$F$2,Nombres!$C$3:$D$636,54,FALSE)</f>
        <v>Activos financieros a coste amortizado</v>
      </c>
      <c r="B145" s="44">
        <v>77287.94876246613</v>
      </c>
      <c r="C145" s="44">
        <v>77689.634147619</v>
      </c>
      <c r="D145" s="44">
        <v>77210.1817596682</v>
      </c>
      <c r="E145" s="45">
        <v>72517.15164057817</v>
      </c>
      <c r="F145" s="44">
        <v>71119.05042786886</v>
      </c>
      <c r="G145" s="44">
        <v>70802.22126676503</v>
      </c>
      <c r="H145" s="44">
        <v>73637.07140415112</v>
      </c>
      <c r="I145" s="44">
        <v>70204.84994949588</v>
      </c>
    </row>
    <row r="146" spans="1:9" ht="15">
      <c r="A146" s="87" t="str">
        <f>HLOOKUP(INDICE!$F$2,Nombres!$C$3:$D$636,55,FALSE)</f>
        <v>    de los que préstamos y anticipos a la clientela</v>
      </c>
      <c r="B146" s="44">
        <v>67399.10126368164</v>
      </c>
      <c r="C146" s="44">
        <v>71042.35094544305</v>
      </c>
      <c r="D146" s="44">
        <v>69884.08600756266</v>
      </c>
      <c r="E146" s="45">
        <v>70488.64330440058</v>
      </c>
      <c r="F146" s="44">
        <v>69796.53525729133</v>
      </c>
      <c r="G146" s="44">
        <v>69370.40071475857</v>
      </c>
      <c r="H146" s="44">
        <v>69923.2576777794</v>
      </c>
      <c r="I146" s="44">
        <v>68967.85021761629</v>
      </c>
    </row>
    <row r="147" spans="1:9" ht="15" customHeight="1" hidden="1">
      <c r="A147" s="87"/>
      <c r="B147" s="44"/>
      <c r="C147" s="44"/>
      <c r="D147" s="44"/>
      <c r="E147" s="45"/>
      <c r="F147" s="44"/>
      <c r="G147" s="44"/>
      <c r="H147" s="44"/>
      <c r="I147" s="44"/>
    </row>
    <row r="148" spans="1:9" ht="15">
      <c r="A148" s="43" t="str">
        <f>HLOOKUP(INDICE!$F$2,Nombres!$C$3:$D$636,56,FALSE)</f>
        <v>Activos tangibles</v>
      </c>
      <c r="B148" s="44">
        <v>1157.4707406976545</v>
      </c>
      <c r="C148" s="44">
        <v>1142.790426493853</v>
      </c>
      <c r="D148" s="44">
        <v>1146.2071109668636</v>
      </c>
      <c r="E148" s="45">
        <v>1217.1329293771637</v>
      </c>
      <c r="F148" s="44">
        <v>1189.0725917065797</v>
      </c>
      <c r="G148" s="44">
        <v>1172.5059393587585</v>
      </c>
      <c r="H148" s="44">
        <v>1219.696968092594</v>
      </c>
      <c r="I148" s="44">
        <v>1258.8844844395674</v>
      </c>
    </row>
    <row r="149" spans="1:9" ht="15">
      <c r="A149" s="87" t="str">
        <f>HLOOKUP(INDICE!$F$2,Nombres!$C$3:$D$636,57,FALSE)</f>
        <v>Otros activos</v>
      </c>
      <c r="B149" s="58">
        <f aca="true" t="shared" si="25" ref="B149:I149">+B150-B148-B145-B144-B143</f>
        <v>1599.462003403174</v>
      </c>
      <c r="C149" s="58">
        <f t="shared" si="25"/>
        <v>1625.7311895425883</v>
      </c>
      <c r="D149" s="58">
        <f t="shared" si="25"/>
        <v>1695.418000886275</v>
      </c>
      <c r="E149" s="64">
        <f t="shared" si="25"/>
        <v>1827.8785220951795</v>
      </c>
      <c r="F149" s="44">
        <f t="shared" si="25"/>
        <v>1824.864578954488</v>
      </c>
      <c r="G149" s="44">
        <f t="shared" si="25"/>
        <v>1846.9719030037995</v>
      </c>
      <c r="H149" s="44">
        <f t="shared" si="25"/>
        <v>1817.5119382774392</v>
      </c>
      <c r="I149" s="44">
        <f t="shared" si="25"/>
        <v>2060.0220217880997</v>
      </c>
    </row>
    <row r="150" spans="1:9" ht="15">
      <c r="A150" s="90" t="str">
        <f>HLOOKUP(INDICE!$F$2,Nombres!$C$3:$D$636,58,FALSE)</f>
        <v>Total activo / pasivo</v>
      </c>
      <c r="B150" s="47">
        <v>105761.95487203806</v>
      </c>
      <c r="C150" s="47">
        <v>106146.86390861962</v>
      </c>
      <c r="D150" s="47">
        <v>109742.5088399637</v>
      </c>
      <c r="E150" s="47">
        <v>101863.82615168145</v>
      </c>
      <c r="F150" s="51">
        <v>100424.74223199364</v>
      </c>
      <c r="G150" s="51">
        <v>100177.35103091568</v>
      </c>
      <c r="H150" s="51">
        <v>106582.64607936068</v>
      </c>
      <c r="I150" s="51">
        <v>98266.33961243504</v>
      </c>
    </row>
    <row r="151" spans="1:9" ht="15">
      <c r="A151" s="87" t="str">
        <f>HLOOKUP(INDICE!$F$2,Nombres!$C$3:$D$636,59,FALSE)</f>
        <v>Pasivos financieros mantenidos para negociar y designados a valor razonable con cambios en resultados</v>
      </c>
      <c r="B151" s="58">
        <v>1169.6563615436403</v>
      </c>
      <c r="C151" s="58">
        <v>1726.0981186362885</v>
      </c>
      <c r="D151" s="58">
        <v>2457.558642921852</v>
      </c>
      <c r="E151" s="64">
        <v>1597.6384323759025</v>
      </c>
      <c r="F151" s="44">
        <v>1734.5022985913872</v>
      </c>
      <c r="G151" s="44">
        <v>1609.646825974296</v>
      </c>
      <c r="H151" s="44">
        <v>1779.8057005199482</v>
      </c>
      <c r="I151" s="44">
        <v>1529.0398670794743</v>
      </c>
    </row>
    <row r="152" spans="1:9" ht="15">
      <c r="A152" s="87" t="str">
        <f>HLOOKUP(INDICE!$F$2,Nombres!$C$3:$D$636,60,FALSE)</f>
        <v>Depósitos de bancos centrales y entidades de crédito</v>
      </c>
      <c r="B152" s="58">
        <v>18506.618269621486</v>
      </c>
      <c r="C152" s="58">
        <v>19960.8200503549</v>
      </c>
      <c r="D152" s="58">
        <v>20006.367605127074</v>
      </c>
      <c r="E152" s="64">
        <v>18606.711439051214</v>
      </c>
      <c r="F152" s="44">
        <v>17165.861260471935</v>
      </c>
      <c r="G152" s="44">
        <v>15730.847959327344</v>
      </c>
      <c r="H152" s="44">
        <v>15039.862668994665</v>
      </c>
      <c r="I152" s="44">
        <v>12567.28061379568</v>
      </c>
    </row>
    <row r="153" spans="1:9" ht="15">
      <c r="A153" s="87" t="str">
        <f>HLOOKUP(INDICE!$F$2,Nombres!$C$3:$D$636,61,FALSE)</f>
        <v>Depósitos de la clientela</v>
      </c>
      <c r="B153" s="58">
        <v>67023.51766389208</v>
      </c>
      <c r="C153" s="58">
        <v>65760.9073969131</v>
      </c>
      <c r="D153" s="58">
        <v>68098.01839183131</v>
      </c>
      <c r="E153" s="64">
        <v>62818.876136453844</v>
      </c>
      <c r="F153" s="44">
        <v>61637.90186488822</v>
      </c>
      <c r="G153" s="44">
        <v>63377.109017812894</v>
      </c>
      <c r="H153" s="44">
        <v>70438.6793952908</v>
      </c>
      <c r="I153" s="44">
        <v>65810.93205981737</v>
      </c>
    </row>
    <row r="154" spans="1:9" ht="15">
      <c r="A154" s="43" t="str">
        <f>HLOOKUP(INDICE!$F$2,Nombres!$C$3:$D$636,62,FALSE)</f>
        <v>Valores representativos de deuda emitidos</v>
      </c>
      <c r="B154" s="44">
        <v>5868.74044553245</v>
      </c>
      <c r="C154" s="44">
        <v>5779.279927698184</v>
      </c>
      <c r="D154" s="44">
        <v>6034.188442258471</v>
      </c>
      <c r="E154" s="45">
        <v>5998.123993673071</v>
      </c>
      <c r="F154" s="44">
        <v>5649.994743359681</v>
      </c>
      <c r="G154" s="44">
        <v>6506.462407960147</v>
      </c>
      <c r="H154" s="44">
        <v>4292.690129281878</v>
      </c>
      <c r="I154" s="44">
        <v>3843.6948266630834</v>
      </c>
    </row>
    <row r="155" spans="1:9" ht="15" customHeight="1" hidden="1">
      <c r="A155" s="43"/>
      <c r="B155" s="44"/>
      <c r="C155" s="44"/>
      <c r="D155" s="44"/>
      <c r="E155" s="45"/>
      <c r="F155" s="44"/>
      <c r="G155" s="44"/>
      <c r="H155" s="44"/>
      <c r="I155" s="44"/>
    </row>
    <row r="156" spans="1:9" ht="15.75" customHeight="1">
      <c r="A156" s="87" t="str">
        <f>HLOOKUP(INDICE!$F$2,Nombres!$C$3:$D$636,63,FALSE)</f>
        <v>Otros pasivos</v>
      </c>
      <c r="B156" s="58">
        <f aca="true" t="shared" si="26" ref="B156:I156">+B150-B151-B152-B153-B154-B157</f>
        <v>4743.585502732261</v>
      </c>
      <c r="C156" s="58">
        <f t="shared" si="26"/>
        <v>4322.954414415635</v>
      </c>
      <c r="D156" s="58">
        <f t="shared" si="26"/>
        <v>4118.963767916943</v>
      </c>
      <c r="E156" s="64">
        <f t="shared" si="26"/>
        <v>3454.7039111255563</v>
      </c>
      <c r="F156" s="44">
        <f t="shared" si="26"/>
        <v>4544.345050135451</v>
      </c>
      <c r="G156" s="44">
        <f t="shared" si="26"/>
        <v>3242.6946405864055</v>
      </c>
      <c r="H156" s="44">
        <f t="shared" si="26"/>
        <v>5038.374788669496</v>
      </c>
      <c r="I156" s="44">
        <f t="shared" si="26"/>
        <v>4661.236804307466</v>
      </c>
    </row>
    <row r="157" spans="1:9" ht="15.75" customHeight="1">
      <c r="A157" s="43" t="str">
        <f>HLOOKUP(INDICE!$F$2,Nombres!$C$3:$D$636,282,FALSE)</f>
        <v>Dotación de capital regulatorio</v>
      </c>
      <c r="B157" s="58">
        <v>8449.836628716133</v>
      </c>
      <c r="C157" s="58">
        <v>8596.804000601509</v>
      </c>
      <c r="D157" s="58">
        <v>9027.41198990805</v>
      </c>
      <c r="E157" s="64">
        <v>9387.77223900187</v>
      </c>
      <c r="F157" s="44">
        <v>9692.137014546974</v>
      </c>
      <c r="G157" s="44">
        <v>9710.590179254588</v>
      </c>
      <c r="H157" s="44">
        <v>9993.233396603882</v>
      </c>
      <c r="I157" s="44">
        <v>9854.15544077198</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87" t="str">
        <f>HLOOKUP(INDICE!$F$2,Nombres!$C$3:$D$636,66,FALSE)</f>
        <v>Préstamos y anticipos a la clientela bruto (*)</v>
      </c>
      <c r="B163" s="44">
        <v>71487.56853001141</v>
      </c>
      <c r="C163" s="44">
        <v>75222.45652959793</v>
      </c>
      <c r="D163" s="44">
        <v>73892.50240700193</v>
      </c>
      <c r="E163" s="45">
        <v>74098.18244413134</v>
      </c>
      <c r="F163" s="44">
        <v>73112.66151419122</v>
      </c>
      <c r="G163" s="44">
        <v>72979.14935274945</v>
      </c>
      <c r="H163" s="44">
        <v>73547.06791653363</v>
      </c>
      <c r="I163" s="44">
        <v>72553.09691484955</v>
      </c>
    </row>
    <row r="164" spans="1:9" ht="15">
      <c r="A164" s="87" t="str">
        <f>HLOOKUP(INDICE!$F$2,Nombres!$C$3:$D$636,67,FALSE)</f>
        <v>Depósitos de clientes en gestión (**)</v>
      </c>
      <c r="B164" s="44">
        <v>67023.51813313995</v>
      </c>
      <c r="C164" s="44">
        <v>65760.89966808388</v>
      </c>
      <c r="D164" s="44">
        <v>68098.01761971945</v>
      </c>
      <c r="E164" s="45">
        <v>62818.82543439849</v>
      </c>
      <c r="F164" s="44">
        <v>61616.99009062639</v>
      </c>
      <c r="G164" s="44">
        <v>63363.425296979905</v>
      </c>
      <c r="H164" s="44">
        <v>70430.66010007214</v>
      </c>
      <c r="I164" s="44">
        <v>65802.53901332992</v>
      </c>
    </row>
    <row r="165" spans="1:9" ht="15">
      <c r="A165" s="43" t="str">
        <f>HLOOKUP(INDICE!$F$2,Nombres!$C$3:$D$636,68,FALSE)</f>
        <v>Fondos de inversión y carteras gestionadas</v>
      </c>
      <c r="B165" s="44">
        <v>10704.94933894574</v>
      </c>
      <c r="C165" s="44">
        <v>9287.925393975494</v>
      </c>
      <c r="D165" s="44">
        <v>7894.805516022876</v>
      </c>
      <c r="E165" s="45">
        <v>7355.998026564976</v>
      </c>
      <c r="F165" s="44">
        <v>6336.757259075768</v>
      </c>
      <c r="G165" s="44">
        <v>5672.051273291387</v>
      </c>
      <c r="H165" s="44">
        <v>5869.31346775052</v>
      </c>
      <c r="I165" s="44">
        <v>5893.793835423048</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72.87927522000001</v>
      </c>
      <c r="C8" s="41">
        <v>68.00738393</v>
      </c>
      <c r="D8" s="41">
        <v>69.94415282</v>
      </c>
      <c r="E8" s="42">
        <v>72.05649285999999</v>
      </c>
      <c r="F8" s="50">
        <v>75.16487686</v>
      </c>
      <c r="G8" s="237">
        <v>79.87970389</v>
      </c>
      <c r="H8" s="237">
        <v>88.58326642</v>
      </c>
      <c r="I8" s="237">
        <v>88.36373176000001</v>
      </c>
      <c r="J8" s="86"/>
      <c r="K8" s="86"/>
      <c r="L8" s="86"/>
      <c r="M8" s="86"/>
      <c r="N8" s="86"/>
    </row>
    <row r="9" spans="1:9" ht="15">
      <c r="A9" s="87" t="str">
        <f>HLOOKUP(INDICE!$F$2,Nombres!$C$3:$D$636,34,FALSE)</f>
        <v>Comisiones netas</v>
      </c>
      <c r="B9" s="44">
        <v>71.18238968</v>
      </c>
      <c r="C9" s="44">
        <v>60.971991079999995</v>
      </c>
      <c r="D9" s="44">
        <v>52.03419697</v>
      </c>
      <c r="E9" s="45">
        <v>57.78572011000001</v>
      </c>
      <c r="F9" s="44">
        <v>56.092037250000004</v>
      </c>
      <c r="G9" s="44">
        <v>65.45684638</v>
      </c>
      <c r="H9" s="44">
        <v>64.02536595000001</v>
      </c>
      <c r="I9" s="44">
        <v>57.09132949000001</v>
      </c>
    </row>
    <row r="10" spans="1:9" ht="15">
      <c r="A10" s="87" t="str">
        <f>HLOOKUP(INDICE!$F$2,Nombres!$C$3:$D$636,35,FALSE)</f>
        <v>Resultados de operaciones financieras</v>
      </c>
      <c r="B10" s="44">
        <v>78.43823870000001</v>
      </c>
      <c r="C10" s="44">
        <v>54.411176080000004</v>
      </c>
      <c r="D10" s="44">
        <v>62.875532129999996</v>
      </c>
      <c r="E10" s="45">
        <v>40.01881293000001</v>
      </c>
      <c r="F10" s="44">
        <v>68.10386955999999</v>
      </c>
      <c r="G10" s="44">
        <v>35.235650719999995</v>
      </c>
      <c r="H10" s="44">
        <v>47.164420969999995</v>
      </c>
      <c r="I10" s="44">
        <v>57.76341672</v>
      </c>
    </row>
    <row r="11" spans="1:9" ht="15">
      <c r="A11" s="87" t="str">
        <f>HLOOKUP(INDICE!$F$2,Nombres!$C$3:$D$636,36,FALSE)</f>
        <v>Otros ingresos y cargas de explotación</v>
      </c>
      <c r="B11" s="44">
        <v>8.416999220000001</v>
      </c>
      <c r="C11" s="44">
        <v>7.957013449999996</v>
      </c>
      <c r="D11" s="44">
        <v>-2.540170099999999</v>
      </c>
      <c r="E11" s="45">
        <v>1.7754720799999992</v>
      </c>
      <c r="F11" s="44">
        <v>2.5557426499999996</v>
      </c>
      <c r="G11" s="44">
        <v>1.1864536800000003</v>
      </c>
      <c r="H11" s="44">
        <v>1.2228672900000008</v>
      </c>
      <c r="I11" s="44">
        <v>1.6406525399999994</v>
      </c>
    </row>
    <row r="12" spans="1:9" ht="15">
      <c r="A12" s="41" t="str">
        <f>HLOOKUP(INDICE!$F$2,Nombres!$C$3:$D$636,37,FALSE)</f>
        <v>Margen bruto</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181.75865467</v>
      </c>
      <c r="H12" s="50">
        <f t="shared" si="0"/>
        <v>200.99592063</v>
      </c>
      <c r="I12" s="50">
        <f t="shared" si="0"/>
        <v>204.85913051000003</v>
      </c>
    </row>
    <row r="13" spans="1:9" ht="15">
      <c r="A13" s="87" t="str">
        <f>HLOOKUP(INDICE!$F$2,Nombres!$C$3:$D$636,38,FALSE)</f>
        <v>Gastos de explotación</v>
      </c>
      <c r="B13" s="44">
        <v>-115.42439358</v>
      </c>
      <c r="C13" s="44">
        <v>-112.56418681</v>
      </c>
      <c r="D13" s="44">
        <v>-98.97590073</v>
      </c>
      <c r="E13" s="45">
        <v>-125.99120153</v>
      </c>
      <c r="F13" s="44">
        <v>-114.80456537</v>
      </c>
      <c r="G13" s="44">
        <v>-118.83272841</v>
      </c>
      <c r="H13" s="44">
        <v>-133.60810757000002</v>
      </c>
      <c r="I13" s="44">
        <v>-146.22540248</v>
      </c>
    </row>
    <row r="14" spans="1:9" ht="15">
      <c r="A14" s="87" t="str">
        <f>HLOOKUP(INDICE!$F$2,Nombres!$C$3:$D$636,39,FALSE)</f>
        <v>  Gastos de administración</v>
      </c>
      <c r="B14" s="44">
        <v>-110.62947158</v>
      </c>
      <c r="C14" s="44">
        <v>-107.66153381</v>
      </c>
      <c r="D14" s="44">
        <v>-93.16451364</v>
      </c>
      <c r="E14" s="45">
        <v>-121.28923562</v>
      </c>
      <c r="F14" s="44">
        <v>-109.53490038</v>
      </c>
      <c r="G14" s="44">
        <v>-113.2425214</v>
      </c>
      <c r="H14" s="44">
        <v>-127.18297756999998</v>
      </c>
      <c r="I14" s="44">
        <v>-140.75655848</v>
      </c>
    </row>
    <row r="15" spans="1:9" ht="15">
      <c r="A15" s="88" t="str">
        <f>HLOOKUP(INDICE!$F$2,Nombres!$C$3:$D$636,40,FALSE)</f>
        <v>  Gastos de personal</v>
      </c>
      <c r="B15" s="44">
        <v>-64.20751729</v>
      </c>
      <c r="C15" s="44">
        <v>-49.75614589</v>
      </c>
      <c r="D15" s="44">
        <v>-51.40792062</v>
      </c>
      <c r="E15" s="45">
        <v>-68.89956459</v>
      </c>
      <c r="F15" s="44">
        <v>-60.282898079999995</v>
      </c>
      <c r="G15" s="44">
        <v>-58.45085589999999</v>
      </c>
      <c r="H15" s="44">
        <v>-70.32417006</v>
      </c>
      <c r="I15" s="44">
        <v>-73.18316135999999</v>
      </c>
    </row>
    <row r="16" spans="1:9" ht="15">
      <c r="A16" s="88" t="str">
        <f>HLOOKUP(INDICE!$F$2,Nombres!$C$3:$D$636,41,FALSE)</f>
        <v>  Otros gastos de administración</v>
      </c>
      <c r="B16" s="44">
        <v>-46.42195429</v>
      </c>
      <c r="C16" s="44">
        <v>-57.905387919999995</v>
      </c>
      <c r="D16" s="44">
        <v>-41.75659302000001</v>
      </c>
      <c r="E16" s="45">
        <v>-52.38967103</v>
      </c>
      <c r="F16" s="44">
        <v>-49.2520023</v>
      </c>
      <c r="G16" s="44">
        <v>-54.79166550000001</v>
      </c>
      <c r="H16" s="44">
        <v>-56.85880750999999</v>
      </c>
      <c r="I16" s="44">
        <v>-67.57339712000001</v>
      </c>
    </row>
    <row r="17" spans="1:9" ht="15">
      <c r="A17" s="87" t="str">
        <f>HLOOKUP(INDICE!$F$2,Nombres!$C$3:$D$636,42,FALSE)</f>
        <v>  Amortización</v>
      </c>
      <c r="B17" s="44">
        <v>-4.794922000000001</v>
      </c>
      <c r="C17" s="44">
        <v>-4.902653</v>
      </c>
      <c r="D17" s="44">
        <v>-5.81138709</v>
      </c>
      <c r="E17" s="45">
        <v>-4.70196591</v>
      </c>
      <c r="F17" s="44">
        <v>-5.269664990000001</v>
      </c>
      <c r="G17" s="44">
        <v>-5.590207009999999</v>
      </c>
      <c r="H17" s="44">
        <v>-6.42513</v>
      </c>
      <c r="I17" s="44">
        <v>-5.468844</v>
      </c>
    </row>
    <row r="18" spans="1:9" ht="15">
      <c r="A18" s="41" t="str">
        <f>HLOOKUP(INDICE!$F$2,Nombres!$C$3:$D$636,43,FALSE)</f>
        <v>Margen neto</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62.92592626</v>
      </c>
      <c r="H18" s="50">
        <f t="shared" si="1"/>
        <v>67.38781305999998</v>
      </c>
      <c r="I18" s="50">
        <f t="shared" si="1"/>
        <v>58.633728030000015</v>
      </c>
    </row>
    <row r="19" spans="1:9" ht="15">
      <c r="A19" s="87" t="str">
        <f>HLOOKUP(INDICE!$F$2,Nombres!$C$3:$D$636,44,FALSE)</f>
        <v>Deterioro de activos financieros no valorados a valor razonable con cambios en resultados</v>
      </c>
      <c r="B19" s="44">
        <v>1.8090720000000005</v>
      </c>
      <c r="C19" s="44">
        <v>13.476409870000001</v>
      </c>
      <c r="D19" s="44">
        <v>4.39651757</v>
      </c>
      <c r="E19" s="45">
        <v>7.1554055399999985</v>
      </c>
      <c r="F19" s="44">
        <v>7.381874779999999</v>
      </c>
      <c r="G19" s="44">
        <v>-7.522930580000001</v>
      </c>
      <c r="H19" s="44">
        <v>-3.6630166199999987</v>
      </c>
      <c r="I19" s="44">
        <v>-9.5240074</v>
      </c>
    </row>
    <row r="20" spans="1:9" ht="15">
      <c r="A20" s="87" t="str">
        <f>HLOOKUP(INDICE!$F$2,Nombres!$C$3:$D$636,45,FALSE)</f>
        <v>Provisiones o reversión de provisiones y otros resultados</v>
      </c>
      <c r="B20" s="44">
        <v>-12.414312000000002</v>
      </c>
      <c r="C20" s="44">
        <v>7.9530590000000005</v>
      </c>
      <c r="D20" s="44">
        <v>0.7069540000000012</v>
      </c>
      <c r="E20" s="45">
        <v>-0.11351500000000192</v>
      </c>
      <c r="F20" s="44">
        <v>9.783666000000004</v>
      </c>
      <c r="G20" s="44">
        <v>2.5324270000000015</v>
      </c>
      <c r="H20" s="44">
        <v>3.1083999999999983</v>
      </c>
      <c r="I20" s="44">
        <v>-1.2586537599999987</v>
      </c>
    </row>
    <row r="21" spans="1:9" ht="15">
      <c r="A21" s="89" t="str">
        <f>HLOOKUP(INDICE!$F$2,Nombres!$C$3:$D$636,46,FALSE)</f>
        <v>Resultado antes de impuestos</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57.935422679999995</v>
      </c>
      <c r="H21" s="50">
        <f t="shared" si="2"/>
        <v>66.83319643999998</v>
      </c>
      <c r="I21" s="50">
        <f t="shared" si="2"/>
        <v>47.85106687000001</v>
      </c>
    </row>
    <row r="22" spans="1:9" ht="15">
      <c r="A22" s="43" t="str">
        <f>HLOOKUP(INDICE!$F$2,Nombres!$C$3:$D$636,47,FALSE)</f>
        <v>Impuesto sobre beneficios</v>
      </c>
      <c r="B22" s="44">
        <v>-20.967429600000003</v>
      </c>
      <c r="C22" s="44">
        <v>-24.65330062</v>
      </c>
      <c r="D22" s="44">
        <v>-19.0056717</v>
      </c>
      <c r="E22" s="45">
        <v>-5.287886920000002</v>
      </c>
      <c r="F22" s="44">
        <v>-23.03511865</v>
      </c>
      <c r="G22" s="44">
        <v>-11.24564568</v>
      </c>
      <c r="H22" s="44">
        <v>-12.094198469999998</v>
      </c>
      <c r="I22" s="44">
        <v>9.0063334</v>
      </c>
    </row>
    <row r="23" spans="1:9" ht="15">
      <c r="A23" s="89" t="str">
        <f>HLOOKUP(INDICE!$F$2,Nombres!$C$3:$D$636,48,FALSE)</f>
        <v>Resultado del ejercicio</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46.68977699999999</v>
      </c>
      <c r="H23" s="50">
        <f t="shared" si="3"/>
        <v>54.738997969999986</v>
      </c>
      <c r="I23" s="50">
        <f t="shared" si="3"/>
        <v>56.857400270000014</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46.68977699999999</v>
      </c>
      <c r="H25" s="51">
        <f t="shared" si="4"/>
        <v>54.738997969999986</v>
      </c>
      <c r="I25" s="51">
        <f t="shared" si="4"/>
        <v>56.857400270000014</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5508.754560000003</v>
      </c>
      <c r="C31" s="44">
        <v>4012.909028</v>
      </c>
      <c r="D31" s="44">
        <v>4453.812191</v>
      </c>
      <c r="E31" s="45">
        <v>3970.3978829900007</v>
      </c>
      <c r="F31" s="44">
        <v>3831.999396</v>
      </c>
      <c r="G31" s="44">
        <v>5108.223216</v>
      </c>
      <c r="H31" s="44">
        <v>4917.510686999999</v>
      </c>
      <c r="I31" s="44">
        <v>4015.1228420099997</v>
      </c>
    </row>
    <row r="32" spans="1:9" ht="15">
      <c r="A32" s="87" t="str">
        <f>HLOOKUP(INDICE!$F$2,Nombres!$C$3:$D$636,53,FALSE)</f>
        <v>Activos financieros a valor razonable</v>
      </c>
      <c r="B32" s="58">
        <v>2159.45582639</v>
      </c>
      <c r="C32" s="58">
        <v>2444.56078539</v>
      </c>
      <c r="D32" s="58">
        <v>2552.7362243800003</v>
      </c>
      <c r="E32" s="64">
        <v>5681.96247239</v>
      </c>
      <c r="F32" s="44">
        <v>8584.09004439</v>
      </c>
      <c r="G32" s="44">
        <v>5714.56048539</v>
      </c>
      <c r="H32" s="44">
        <v>3967.1003933899997</v>
      </c>
      <c r="I32" s="44">
        <v>5090.235998390001</v>
      </c>
    </row>
    <row r="33" spans="1:9" ht="15">
      <c r="A33" s="43" t="str">
        <f>HLOOKUP(INDICE!$F$2,Nombres!$C$3:$D$636,54,FALSE)</f>
        <v>Activos financieros a coste amortizado</v>
      </c>
      <c r="B33" s="44">
        <v>27962.148812</v>
      </c>
      <c r="C33" s="44">
        <v>27467.525536999998</v>
      </c>
      <c r="D33" s="44">
        <v>28529.20180963</v>
      </c>
      <c r="E33" s="45">
        <v>30314.794124</v>
      </c>
      <c r="F33" s="44">
        <v>34731.94877</v>
      </c>
      <c r="G33" s="44">
        <v>34949.66198401</v>
      </c>
      <c r="H33" s="44">
        <v>38111.899728000004</v>
      </c>
      <c r="I33" s="44">
        <v>40425.476668339994</v>
      </c>
    </row>
    <row r="34" spans="1:9" ht="15">
      <c r="A34" s="87" t="str">
        <f>HLOOKUP(INDICE!$F$2,Nombres!$C$3:$D$636,55,FALSE)</f>
        <v>    de los que préstamos y anticipos a la clientela</v>
      </c>
      <c r="B34" s="44">
        <v>24462.093666000004</v>
      </c>
      <c r="C34" s="44">
        <v>24271.657212</v>
      </c>
      <c r="D34" s="44">
        <v>25017.218725630002</v>
      </c>
      <c r="E34" s="45">
        <v>26965.260049999997</v>
      </c>
      <c r="F34" s="44">
        <v>31494.501316</v>
      </c>
      <c r="G34" s="44">
        <v>32141.867406</v>
      </c>
      <c r="H34" s="44">
        <v>35319.185594</v>
      </c>
      <c r="I34" s="44">
        <v>37374.89568433</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72.698882</v>
      </c>
      <c r="C36" s="44">
        <v>68.3416</v>
      </c>
      <c r="D36" s="44">
        <v>64.94780399</v>
      </c>
      <c r="E36" s="45">
        <v>69.841946</v>
      </c>
      <c r="F36" s="44">
        <v>79.43390499</v>
      </c>
      <c r="G36" s="44">
        <v>76.8518325</v>
      </c>
      <c r="H36" s="44">
        <v>80.26600325000001</v>
      </c>
      <c r="I36" s="44">
        <v>78.22135195</v>
      </c>
    </row>
    <row r="37" spans="1:9" ht="15">
      <c r="A37" s="87" t="str">
        <f>HLOOKUP(INDICE!$F$2,Nombres!$C$3:$D$636,57,FALSE)</f>
        <v>Otros activos</v>
      </c>
      <c r="B37" s="58">
        <f>+B38-B36-B33-B32-B31-B35</f>
        <v>338.55237499998657</v>
      </c>
      <c r="C37" s="58">
        <f aca="true" t="shared" si="5" ref="C37:I37">+C38-C36-C33-C32-C31</f>
        <v>418.88084458999765</v>
      </c>
      <c r="D37" s="58">
        <f t="shared" si="5"/>
        <v>363.43964401000176</v>
      </c>
      <c r="E37" s="64">
        <f t="shared" si="5"/>
        <v>291.2442870000068</v>
      </c>
      <c r="F37" s="44">
        <f t="shared" si="5"/>
        <v>366.1890509899995</v>
      </c>
      <c r="G37" s="44">
        <f t="shared" si="5"/>
        <v>326.22490300000027</v>
      </c>
      <c r="H37" s="44">
        <f t="shared" si="5"/>
        <v>454.84572699999535</v>
      </c>
      <c r="I37" s="44">
        <f t="shared" si="5"/>
        <v>343.35330900000827</v>
      </c>
    </row>
    <row r="38" spans="1:9" ht="15">
      <c r="A38" s="90" t="str">
        <f>HLOOKUP(INDICE!$F$2,Nombres!$C$3:$D$636,58,FALSE)</f>
        <v>Total activo / pasivo</v>
      </c>
      <c r="B38" s="47">
        <v>36041.610455389986</v>
      </c>
      <c r="C38" s="47">
        <v>34412.217794979995</v>
      </c>
      <c r="D38" s="47">
        <v>35964.13767301</v>
      </c>
      <c r="E38" s="70">
        <v>40328.24071238001</v>
      </c>
      <c r="F38" s="47">
        <v>47593.66116637</v>
      </c>
      <c r="G38" s="47">
        <v>46175.5224209</v>
      </c>
      <c r="H38" s="47">
        <v>47531.62253864</v>
      </c>
      <c r="I38" s="47">
        <v>49952.41016969</v>
      </c>
    </row>
    <row r="39" spans="1:9" ht="15">
      <c r="A39" s="87" t="str">
        <f>HLOOKUP(INDICE!$F$2,Nombres!$C$3:$D$636,59,FALSE)</f>
        <v>Pasivos financieros mantenidos para negociar y designados a valor razonable con cambios en resultados</v>
      </c>
      <c r="B39" s="58">
        <v>1508.9990369999998</v>
      </c>
      <c r="C39" s="58">
        <v>1803.7522860000001</v>
      </c>
      <c r="D39" s="58">
        <v>1904.733948</v>
      </c>
      <c r="E39" s="64">
        <v>5060.051628</v>
      </c>
      <c r="F39" s="44">
        <v>7913.3688489999995</v>
      </c>
      <c r="G39" s="44">
        <v>5024.269488</v>
      </c>
      <c r="H39" s="44">
        <v>3274.364747</v>
      </c>
      <c r="I39" s="44">
        <v>4397.298547</v>
      </c>
    </row>
    <row r="40" spans="1:9" ht="15">
      <c r="A40" s="87" t="str">
        <f>HLOOKUP(INDICE!$F$2,Nombres!$C$3:$D$636,60,FALSE)</f>
        <v>Depósitos de bancos centrales y entidades de crédito</v>
      </c>
      <c r="B40" s="58">
        <v>1552.9310349999998</v>
      </c>
      <c r="C40" s="58">
        <v>1478.405105</v>
      </c>
      <c r="D40" s="58">
        <v>1797.902211</v>
      </c>
      <c r="E40" s="64">
        <v>1709.0559929999997</v>
      </c>
      <c r="F40" s="44">
        <v>1842.218038</v>
      </c>
      <c r="G40" s="44">
        <v>1838.9726120000003</v>
      </c>
      <c r="H40" s="44">
        <v>1890.8802230000001</v>
      </c>
      <c r="I40" s="44">
        <v>2744.888522</v>
      </c>
    </row>
    <row r="41" spans="1:9" ht="15.75" customHeight="1">
      <c r="A41" s="87" t="str">
        <f>HLOOKUP(INDICE!$F$2,Nombres!$C$3:$D$636,61,FALSE)</f>
        <v>Depósitos de la clientela</v>
      </c>
      <c r="B41" s="58">
        <v>6764.373215</v>
      </c>
      <c r="C41" s="58">
        <v>6873.259162</v>
      </c>
      <c r="D41" s="58">
        <v>7341.137872</v>
      </c>
      <c r="E41" s="64">
        <v>6265.901332</v>
      </c>
      <c r="F41" s="44">
        <v>6649.53784499</v>
      </c>
      <c r="G41" s="44">
        <v>7734.917937</v>
      </c>
      <c r="H41" s="44">
        <v>8750.6499</v>
      </c>
      <c r="I41" s="44">
        <v>9826.938752</v>
      </c>
    </row>
    <row r="42" spans="1:9" ht="15">
      <c r="A42" s="43" t="str">
        <f>HLOOKUP(INDICE!$F$2,Nombres!$C$3:$D$636,62,FALSE)</f>
        <v>Valores representativos de deuda emitidos</v>
      </c>
      <c r="B42" s="44">
        <v>1127.41828218</v>
      </c>
      <c r="C42" s="44">
        <v>1325.5407824000001</v>
      </c>
      <c r="D42" s="44">
        <v>1248.7509037999998</v>
      </c>
      <c r="E42" s="45">
        <v>1165.86687295</v>
      </c>
      <c r="F42" s="44">
        <v>1348.27974588</v>
      </c>
      <c r="G42" s="44">
        <v>1413.9869129499998</v>
      </c>
      <c r="H42" s="44">
        <v>1458.80188354</v>
      </c>
      <c r="I42" s="44">
        <v>1560.66128746</v>
      </c>
    </row>
    <row r="43" spans="1:9" ht="15">
      <c r="A43" s="87" t="str">
        <f>HLOOKUP(INDICE!$F$2,Nombres!$C$3:$D$636,122,FALSE)</f>
        <v>Posiciones inter-áreas pasivo</v>
      </c>
      <c r="B43" s="44">
        <v>21514.959469459995</v>
      </c>
      <c r="C43" s="44">
        <v>18616.68675053999</v>
      </c>
      <c r="D43" s="44">
        <v>19531.007104660002</v>
      </c>
      <c r="E43" s="45">
        <v>22085.139969500007</v>
      </c>
      <c r="F43" s="44">
        <v>25226.0188573</v>
      </c>
      <c r="G43" s="44">
        <v>25140.95239302</v>
      </c>
      <c r="H43" s="44">
        <v>26776.31414291</v>
      </c>
      <c r="I43" s="44">
        <v>26061.127853370002</v>
      </c>
    </row>
    <row r="44" spans="1:9" ht="15">
      <c r="A44" s="43" t="str">
        <f>HLOOKUP(INDICE!$F$2,Nombres!$C$3:$D$636,63,FALSE)</f>
        <v>Otros pasivos</v>
      </c>
      <c r="B44" s="58">
        <f aca="true" t="shared" si="6" ref="B44:I44">+B38-B39-B40-B41-B42-B45-B43</f>
        <v>574.1000383299906</v>
      </c>
      <c r="C44" s="58">
        <f t="shared" si="6"/>
        <v>865.5943011100026</v>
      </c>
      <c r="D44" s="58">
        <f t="shared" si="6"/>
        <v>833.5067807000014</v>
      </c>
      <c r="E44" s="64">
        <f t="shared" si="6"/>
        <v>754.9956385699988</v>
      </c>
      <c r="F44" s="58">
        <f t="shared" si="6"/>
        <v>897.6733432100009</v>
      </c>
      <c r="G44" s="58">
        <f t="shared" si="6"/>
        <v>964.4729169400052</v>
      </c>
      <c r="H44" s="58">
        <f t="shared" si="6"/>
        <v>1080.884290670001</v>
      </c>
      <c r="I44" s="58">
        <f t="shared" si="6"/>
        <v>1013.4518846300016</v>
      </c>
    </row>
    <row r="45" spans="1:9" ht="15">
      <c r="A45" s="43" t="str">
        <f>HLOOKUP(INDICE!$F$2,Nombres!$C$3:$D$636,282,FALSE)</f>
        <v>Dotación de capital regulatorio</v>
      </c>
      <c r="B45" s="58">
        <v>2998.8293784200005</v>
      </c>
      <c r="C45" s="58">
        <v>3448.97940793</v>
      </c>
      <c r="D45" s="58">
        <v>3307.0988528499997</v>
      </c>
      <c r="E45" s="64">
        <v>3287.2292783599996</v>
      </c>
      <c r="F45" s="58">
        <v>3716.564487989999</v>
      </c>
      <c r="G45" s="58">
        <v>4057.9501609900003</v>
      </c>
      <c r="H45" s="58">
        <v>4299.72735152</v>
      </c>
      <c r="I45" s="58">
        <v>4348.043323229998</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24775.911675</v>
      </c>
      <c r="C51" s="44">
        <v>24568.571178</v>
      </c>
      <c r="D51" s="44">
        <v>25308.56451763</v>
      </c>
      <c r="E51" s="45">
        <v>27250.371290999996</v>
      </c>
      <c r="F51" s="44">
        <v>31768.864961999996</v>
      </c>
      <c r="G51" s="44">
        <v>32427.772833999996</v>
      </c>
      <c r="H51" s="44">
        <v>35605.997004000004</v>
      </c>
      <c r="I51" s="44">
        <v>37613.089421</v>
      </c>
    </row>
    <row r="52" spans="1:9" ht="15">
      <c r="A52" s="87" t="str">
        <f>HLOOKUP(INDICE!$F$2,Nombres!$C$3:$D$636,67,FALSE)</f>
        <v>Depósitos de clientes en gestión (**)</v>
      </c>
      <c r="B52" s="44">
        <v>6764.373215</v>
      </c>
      <c r="C52" s="44">
        <v>6873.259162</v>
      </c>
      <c r="D52" s="44">
        <v>7341.137872</v>
      </c>
      <c r="E52" s="45">
        <v>6265.901332</v>
      </c>
      <c r="F52" s="44">
        <v>6649.53784499</v>
      </c>
      <c r="G52" s="44">
        <v>7734.917937000001</v>
      </c>
      <c r="H52" s="44">
        <v>8750.6499</v>
      </c>
      <c r="I52" s="44">
        <v>9826.938752</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529.59826012</v>
      </c>
      <c r="C54" s="44">
        <v>549.65363599</v>
      </c>
      <c r="D54" s="44">
        <v>566.58063193</v>
      </c>
      <c r="E54" s="45">
        <v>597.24904247</v>
      </c>
      <c r="F54" s="44">
        <v>580.94406159</v>
      </c>
      <c r="G54" s="44">
        <v>522.57530376</v>
      </c>
      <c r="H54" s="44">
        <v>523.75088513</v>
      </c>
      <c r="I54" s="44">
        <v>520.1</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74.78347593833243</v>
      </c>
      <c r="C64" s="41">
        <v>70.07155974253689</v>
      </c>
      <c r="D64" s="41">
        <v>70.4129767479784</v>
      </c>
      <c r="E64" s="42">
        <v>72.04878320323775</v>
      </c>
      <c r="F64" s="50">
        <v>75.93983774610702</v>
      </c>
      <c r="G64" s="50">
        <v>78.1090363567331</v>
      </c>
      <c r="H64" s="50">
        <v>83.87467938121503</v>
      </c>
      <c r="I64" s="50">
        <v>94.06802544594484</v>
      </c>
    </row>
    <row r="65" spans="1:9" ht="15">
      <c r="A65" s="87" t="str">
        <f>HLOOKUP(INDICE!$F$2,Nombres!$C$3:$D$636,34,FALSE)</f>
        <v>Comisiones netas</v>
      </c>
      <c r="B65" s="44">
        <v>76.16866111850408</v>
      </c>
      <c r="C65" s="44">
        <v>65.32467875095088</v>
      </c>
      <c r="D65" s="44">
        <v>53.332193030846696</v>
      </c>
      <c r="E65" s="45">
        <v>58.33590131797432</v>
      </c>
      <c r="F65" s="44">
        <v>57.1814224355311</v>
      </c>
      <c r="G65" s="44">
        <v>64.74675619437136</v>
      </c>
      <c r="H65" s="44">
        <v>60.593320892128936</v>
      </c>
      <c r="I65" s="44">
        <v>60.14407954796861</v>
      </c>
    </row>
    <row r="66" spans="1:9" ht="15">
      <c r="A66" s="87" t="str">
        <f>HLOOKUP(INDICE!$F$2,Nombres!$C$3:$D$636,35,FALSE)</f>
        <v>Resultados de operaciones financieras</v>
      </c>
      <c r="B66" s="44">
        <v>81.4916501664722</v>
      </c>
      <c r="C66" s="44">
        <v>57.41415312797302</v>
      </c>
      <c r="D66" s="44">
        <v>64.26543014281539</v>
      </c>
      <c r="E66" s="45">
        <v>38.81499367937826</v>
      </c>
      <c r="F66" s="44">
        <v>69.06782705377967</v>
      </c>
      <c r="G66" s="44">
        <v>33.78535047234412</v>
      </c>
      <c r="H66" s="44">
        <v>44.774790726584925</v>
      </c>
      <c r="I66" s="44">
        <v>60.63938971729128</v>
      </c>
    </row>
    <row r="67" spans="1:9" ht="15">
      <c r="A67" s="87" t="str">
        <f>HLOOKUP(INDICE!$F$2,Nombres!$C$3:$D$636,36,FALSE)</f>
        <v>Otros ingresos y cargas de explotación</v>
      </c>
      <c r="B67" s="44">
        <v>9.530609573348158</v>
      </c>
      <c r="C67" s="44">
        <v>8.218638592697967</v>
      </c>
      <c r="D67" s="44">
        <v>-2.9672182821527273</v>
      </c>
      <c r="E67" s="45">
        <v>1.415137788715427</v>
      </c>
      <c r="F67" s="44">
        <v>2.5445760387081235</v>
      </c>
      <c r="G67" s="44">
        <v>0.8551295478992271</v>
      </c>
      <c r="H67" s="44">
        <v>0.7237211966999194</v>
      </c>
      <c r="I67" s="44">
        <v>2.4822893766927296</v>
      </c>
    </row>
    <row r="68" spans="1:9" ht="15">
      <c r="A68" s="41" t="str">
        <f>HLOOKUP(INDICE!$F$2,Nombres!$C$3:$D$636,37,FALSE)</f>
        <v>Margen bruto</v>
      </c>
      <c r="B68" s="41">
        <f aca="true" t="shared" si="9" ref="B68:I68">+SUM(B64:B67)</f>
        <v>241.97439679665686</v>
      </c>
      <c r="C68" s="41">
        <f t="shared" si="9"/>
        <v>201.02903021415875</v>
      </c>
      <c r="D68" s="41">
        <f t="shared" si="9"/>
        <v>185.0433816394878</v>
      </c>
      <c r="E68" s="42">
        <f t="shared" si="9"/>
        <v>170.61481598930578</v>
      </c>
      <c r="F68" s="50">
        <f t="shared" si="9"/>
        <v>204.73366327412592</v>
      </c>
      <c r="G68" s="50">
        <f t="shared" si="9"/>
        <v>177.49627257134782</v>
      </c>
      <c r="H68" s="50">
        <f t="shared" si="9"/>
        <v>189.96651219662883</v>
      </c>
      <c r="I68" s="50">
        <f t="shared" si="9"/>
        <v>217.33378408789747</v>
      </c>
    </row>
    <row r="69" spans="1:9" ht="15">
      <c r="A69" s="87" t="str">
        <f>HLOOKUP(INDICE!$F$2,Nombres!$C$3:$D$636,38,FALSE)</f>
        <v>Gastos de explotación</v>
      </c>
      <c r="B69" s="44">
        <v>-122.37310021583392</v>
      </c>
      <c r="C69" s="44">
        <v>-118.88870501206785</v>
      </c>
      <c r="D69" s="44">
        <v>-100.79174192406512</v>
      </c>
      <c r="E69" s="45">
        <v>-127.37792036373531</v>
      </c>
      <c r="F69" s="44">
        <v>-116.70269931067432</v>
      </c>
      <c r="G69" s="44">
        <v>-116.86759944905137</v>
      </c>
      <c r="H69" s="44">
        <v>-126.783665379608</v>
      </c>
      <c r="I69" s="44">
        <v>-153.11683969066632</v>
      </c>
    </row>
    <row r="70" spans="1:9" ht="15">
      <c r="A70" s="87" t="str">
        <f>HLOOKUP(INDICE!$F$2,Nombres!$C$3:$D$636,39,FALSE)</f>
        <v>  Gastos de administración</v>
      </c>
      <c r="B70" s="44">
        <v>-117.42972743712379</v>
      </c>
      <c r="C70" s="44">
        <v>-113.82295363250252</v>
      </c>
      <c r="D70" s="44">
        <v>-94.79806730176955</v>
      </c>
      <c r="E70" s="45">
        <v>-122.68035992748077</v>
      </c>
      <c r="F70" s="44">
        <v>-111.38508211424553</v>
      </c>
      <c r="G70" s="44">
        <v>-111.31138215901808</v>
      </c>
      <c r="H70" s="44">
        <v>-120.49522080256925</v>
      </c>
      <c r="I70" s="44">
        <v>-147.52527275416713</v>
      </c>
    </row>
    <row r="71" spans="1:9" ht="15">
      <c r="A71" s="88" t="str">
        <f>HLOOKUP(INDICE!$F$2,Nombres!$C$3:$D$636,40,FALSE)</f>
        <v>  Gastos de personal</v>
      </c>
      <c r="B71" s="44">
        <v>-68.91099262378057</v>
      </c>
      <c r="C71" s="44">
        <v>-52.36307665861537</v>
      </c>
      <c r="D71" s="44">
        <v>-52.69053423645773</v>
      </c>
      <c r="E71" s="45">
        <v>-69.96579390222325</v>
      </c>
      <c r="F71" s="44">
        <v>-61.391087145523485</v>
      </c>
      <c r="G71" s="44">
        <v>-57.448842957434465</v>
      </c>
      <c r="H71" s="44">
        <v>-66.48464054083064</v>
      </c>
      <c r="I71" s="44">
        <v>-76.91651475621141</v>
      </c>
    </row>
    <row r="72" spans="1:9" ht="15">
      <c r="A72" s="88" t="str">
        <f>HLOOKUP(INDICE!$F$2,Nombres!$C$3:$D$636,41,FALSE)</f>
        <v>  Otros gastos de administración</v>
      </c>
      <c r="B72" s="44">
        <v>-48.5187348133432</v>
      </c>
      <c r="C72" s="44">
        <v>-61.45987697388715</v>
      </c>
      <c r="D72" s="44">
        <v>-42.10753306531183</v>
      </c>
      <c r="E72" s="45">
        <v>-52.7145660252575</v>
      </c>
      <c r="F72" s="44">
        <v>-49.993994968722056</v>
      </c>
      <c r="G72" s="44">
        <v>-53.862539201583616</v>
      </c>
      <c r="H72" s="44">
        <v>-54.01058026173861</v>
      </c>
      <c r="I72" s="44">
        <v>-70.60875799795572</v>
      </c>
    </row>
    <row r="73" spans="1:9" ht="15">
      <c r="A73" s="87" t="str">
        <f>HLOOKUP(INDICE!$F$2,Nombres!$C$3:$D$636,42,FALSE)</f>
        <v>  Amortización</v>
      </c>
      <c r="B73" s="44">
        <v>-4.943372778710144</v>
      </c>
      <c r="C73" s="44">
        <v>-5.065751379565317</v>
      </c>
      <c r="D73" s="44">
        <v>-5.9936746222955595</v>
      </c>
      <c r="E73" s="45">
        <v>-4.697560436254577</v>
      </c>
      <c r="F73" s="44">
        <v>-5.317617196428791</v>
      </c>
      <c r="G73" s="44">
        <v>-5.556217290033274</v>
      </c>
      <c r="H73" s="44">
        <v>-6.288444577038751</v>
      </c>
      <c r="I73" s="44">
        <v>-5.591566936499185</v>
      </c>
    </row>
    <row r="74" spans="1:9" ht="15">
      <c r="A74" s="41" t="str">
        <f>HLOOKUP(INDICE!$F$2,Nombres!$C$3:$D$636,43,FALSE)</f>
        <v>Margen neto</v>
      </c>
      <c r="B74" s="41">
        <f aca="true" t="shared" si="10" ref="B74:I74">+B68+B69</f>
        <v>119.60129658082295</v>
      </c>
      <c r="C74" s="41">
        <f t="shared" si="10"/>
        <v>82.1403252020909</v>
      </c>
      <c r="D74" s="41">
        <f t="shared" si="10"/>
        <v>84.25163971542267</v>
      </c>
      <c r="E74" s="42">
        <f t="shared" si="10"/>
        <v>43.23689562557047</v>
      </c>
      <c r="F74" s="50">
        <f t="shared" si="10"/>
        <v>88.0309639634516</v>
      </c>
      <c r="G74" s="50">
        <f t="shared" si="10"/>
        <v>60.62867312229645</v>
      </c>
      <c r="H74" s="50">
        <f t="shared" si="10"/>
        <v>63.18284681702083</v>
      </c>
      <c r="I74" s="50">
        <f t="shared" si="10"/>
        <v>64.21694439723115</v>
      </c>
    </row>
    <row r="75" spans="1:9" ht="15">
      <c r="A75" s="87" t="str">
        <f>HLOOKUP(INDICE!$F$2,Nombres!$C$3:$D$636,44,FALSE)</f>
        <v>Deterioro de activos financieros no valorados a valor razonable con cambios en resultados</v>
      </c>
      <c r="B75" s="44">
        <v>2.765425627688593</v>
      </c>
      <c r="C75" s="44">
        <v>14.616562348992776</v>
      </c>
      <c r="D75" s="44">
        <v>3.3800324655253347</v>
      </c>
      <c r="E75" s="45">
        <v>7.041275116397561</v>
      </c>
      <c r="F75" s="44">
        <v>7.481194903995789</v>
      </c>
      <c r="G75" s="44">
        <v>-7.6745522319697335</v>
      </c>
      <c r="H75" s="44">
        <v>-2.83431641619908</v>
      </c>
      <c r="I75" s="44">
        <v>-10.300406075826977</v>
      </c>
    </row>
    <row r="76" spans="1:9" ht="15">
      <c r="A76" s="87" t="str">
        <f>HLOOKUP(INDICE!$F$2,Nombres!$C$3:$D$636,45,FALSE)</f>
        <v>Provisiones o reversión de provisiones y otros resultados</v>
      </c>
      <c r="B76" s="44">
        <v>-12.994530216571935</v>
      </c>
      <c r="C76" s="44">
        <v>8.885707332264415</v>
      </c>
      <c r="D76" s="44">
        <v>0.21601606628752107</v>
      </c>
      <c r="E76" s="45">
        <v>-0.05041402600548428</v>
      </c>
      <c r="F76" s="44">
        <v>10.185969995400342</v>
      </c>
      <c r="G76" s="44">
        <v>1.8487334121134154</v>
      </c>
      <c r="H76" s="44">
        <v>1.9629525630457354</v>
      </c>
      <c r="I76" s="44">
        <v>0.1681832694405091</v>
      </c>
    </row>
    <row r="77" spans="1:9" ht="15">
      <c r="A77" s="89" t="str">
        <f>HLOOKUP(INDICE!$F$2,Nombres!$C$3:$D$636,46,FALSE)</f>
        <v>Resultado antes de impuestos</v>
      </c>
      <c r="B77" s="41">
        <f aca="true" t="shared" si="11" ref="B77:I77">+B74+B75+B76</f>
        <v>109.3721919919396</v>
      </c>
      <c r="C77" s="41">
        <f t="shared" si="11"/>
        <v>105.6425948833481</v>
      </c>
      <c r="D77" s="41">
        <f t="shared" si="11"/>
        <v>87.84768824723552</v>
      </c>
      <c r="E77" s="42">
        <f t="shared" si="11"/>
        <v>50.22775671596254</v>
      </c>
      <c r="F77" s="50">
        <f t="shared" si="11"/>
        <v>105.69812886284772</v>
      </c>
      <c r="G77" s="50">
        <f t="shared" si="11"/>
        <v>54.80285430244013</v>
      </c>
      <c r="H77" s="50">
        <f t="shared" si="11"/>
        <v>62.31148296386748</v>
      </c>
      <c r="I77" s="50">
        <f t="shared" si="11"/>
        <v>54.08472159084468</v>
      </c>
    </row>
    <row r="78" spans="1:9" ht="15">
      <c r="A78" s="43" t="str">
        <f>HLOOKUP(INDICE!$F$2,Nombres!$C$3:$D$636,47,FALSE)</f>
        <v>Impuesto sobre beneficios</v>
      </c>
      <c r="B78" s="44">
        <v>-21.961622389321487</v>
      </c>
      <c r="C78" s="44">
        <v>-25.79229807100561</v>
      </c>
      <c r="D78" s="44">
        <v>-18.81432704546839</v>
      </c>
      <c r="E78" s="45">
        <v>-4.284487066459965</v>
      </c>
      <c r="F78" s="44">
        <v>-23.31532686722665</v>
      </c>
      <c r="G78" s="44">
        <v>-10.594944941432765</v>
      </c>
      <c r="H78" s="44">
        <v>-11.268401725670515</v>
      </c>
      <c r="I78" s="44">
        <v>7.810044134329932</v>
      </c>
    </row>
    <row r="79" spans="1:9" ht="15">
      <c r="A79" s="89" t="str">
        <f>HLOOKUP(INDICE!$F$2,Nombres!$C$3:$D$636,48,FALSE)</f>
        <v>Resultado del ejercicio</v>
      </c>
      <c r="B79" s="41">
        <f aca="true" t="shared" si="12" ref="B79:I79">+B77+B78</f>
        <v>87.41056960261811</v>
      </c>
      <c r="C79" s="41">
        <f t="shared" si="12"/>
        <v>79.85029681234249</v>
      </c>
      <c r="D79" s="41">
        <f t="shared" si="12"/>
        <v>69.03336120176714</v>
      </c>
      <c r="E79" s="42">
        <f t="shared" si="12"/>
        <v>45.943269649502575</v>
      </c>
      <c r="F79" s="50">
        <f t="shared" si="12"/>
        <v>82.38280199562108</v>
      </c>
      <c r="G79" s="50">
        <f t="shared" si="12"/>
        <v>44.20790936100737</v>
      </c>
      <c r="H79" s="50">
        <f t="shared" si="12"/>
        <v>51.04308123819697</v>
      </c>
      <c r="I79" s="50">
        <f t="shared" si="12"/>
        <v>61.89476572517461</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I81">+B79+B80</f>
        <v>87.41056960261811</v>
      </c>
      <c r="C81" s="47">
        <f t="shared" si="13"/>
        <v>79.85029681234249</v>
      </c>
      <c r="D81" s="47">
        <f t="shared" si="13"/>
        <v>69.03336120176714</v>
      </c>
      <c r="E81" s="47">
        <f t="shared" si="13"/>
        <v>45.943269649502575</v>
      </c>
      <c r="F81" s="51">
        <f t="shared" si="13"/>
        <v>82.38280199562108</v>
      </c>
      <c r="G81" s="51">
        <f t="shared" si="13"/>
        <v>44.20790936100737</v>
      </c>
      <c r="H81" s="51">
        <f t="shared" si="13"/>
        <v>51.04308123819697</v>
      </c>
      <c r="I81" s="51">
        <f t="shared" si="13"/>
        <v>61.89476572517461</v>
      </c>
    </row>
    <row r="82" spans="1:9" ht="15">
      <c r="A82" s="91"/>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6047.9379782193555</v>
      </c>
      <c r="C87" s="44">
        <v>4453.483647084829</v>
      </c>
      <c r="D87" s="44">
        <v>4824.413710396322</v>
      </c>
      <c r="E87" s="45">
        <v>4205.533021022067</v>
      </c>
      <c r="F87" s="44">
        <v>3980.6562435456653</v>
      </c>
      <c r="G87" s="44">
        <v>4981.172333605508</v>
      </c>
      <c r="H87" s="44">
        <v>4513.4783801986205</v>
      </c>
      <c r="I87" s="44">
        <v>4015.1228420099997</v>
      </c>
    </row>
    <row r="88" spans="1:9" ht="15">
      <c r="A88" s="87" t="str">
        <f>HLOOKUP(INDICE!$F$2,Nombres!$C$3:$D$636,53,FALSE)</f>
        <v>Activos financieros a valor razonable</v>
      </c>
      <c r="B88" s="58">
        <v>2324.3072075537275</v>
      </c>
      <c r="C88" s="58">
        <v>2667.4325540091936</v>
      </c>
      <c r="D88" s="58">
        <v>2731.204568333341</v>
      </c>
      <c r="E88" s="64">
        <v>6003.790023292642</v>
      </c>
      <c r="F88" s="44">
        <v>8912.795085566666</v>
      </c>
      <c r="G88" s="44">
        <v>5580.461092785058</v>
      </c>
      <c r="H88" s="44">
        <v>3675.4093868690184</v>
      </c>
      <c r="I88" s="44">
        <v>5090.235998390001</v>
      </c>
    </row>
    <row r="89" spans="1:9" ht="15">
      <c r="A89" s="43" t="str">
        <f>HLOOKUP(INDICE!$F$2,Nombres!$C$3:$D$636,54,FALSE)</f>
        <v>Activos financieros a coste amortizado</v>
      </c>
      <c r="B89" s="44">
        <v>28559.69049413697</v>
      </c>
      <c r="C89" s="44">
        <v>28105.197455769725</v>
      </c>
      <c r="D89" s="44">
        <v>29008.161121095207</v>
      </c>
      <c r="E89" s="45">
        <v>30772.574876392908</v>
      </c>
      <c r="F89" s="44">
        <v>35096.887440139035</v>
      </c>
      <c r="G89" s="44">
        <v>34744.70563501734</v>
      </c>
      <c r="H89" s="44">
        <v>37186.07265951114</v>
      </c>
      <c r="I89" s="44">
        <v>40425.476668339994</v>
      </c>
    </row>
    <row r="90" spans="1:9" ht="15">
      <c r="A90" s="87" t="str">
        <f>HLOOKUP(INDICE!$F$2,Nombres!$C$3:$D$636,55,FALSE)</f>
        <v>    de los que préstamos y anticipos a la clientela</v>
      </c>
      <c r="B90" s="44">
        <v>24975.835135914087</v>
      </c>
      <c r="C90" s="44">
        <v>24825.379357324193</v>
      </c>
      <c r="D90" s="44">
        <v>25415.24386281213</v>
      </c>
      <c r="E90" s="45">
        <v>27380.851540046657</v>
      </c>
      <c r="F90" s="44">
        <v>31826.350388591345</v>
      </c>
      <c r="G90" s="44">
        <v>31939.083230966036</v>
      </c>
      <c r="H90" s="44">
        <v>34442.91498925176</v>
      </c>
      <c r="I90" s="44">
        <v>37374.89568433</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74.13868269651833</v>
      </c>
      <c r="C92" s="44">
        <v>69.76249912516906</v>
      </c>
      <c r="D92" s="44">
        <v>65.98638686347658</v>
      </c>
      <c r="E92" s="45">
        <v>70.4819018573408</v>
      </c>
      <c r="F92" s="44">
        <v>79.8373951696141</v>
      </c>
      <c r="G92" s="44">
        <v>76.67403555511217</v>
      </c>
      <c r="H92" s="44">
        <v>79.38272222179289</v>
      </c>
      <c r="I92" s="44">
        <v>78.22135195</v>
      </c>
    </row>
    <row r="93" spans="1:9" ht="15">
      <c r="A93" s="87" t="str">
        <f>HLOOKUP(INDICE!$F$2,Nombres!$C$3:$D$636,57,FALSE)</f>
        <v>Otros activos</v>
      </c>
      <c r="B93" s="58">
        <f>+B94-B92-B89-B88-B87-B91</f>
        <v>353.05863840448546</v>
      </c>
      <c r="C93" s="58">
        <f aca="true" t="shared" si="15" ref="C93:I93">+C94-C92-C89-C88-C87</f>
        <v>438.4929105855308</v>
      </c>
      <c r="D93" s="58">
        <f t="shared" si="15"/>
        <v>378.55561782438326</v>
      </c>
      <c r="E93" s="64">
        <f t="shared" si="15"/>
        <v>298.4087238203592</v>
      </c>
      <c r="F93" s="44">
        <f t="shared" si="15"/>
        <v>374.55222010948455</v>
      </c>
      <c r="G93" s="44">
        <f t="shared" si="15"/>
        <v>322.80982082780247</v>
      </c>
      <c r="H93" s="44">
        <f t="shared" si="15"/>
        <v>431.766641381043</v>
      </c>
      <c r="I93" s="44">
        <f t="shared" si="15"/>
        <v>343.35330900000827</v>
      </c>
    </row>
    <row r="94" spans="1:9" ht="15">
      <c r="A94" s="90" t="str">
        <f>HLOOKUP(INDICE!$F$2,Nombres!$C$3:$D$636,58,FALSE)</f>
        <v>Total activo / pasivo</v>
      </c>
      <c r="B94" s="47">
        <v>37359.133001011054</v>
      </c>
      <c r="C94" s="47">
        <v>35734.36906657445</v>
      </c>
      <c r="D94" s="47">
        <v>37008.32140451273</v>
      </c>
      <c r="E94" s="70">
        <v>41350.788546385316</v>
      </c>
      <c r="F94" s="51">
        <v>48444.72838453046</v>
      </c>
      <c r="G94" s="51">
        <v>45705.82291779082</v>
      </c>
      <c r="H94" s="51">
        <v>45886.10979018162</v>
      </c>
      <c r="I94" s="51">
        <v>49952.41016969</v>
      </c>
    </row>
    <row r="95" spans="1:9" ht="15">
      <c r="A95" s="87" t="str">
        <f>HLOOKUP(INDICE!$F$2,Nombres!$C$3:$D$636,59,FALSE)</f>
        <v>Pasivos financieros mantenidos para negociar y designados a valor razonable con cambios en resultados</v>
      </c>
      <c r="B95" s="58">
        <v>1655.782036633653</v>
      </c>
      <c r="C95" s="58">
        <v>2004.8310320888454</v>
      </c>
      <c r="D95" s="58">
        <v>2065.140009052466</v>
      </c>
      <c r="E95" s="64">
        <v>5370.616918797768</v>
      </c>
      <c r="F95" s="44">
        <v>8234.531990299616</v>
      </c>
      <c r="G95" s="44">
        <v>4893.733297082187</v>
      </c>
      <c r="H95" s="44">
        <v>2995.620635375099</v>
      </c>
      <c r="I95" s="44">
        <v>4397.298547</v>
      </c>
    </row>
    <row r="96" spans="1:9" ht="15">
      <c r="A96" s="87" t="str">
        <f>HLOOKUP(INDICE!$F$2,Nombres!$C$3:$D$636,60,FALSE)</f>
        <v>Depósitos de bancos centrales y entidades de crédito</v>
      </c>
      <c r="B96" s="58">
        <v>1642.9151974755257</v>
      </c>
      <c r="C96" s="58">
        <v>1571.0600073335709</v>
      </c>
      <c r="D96" s="58">
        <v>1886.1599610388998</v>
      </c>
      <c r="E96" s="64">
        <v>1769.6785029707983</v>
      </c>
      <c r="F96" s="44">
        <v>1877.2270420233774</v>
      </c>
      <c r="G96" s="44">
        <v>1808.6739500349563</v>
      </c>
      <c r="H96" s="44">
        <v>1803.0596134561945</v>
      </c>
      <c r="I96" s="44">
        <v>2744.888522</v>
      </c>
    </row>
    <row r="97" spans="1:9" ht="15">
      <c r="A97" s="87" t="str">
        <f>HLOOKUP(INDICE!$F$2,Nombres!$C$3:$D$636,61,FALSE)</f>
        <v>Depósitos de la clientela</v>
      </c>
      <c r="B97" s="58">
        <v>7151.262052166281</v>
      </c>
      <c r="C97" s="58">
        <v>7243.566018047816</v>
      </c>
      <c r="D97" s="58">
        <v>7655.713616562224</v>
      </c>
      <c r="E97" s="64">
        <v>6432.158971820481</v>
      </c>
      <c r="F97" s="44">
        <v>6791.963344710617</v>
      </c>
      <c r="G97" s="44">
        <v>7657.01194144744</v>
      </c>
      <c r="H97" s="44">
        <v>8416.969958584898</v>
      </c>
      <c r="I97" s="44">
        <v>9826.938752</v>
      </c>
    </row>
    <row r="98" spans="1:9" ht="15">
      <c r="A98" s="43" t="str">
        <f>HLOOKUP(INDICE!$F$2,Nombres!$C$3:$D$636,62,FALSE)</f>
        <v>Valores representativos de deuda emitidos</v>
      </c>
      <c r="B98" s="44">
        <v>1155.0120650327422</v>
      </c>
      <c r="C98" s="44">
        <v>1360.161274698402</v>
      </c>
      <c r="D98" s="44">
        <v>1275.9159364751863</v>
      </c>
      <c r="E98" s="45">
        <v>1186.789883960309</v>
      </c>
      <c r="F98" s="44">
        <v>1365.703727345921</v>
      </c>
      <c r="G98" s="44">
        <v>1402.7728325725507</v>
      </c>
      <c r="H98" s="44">
        <v>1422.3936436232593</v>
      </c>
      <c r="I98" s="44">
        <v>1560.66128746</v>
      </c>
    </row>
    <row r="99" spans="1:9" ht="15">
      <c r="A99" s="87" t="str">
        <f>HLOOKUP(INDICE!$F$2,Nombres!$C$3:$D$636,122,FALSE)</f>
        <v>Posiciones inter-áreas pasivo</v>
      </c>
      <c r="B99" s="44">
        <v>22074.940803592424</v>
      </c>
      <c r="C99" s="44">
        <v>19103.532873933727</v>
      </c>
      <c r="D99" s="44">
        <v>19876.299011170002</v>
      </c>
      <c r="E99" s="45">
        <v>22470.834113796318</v>
      </c>
      <c r="F99" s="44">
        <v>25497.47345615957</v>
      </c>
      <c r="G99" s="44">
        <v>24962.94346798241</v>
      </c>
      <c r="H99" s="44">
        <v>26027.485865983526</v>
      </c>
      <c r="I99" s="44">
        <v>26061.127853370002</v>
      </c>
    </row>
    <row r="100" spans="1:9" ht="15">
      <c r="A100" s="43" t="str">
        <f>HLOOKUP(INDICE!$F$2,Nombres!$C$3:$D$636,63,FALSE)</f>
        <v>Otros pasivos</v>
      </c>
      <c r="B100" s="58">
        <f aca="true" t="shared" si="16" ref="B100:I100">+B94-B95-B96-B97-B98-B101-B99</f>
        <v>594.0249788568508</v>
      </c>
      <c r="C100" s="58">
        <f t="shared" si="16"/>
        <v>908.1259317823897</v>
      </c>
      <c r="D100" s="58">
        <f t="shared" si="16"/>
        <v>861.985212091422</v>
      </c>
      <c r="E100" s="64">
        <f t="shared" si="16"/>
        <v>772.5399763627465</v>
      </c>
      <c r="F100" s="58">
        <f t="shared" si="16"/>
        <v>918.7264970851611</v>
      </c>
      <c r="G100" s="58">
        <f t="shared" si="16"/>
        <v>953.3509859319201</v>
      </c>
      <c r="H100" s="58">
        <f t="shared" si="16"/>
        <v>1030.804697928852</v>
      </c>
      <c r="I100" s="58">
        <f t="shared" si="16"/>
        <v>1013.4518846300016</v>
      </c>
    </row>
    <row r="101" spans="1:9" ht="15">
      <c r="A101" s="43" t="str">
        <f>HLOOKUP(INDICE!$F$2,Nombres!$C$3:$D$636,282,FALSE)</f>
        <v>Dotación de capital regulatorio</v>
      </c>
      <c r="B101" s="58">
        <v>3085.1958672535784</v>
      </c>
      <c r="C101" s="58">
        <v>3543.091928689698</v>
      </c>
      <c r="D101" s="58">
        <v>3387.1076581225243</v>
      </c>
      <c r="E101" s="64">
        <v>3348.170178676902</v>
      </c>
      <c r="F101" s="58">
        <v>3759.102326906207</v>
      </c>
      <c r="G101" s="58">
        <v>4027.336442739354</v>
      </c>
      <c r="H101" s="58">
        <v>4189.775375229792</v>
      </c>
      <c r="I101" s="58">
        <v>4348.043323229998</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25291.67502641632</v>
      </c>
      <c r="C107" s="44">
        <v>25123.313426872846</v>
      </c>
      <c r="D107" s="44">
        <v>25707.283685466544</v>
      </c>
      <c r="E107" s="45">
        <v>27666.44864828273</v>
      </c>
      <c r="F107" s="44">
        <v>32100.946987817482</v>
      </c>
      <c r="G107" s="44">
        <v>32224.83667443537</v>
      </c>
      <c r="H107" s="44">
        <v>34729.163270200195</v>
      </c>
      <c r="I107" s="44">
        <v>37613.089421</v>
      </c>
    </row>
    <row r="108" spans="1:9" ht="15">
      <c r="A108" s="87" t="str">
        <f>HLOOKUP(INDICE!$F$2,Nombres!$C$3:$D$636,67,FALSE)</f>
        <v>Depósitos de clientes en gestión (**)</v>
      </c>
      <c r="B108" s="44">
        <v>7151.262052166282</v>
      </c>
      <c r="C108" s="44">
        <v>7243.566018047817</v>
      </c>
      <c r="D108" s="44">
        <v>7655.713616562223</v>
      </c>
      <c r="E108" s="45">
        <v>6432.158971820482</v>
      </c>
      <c r="F108" s="44">
        <v>6791.963344710617</v>
      </c>
      <c r="G108" s="44">
        <v>7657.011941447441</v>
      </c>
      <c r="H108" s="44">
        <v>8416.969958584898</v>
      </c>
      <c r="I108" s="44">
        <v>9826.938752</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529.59826012</v>
      </c>
      <c r="C110" s="44">
        <v>549.65363599</v>
      </c>
      <c r="D110" s="44">
        <v>566.58063193</v>
      </c>
      <c r="E110" s="45">
        <v>597.24904247</v>
      </c>
      <c r="F110" s="44">
        <v>580.94406159</v>
      </c>
      <c r="G110" s="44">
        <v>522.57530376</v>
      </c>
      <c r="H110" s="44">
        <v>523.75088513</v>
      </c>
      <c r="I110" s="44">
        <v>520.1</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73" ht="15">
      <c r="J173" s="73"/>
    </row>
    <row r="174" ht="15">
      <c r="J174" s="73"/>
    </row>
    <row r="175" ht="15">
      <c r="J175" s="73"/>
    </row>
    <row r="176" ht="15">
      <c r="J176" s="73"/>
    </row>
    <row r="177" ht="15">
      <c r="J177" s="73"/>
    </row>
    <row r="178" ht="15">
      <c r="J178" s="73"/>
    </row>
    <row r="179" ht="15">
      <c r="J179" s="73"/>
    </row>
    <row r="180" ht="15">
      <c r="J180" s="73"/>
    </row>
    <row r="1000" ht="15">
      <c r="A1000" s="31" t="s">
        <v>391</v>
      </c>
    </row>
  </sheetData>
  <sheetProtection/>
  <mergeCells count="4">
    <mergeCell ref="B6:E6"/>
    <mergeCell ref="B62:E62"/>
    <mergeCell ref="F6:I6"/>
    <mergeCell ref="F62:I62"/>
  </mergeCells>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4">
      <selection activeCell="A31" sqref="A31:I31"/>
    </sheetView>
  </sheetViews>
  <sheetFormatPr defaultColWidth="11.421875" defaultRowHeight="15"/>
  <cols>
    <col min="1" max="1" width="82.00390625" style="31" customWidth="1"/>
    <col min="2" max="2" width="10.421875" style="31" customWidth="1"/>
    <col min="3"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-43.849252549999974</v>
      </c>
      <c r="C8" s="41">
        <v>-38.10383747000003</v>
      </c>
      <c r="D8" s="41">
        <v>-46.348549700000014</v>
      </c>
      <c r="E8" s="42">
        <v>-34.929972419999906</v>
      </c>
      <c r="F8" s="50">
        <v>-37.45303362999999</v>
      </c>
      <c r="G8" s="50">
        <v>-26.467458329999992</v>
      </c>
      <c r="H8" s="237">
        <v>-33.47610747000006</v>
      </c>
      <c r="I8" s="237">
        <v>-11.992272549999948</v>
      </c>
      <c r="K8" s="86"/>
      <c r="L8" s="86"/>
      <c r="M8" s="86"/>
      <c r="N8" s="86"/>
      <c r="O8" s="86"/>
    </row>
    <row r="9" spans="1:9" ht="15">
      <c r="A9" s="87" t="str">
        <f>HLOOKUP(INDICE!$F$2,Nombres!$C$3:$D$636,34,FALSE)</f>
        <v>Comisiones netas</v>
      </c>
      <c r="B9" s="44">
        <v>-2.8977995999999986</v>
      </c>
      <c r="C9" s="44">
        <v>-19.979545090000002</v>
      </c>
      <c r="D9" s="44">
        <v>-6.33287841999999</v>
      </c>
      <c r="E9" s="45">
        <v>-6.527499109999997</v>
      </c>
      <c r="F9" s="44">
        <v>-4.109733000000002</v>
      </c>
      <c r="G9" s="44">
        <v>-15.900528690000002</v>
      </c>
      <c r="H9" s="44">
        <v>-5.1897988799999935</v>
      </c>
      <c r="I9" s="44">
        <v>-6.2927801300000095</v>
      </c>
    </row>
    <row r="10" spans="1:9" ht="15">
      <c r="A10" s="87" t="str">
        <f>HLOOKUP(INDICE!$F$2,Nombres!$C$3:$D$636,35,FALSE)</f>
        <v>Resultados de operaciones financieras</v>
      </c>
      <c r="B10" s="44">
        <v>46.397079110000014</v>
      </c>
      <c r="C10" s="44">
        <v>121.14912621</v>
      </c>
      <c r="D10" s="44">
        <v>100.69057498999999</v>
      </c>
      <c r="E10" s="45">
        <v>-2.4766653099999587</v>
      </c>
      <c r="F10" s="44">
        <v>-38.32611692999999</v>
      </c>
      <c r="G10" s="44">
        <v>-83.02728671000001</v>
      </c>
      <c r="H10" s="44">
        <v>41.07349616</v>
      </c>
      <c r="I10" s="44">
        <v>-213.27071101</v>
      </c>
    </row>
    <row r="11" spans="1:9" ht="15">
      <c r="A11" s="87" t="str">
        <f>HLOOKUP(INDICE!$F$2,Nombres!$C$3:$D$636,36,FALSE)</f>
        <v>Otros ingresos y cargas de explotación</v>
      </c>
      <c r="B11" s="44">
        <v>-17.859285009999983</v>
      </c>
      <c r="C11" s="44">
        <v>101.63862162000021</v>
      </c>
      <c r="D11" s="44">
        <v>11.070859999999929</v>
      </c>
      <c r="E11" s="45">
        <v>50.84682551999986</v>
      </c>
      <c r="F11" s="44">
        <v>0.7529770800000088</v>
      </c>
      <c r="G11" s="44">
        <v>57.714178259999926</v>
      </c>
      <c r="H11" s="44">
        <v>0.23990423000018035</v>
      </c>
      <c r="I11" s="44">
        <v>46.59438756000012</v>
      </c>
    </row>
    <row r="12" spans="1:9" ht="15">
      <c r="A12" s="41" t="str">
        <f>HLOOKUP(INDICE!$F$2,Nombres!$C$3:$D$636,37,FALSE)</f>
        <v>Margen bruto</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-67.68109547000009</v>
      </c>
      <c r="H12" s="50">
        <f t="shared" si="0"/>
        <v>2.647494040000128</v>
      </c>
      <c r="I12" s="50">
        <f t="shared" si="0"/>
        <v>-184.96137612999985</v>
      </c>
    </row>
    <row r="13" spans="1:9" ht="15">
      <c r="A13" s="87" t="str">
        <f>HLOOKUP(INDICE!$F$2,Nombres!$C$3:$D$636,38,FALSE)</f>
        <v>Gastos de explotación</v>
      </c>
      <c r="B13" s="44">
        <v>-196.92836287999995</v>
      </c>
      <c r="C13" s="44">
        <v>-196.09666847000005</v>
      </c>
      <c r="D13" s="44">
        <v>-210.61973142</v>
      </c>
      <c r="E13" s="45">
        <v>-215.89150475999998</v>
      </c>
      <c r="F13" s="44">
        <v>-187.23582509000005</v>
      </c>
      <c r="G13" s="44">
        <v>-204.66321022</v>
      </c>
      <c r="H13" s="44">
        <v>-201.32678008</v>
      </c>
      <c r="I13" s="44">
        <v>-259.01776677</v>
      </c>
    </row>
    <row r="14" spans="1:9" ht="15">
      <c r="A14" s="87" t="str">
        <f>HLOOKUP(INDICE!$F$2,Nombres!$C$3:$D$636,39,FALSE)</f>
        <v>  Gastos de administración</v>
      </c>
      <c r="B14" s="44">
        <v>-149.86428952</v>
      </c>
      <c r="C14" s="44">
        <v>-148.47024711000006</v>
      </c>
      <c r="D14" s="44">
        <v>-161.37574508</v>
      </c>
      <c r="E14" s="45">
        <v>-166.27213930999994</v>
      </c>
      <c r="F14" s="44">
        <v>-139.01582173000003</v>
      </c>
      <c r="G14" s="44">
        <v>-154.63980446000002</v>
      </c>
      <c r="H14" s="44">
        <v>-150.34912872000007</v>
      </c>
      <c r="I14" s="44">
        <v>-202.69276041</v>
      </c>
    </row>
    <row r="15" spans="1:9" ht="15">
      <c r="A15" s="88" t="str">
        <f>HLOOKUP(INDICE!$F$2,Nombres!$C$3:$D$636,40,FALSE)</f>
        <v>  Gastos de personal</v>
      </c>
      <c r="B15" s="44">
        <v>-129.45738859</v>
      </c>
      <c r="C15" s="44">
        <v>-138.08783414</v>
      </c>
      <c r="D15" s="44">
        <v>-141.70301091</v>
      </c>
      <c r="E15" s="45">
        <v>-148.67481270000002</v>
      </c>
      <c r="F15" s="44">
        <v>-131.46988281</v>
      </c>
      <c r="G15" s="44">
        <v>-142.34624054</v>
      </c>
      <c r="H15" s="44">
        <v>-144.88569308</v>
      </c>
      <c r="I15" s="44">
        <v>-206.68925453000003</v>
      </c>
    </row>
    <row r="16" spans="1:9" ht="15">
      <c r="A16" s="88" t="str">
        <f>HLOOKUP(INDICE!$F$2,Nombres!$C$3:$D$636,41,FALSE)</f>
        <v>  Otros gastos de administración</v>
      </c>
      <c r="B16" s="44">
        <v>-20.406900929999978</v>
      </c>
      <c r="C16" s="44">
        <v>-10.382412970000042</v>
      </c>
      <c r="D16" s="44">
        <v>-19.672734170000005</v>
      </c>
      <c r="E16" s="45">
        <v>-17.59732660999998</v>
      </c>
      <c r="F16" s="44">
        <v>-7.545938920000017</v>
      </c>
      <c r="G16" s="44">
        <v>-12.293563919999997</v>
      </c>
      <c r="H16" s="44">
        <v>-5.463435640000012</v>
      </c>
      <c r="I16" s="44">
        <v>3.9964941200000266</v>
      </c>
    </row>
    <row r="17" spans="1:9" ht="15">
      <c r="A17" s="87" t="str">
        <f>HLOOKUP(INDICE!$F$2,Nombres!$C$3:$D$636,42,FALSE)</f>
        <v>  Amortización</v>
      </c>
      <c r="B17" s="44">
        <v>-47.064073359999995</v>
      </c>
      <c r="C17" s="44">
        <v>-47.62642136</v>
      </c>
      <c r="D17" s="44">
        <v>-49.24398634</v>
      </c>
      <c r="E17" s="45">
        <v>-49.619365450000004</v>
      </c>
      <c r="F17" s="44">
        <v>-48.22000335999999</v>
      </c>
      <c r="G17" s="44">
        <v>-50.02340576</v>
      </c>
      <c r="H17" s="44">
        <v>-50.97765135999998</v>
      </c>
      <c r="I17" s="44">
        <v>-56.32500636</v>
      </c>
    </row>
    <row r="18" spans="1:9" ht="15">
      <c r="A18" s="41" t="str">
        <f>HLOOKUP(INDICE!$F$2,Nombres!$C$3:$D$636,43,FALSE)</f>
        <v>Margen neto</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-272.34430569000006</v>
      </c>
      <c r="H18" s="50">
        <f t="shared" si="1"/>
        <v>-198.67928603999985</v>
      </c>
      <c r="I18" s="50">
        <f t="shared" si="1"/>
        <v>-443.97914289999983</v>
      </c>
    </row>
    <row r="19" spans="1:9" ht="15">
      <c r="A19" s="87" t="str">
        <f>HLOOKUP(INDICE!$F$2,Nombres!$C$3:$D$636,44,FALSE)</f>
        <v>Deterioro de activos financieros no valorados a valor razonable con cambios en resultados</v>
      </c>
      <c r="B19" s="44">
        <v>-0.0005037100000000374</v>
      </c>
      <c r="C19" s="44">
        <v>0.21530097000000006</v>
      </c>
      <c r="D19" s="44">
        <v>-1.9158636999999998</v>
      </c>
      <c r="E19" s="45">
        <v>0.08115558999999997</v>
      </c>
      <c r="F19" s="44">
        <v>0.74507893</v>
      </c>
      <c r="G19" s="44">
        <v>0.2867402399999999</v>
      </c>
      <c r="H19" s="44">
        <v>-2.0790838899999997</v>
      </c>
      <c r="I19" s="44">
        <v>-0.6720295199999998</v>
      </c>
    </row>
    <row r="20" spans="1:9" ht="15">
      <c r="A20" s="87" t="str">
        <f>HLOOKUP(INDICE!$F$2,Nombres!$C$3:$D$636,45,FALSE)</f>
        <v>Provisiones o reversión de provisiones y otros resultados</v>
      </c>
      <c r="B20" s="44">
        <v>8.92527120999998</v>
      </c>
      <c r="C20" s="44">
        <v>-27.99695481000005</v>
      </c>
      <c r="D20" s="44">
        <v>5.617522000000079</v>
      </c>
      <c r="E20" s="45">
        <v>45.00950525999991</v>
      </c>
      <c r="F20" s="44">
        <v>10.601688679999999</v>
      </c>
      <c r="G20" s="44">
        <v>-5.445604379999987</v>
      </c>
      <c r="H20" s="44">
        <v>-8.048658459999901</v>
      </c>
      <c r="I20" s="44">
        <v>11.29797230999986</v>
      </c>
    </row>
    <row r="21" spans="1:9" ht="15">
      <c r="A21" s="89" t="str">
        <f>HLOOKUP(INDICE!$F$2,Nombres!$C$3:$D$636,46,FALSE)</f>
        <v>Resultado antes de impuestos</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-277.50316983000005</v>
      </c>
      <c r="H21" s="50">
        <f t="shared" si="2"/>
        <v>-208.80702838999974</v>
      </c>
      <c r="I21" s="50">
        <f t="shared" si="2"/>
        <v>-433.35320011</v>
      </c>
    </row>
    <row r="22" spans="1:9" ht="15">
      <c r="A22" s="43" t="str">
        <f>HLOOKUP(INDICE!$F$2,Nombres!$C$3:$D$636,47,FALSE)</f>
        <v>Impuesto sobre beneficios</v>
      </c>
      <c r="B22" s="44">
        <v>6.297463619999993</v>
      </c>
      <c r="C22" s="44">
        <v>-6.61688129000008</v>
      </c>
      <c r="D22" s="44">
        <v>27.57428082999996</v>
      </c>
      <c r="E22" s="45">
        <v>48.55661930000005</v>
      </c>
      <c r="F22" s="44">
        <v>45.859160960000004</v>
      </c>
      <c r="G22" s="44">
        <v>248.33526006</v>
      </c>
      <c r="H22" s="44">
        <v>-126.46344140000004</v>
      </c>
      <c r="I22" s="44">
        <v>109.24338144999996</v>
      </c>
    </row>
    <row r="23" spans="1:9" ht="15">
      <c r="A23" s="41" t="str">
        <f>HLOOKUP(INDICE!$F$2,Nombres!$C$3:$D$636,48,FALSE)</f>
        <v>Resultado del ejercicio</v>
      </c>
      <c r="B23" s="41">
        <f aca="true" t="shared" si="3" ref="B23:I23">+B21+B22</f>
        <v>-199.9153898099999</v>
      </c>
      <c r="C23" s="41">
        <f t="shared" si="3"/>
        <v>-65.79083833</v>
      </c>
      <c r="D23" s="41">
        <f t="shared" si="3"/>
        <v>-120.26378542000003</v>
      </c>
      <c r="E23" s="42">
        <f t="shared" si="3"/>
        <v>-115.33153593</v>
      </c>
      <c r="F23" s="50">
        <f t="shared" si="3"/>
        <v>-209.16580300000004</v>
      </c>
      <c r="G23" s="50">
        <f t="shared" si="3"/>
        <v>-29.16790977000005</v>
      </c>
      <c r="H23" s="50">
        <f t="shared" si="3"/>
        <v>-335.27046978999977</v>
      </c>
      <c r="I23" s="50">
        <f t="shared" si="3"/>
        <v>-324.10981866000003</v>
      </c>
    </row>
    <row r="24" spans="1:9" ht="15">
      <c r="A24" s="43" t="str">
        <f>HLOOKUP(INDICE!$F$2,Nombres!$C$3:$D$636,49,FALSE)</f>
        <v>Minoritarios</v>
      </c>
      <c r="B24" s="44">
        <v>-0.6575781699999999</v>
      </c>
      <c r="C24" s="44">
        <v>-4.24266055</v>
      </c>
      <c r="D24" s="44">
        <v>-10.528699010000002</v>
      </c>
      <c r="E24" s="45">
        <v>-4.820760240000003</v>
      </c>
      <c r="F24" s="44">
        <v>-6.266600769999999</v>
      </c>
      <c r="G24" s="44">
        <v>14.166734980000003</v>
      </c>
      <c r="H24" s="44">
        <v>-0.42464304</v>
      </c>
      <c r="I24" s="44">
        <v>-32.16901922</v>
      </c>
    </row>
    <row r="25" spans="1:9" ht="15">
      <c r="A25" s="47" t="str">
        <f>HLOOKUP(INDICE!$F$2,Nombres!$C$3:$D$636,305,FALSE)</f>
        <v>Resultado atribuido excluyendo impactos no recurrentes</v>
      </c>
      <c r="B25" s="47">
        <f aca="true" t="shared" si="4" ref="B25:I25">+B23+B24</f>
        <v>-200.5729679799999</v>
      </c>
      <c r="C25" s="47">
        <f t="shared" si="4"/>
        <v>-70.03349888</v>
      </c>
      <c r="D25" s="47">
        <f t="shared" si="4"/>
        <v>-130.79248443000003</v>
      </c>
      <c r="E25" s="47">
        <f t="shared" si="4"/>
        <v>-120.15229617</v>
      </c>
      <c r="F25" s="47">
        <f t="shared" si="4"/>
        <v>-215.43240377000004</v>
      </c>
      <c r="G25" s="47">
        <f t="shared" si="4"/>
        <v>-15.001174790000048</v>
      </c>
      <c r="H25" s="47">
        <f t="shared" si="4"/>
        <v>-335.69511282999974</v>
      </c>
      <c r="I25" s="47">
        <f t="shared" si="4"/>
        <v>-356.27883788</v>
      </c>
    </row>
    <row r="26" spans="1:9" ht="15">
      <c r="A26" s="41" t="str">
        <f>HLOOKUP(INDICE!$F$2,Nombres!$C$3:$D$636,318,FALSE)</f>
        <v>Operaciones Corporativas e Interrumpidas</v>
      </c>
      <c r="B26" s="197">
        <f>+B27++B28</f>
        <v>177.04100000000003</v>
      </c>
      <c r="C26" s="197">
        <f aca="true" t="shared" si="5" ref="C26:I26">+C27++C28</f>
        <v>-593.0077980200002</v>
      </c>
      <c r="D26" s="197">
        <f t="shared" si="5"/>
        <v>0</v>
      </c>
      <c r="E26" s="42">
        <f t="shared" si="5"/>
        <v>-9.999999184273634E-07</v>
      </c>
      <c r="F26" s="197">
        <f t="shared" si="5"/>
        <v>0</v>
      </c>
      <c r="G26" s="197">
        <f t="shared" si="5"/>
        <v>0</v>
      </c>
      <c r="H26" s="197">
        <f t="shared" si="5"/>
        <v>0</v>
      </c>
      <c r="I26" s="197">
        <f t="shared" si="5"/>
        <v>0</v>
      </c>
    </row>
    <row r="27" spans="1:9" ht="15">
      <c r="A27" s="43" t="str">
        <f>HLOOKUP(INDICE!$F$2,Nombres!$C$3:$D$636,306,FALSE)</f>
        <v>Resultado después de impuestos de operaciones interrumpidas (1)</v>
      </c>
      <c r="B27" s="44">
        <v>177.04100000000003</v>
      </c>
      <c r="C27" s="44">
        <v>102.65999999999976</v>
      </c>
      <c r="D27" s="44">
        <v>0</v>
      </c>
      <c r="E27" s="45">
        <v>-9.999999184273634E-07</v>
      </c>
      <c r="F27" s="44">
        <v>0</v>
      </c>
      <c r="G27" s="44">
        <v>0</v>
      </c>
      <c r="H27" s="44">
        <v>0</v>
      </c>
      <c r="I27" s="44">
        <v>0</v>
      </c>
    </row>
    <row r="28" spans="1:9" ht="15">
      <c r="A28" s="43" t="str">
        <f>HLOOKUP(INDICE!$F$2,Nombres!$C$3:$D$636,308,FALSE)</f>
        <v>Costes netos asociados al proceso de reestructuración</v>
      </c>
      <c r="B28" s="44">
        <v>0</v>
      </c>
      <c r="C28" s="44">
        <v>-695.66779802</v>
      </c>
      <c r="D28" s="44">
        <v>0</v>
      </c>
      <c r="E28" s="45">
        <v>0</v>
      </c>
      <c r="F28" s="44">
        <v>0</v>
      </c>
      <c r="G28" s="44">
        <v>0</v>
      </c>
      <c r="H28" s="44">
        <v>0</v>
      </c>
      <c r="I28" s="44">
        <v>0</v>
      </c>
    </row>
    <row r="29" spans="1:9" ht="15">
      <c r="A29" s="47" t="str">
        <f>HLOOKUP(INDICE!$F$2,Nombres!$C$3:$D$636,50,FALSE)</f>
        <v>Resultado atribuido</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-15.001174790000048</v>
      </c>
      <c r="H29" s="47">
        <f t="shared" si="6"/>
        <v>-335.69511282999974</v>
      </c>
      <c r="I29" s="47">
        <f t="shared" si="6"/>
        <v>-356.27883788</v>
      </c>
    </row>
    <row r="30" spans="1:9" ht="15">
      <c r="A30" s="296" t="s">
        <v>555</v>
      </c>
      <c r="B30" s="44"/>
      <c r="C30" s="44"/>
      <c r="D30" s="44"/>
      <c r="E30" s="44"/>
      <c r="F30" s="44"/>
      <c r="G30" s="44"/>
      <c r="H30" s="44"/>
      <c r="I30" s="44"/>
    </row>
    <row r="31" spans="1:9" ht="15">
      <c r="A31" s="299" t="str">
        <f>HLOOKUP(INDICE!$F$2,Nombres!$C$3:$D$636,312,FALSE)</f>
        <v>(1) Incluen los resultados generados por BBVA USA y el resto de sociedades de EEUU vendidas a PNC el 1 de junio de 2021</v>
      </c>
      <c r="B31" s="299"/>
      <c r="C31" s="299"/>
      <c r="D31" s="299"/>
      <c r="E31" s="299"/>
      <c r="F31" s="299"/>
      <c r="G31" s="299"/>
      <c r="H31" s="299"/>
      <c r="I31" s="299"/>
    </row>
    <row r="32" spans="1:9" ht="14.25" customHeight="1">
      <c r="A32" s="299"/>
      <c r="B32" s="299"/>
      <c r="C32" s="299"/>
      <c r="D32" s="299"/>
      <c r="E32" s="299"/>
      <c r="F32" s="299"/>
      <c r="G32" s="299"/>
      <c r="H32" s="299"/>
      <c r="I32" s="299"/>
    </row>
    <row r="33" spans="1:9" ht="14.25" customHeight="1">
      <c r="A33" s="41"/>
      <c r="B33" s="63">
        <v>0</v>
      </c>
      <c r="C33" s="63">
        <v>3.552713678800501E-13</v>
      </c>
      <c r="D33" s="63">
        <v>0</v>
      </c>
      <c r="E33" s="63">
        <v>0</v>
      </c>
      <c r="F33" s="63">
        <v>0</v>
      </c>
      <c r="G33" s="63">
        <v>1.723066134218243E-13</v>
      </c>
      <c r="H33" s="63">
        <v>0</v>
      </c>
      <c r="I33" s="63">
        <v>0</v>
      </c>
    </row>
    <row r="34" spans="1:9" ht="15">
      <c r="A34" s="41"/>
      <c r="B34" s="41"/>
      <c r="C34" s="41"/>
      <c r="D34" s="41"/>
      <c r="E34" s="41"/>
      <c r="F34" s="41"/>
      <c r="G34" s="41"/>
      <c r="H34" s="41"/>
      <c r="I34" s="41"/>
    </row>
    <row r="35" spans="1:9" ht="18">
      <c r="A35" s="92" t="str">
        <f>HLOOKUP(INDICE!$F$2,Nombres!$C$3:$D$636,51,FALSE)</f>
        <v>Balances</v>
      </c>
      <c r="B35" s="34"/>
      <c r="C35" s="34"/>
      <c r="D35" s="34"/>
      <c r="E35" s="34"/>
      <c r="F35" s="80"/>
      <c r="G35" s="80"/>
      <c r="H35" s="80"/>
      <c r="I35" s="80"/>
    </row>
    <row r="36" spans="1:9" ht="15">
      <c r="A36" s="83" t="str">
        <f>HLOOKUP(INDICE!$F$2,Nombres!$C$3:$D$636,32,FALSE)</f>
        <v>(Millones de euros)</v>
      </c>
      <c r="B36" s="30"/>
      <c r="C36" s="52"/>
      <c r="D36" s="52"/>
      <c r="E36" s="52"/>
      <c r="F36" s="78"/>
      <c r="G36" s="76"/>
      <c r="H36" s="76"/>
      <c r="I36" s="76"/>
    </row>
    <row r="37" spans="1:9" ht="15.75">
      <c r="A37" s="30"/>
      <c r="B37" s="53">
        <f>+España!B32</f>
        <v>44286</v>
      </c>
      <c r="C37" s="53">
        <f>+España!C32</f>
        <v>44377</v>
      </c>
      <c r="D37" s="53">
        <f>+España!D32</f>
        <v>44469</v>
      </c>
      <c r="E37" s="67">
        <f>+España!E32</f>
        <v>44561</v>
      </c>
      <c r="F37" s="53">
        <f>+España!F32</f>
        <v>44651</v>
      </c>
      <c r="G37" s="53">
        <f>+España!G32</f>
        <v>44742</v>
      </c>
      <c r="H37" s="53">
        <f>+España!H32</f>
        <v>44834</v>
      </c>
      <c r="I37" s="53">
        <f>+España!I32</f>
        <v>44926</v>
      </c>
    </row>
    <row r="38" spans="1:9" ht="15">
      <c r="A38" s="87" t="str">
        <f>HLOOKUP(INDICE!$F$2,Nombres!$C$3:$D$636,52,FALSE)</f>
        <v>Efectivo, saldos en efectivo en bancos centrales y otros depósitos a la vista</v>
      </c>
      <c r="B38" s="44">
        <v>923.0540970000001</v>
      </c>
      <c r="C38" s="44">
        <v>10200.758577</v>
      </c>
      <c r="D38" s="44">
        <v>10188.903583</v>
      </c>
      <c r="E38" s="45">
        <v>9609.331895000001</v>
      </c>
      <c r="F38" s="44">
        <v>8607.665282</v>
      </c>
      <c r="G38" s="44">
        <v>6308.679373</v>
      </c>
      <c r="H38" s="44">
        <v>876.1439949999999</v>
      </c>
      <c r="I38" s="44">
        <v>855.682995</v>
      </c>
    </row>
    <row r="39" spans="1:9" ht="15">
      <c r="A39" s="87" t="str">
        <f>HLOOKUP(INDICE!$F$2,Nombres!$C$3:$D$636,53,FALSE)</f>
        <v>Activos financieros a valor razonable</v>
      </c>
      <c r="B39" s="58">
        <v>1679.5687306799998</v>
      </c>
      <c r="C39" s="58">
        <v>1902.8554403500002</v>
      </c>
      <c r="D39" s="58">
        <v>2057.83634224</v>
      </c>
      <c r="E39" s="64">
        <v>2098.75175648</v>
      </c>
      <c r="F39" s="58">
        <v>2680.3512664500004</v>
      </c>
      <c r="G39" s="58">
        <v>2810.71222701</v>
      </c>
      <c r="H39" s="58">
        <v>2590.5027934299997</v>
      </c>
      <c r="I39" s="58">
        <v>2390.43420718</v>
      </c>
    </row>
    <row r="40" spans="1:9" ht="15">
      <c r="A40" s="43" t="str">
        <f>HLOOKUP(INDICE!$F$2,Nombres!$C$3:$D$636,54,FALSE)</f>
        <v>Activos financieros a coste amortizado</v>
      </c>
      <c r="B40" s="44">
        <v>1782.386904</v>
      </c>
      <c r="C40" s="44">
        <v>1659.8399540000003</v>
      </c>
      <c r="D40" s="44">
        <v>1576.592776</v>
      </c>
      <c r="E40" s="45">
        <v>2175.279227</v>
      </c>
      <c r="F40" s="44">
        <v>1331.3924880000002</v>
      </c>
      <c r="G40" s="44">
        <v>1044.3898099999997</v>
      </c>
      <c r="H40" s="44">
        <v>2160.4580990000004</v>
      </c>
      <c r="I40" s="44">
        <v>3261.5374236800003</v>
      </c>
    </row>
    <row r="41" spans="1:9" ht="15">
      <c r="A41" s="87" t="str">
        <f>HLOOKUP(INDICE!$F$2,Nombres!$C$3:$D$636,55,FALSE)</f>
        <v>    de los que préstamos y anticipos a la clientela</v>
      </c>
      <c r="B41" s="44">
        <v>668.745147</v>
      </c>
      <c r="C41" s="44">
        <v>574.594015</v>
      </c>
      <c r="D41" s="44">
        <v>170.45725200000007</v>
      </c>
      <c r="E41" s="45">
        <v>1005.9331770000002</v>
      </c>
      <c r="F41" s="44">
        <v>500.6690739999999</v>
      </c>
      <c r="G41" s="44">
        <v>343.35233</v>
      </c>
      <c r="H41" s="44">
        <v>160.81776000000002</v>
      </c>
      <c r="I41" s="44">
        <v>277.8761496799999</v>
      </c>
    </row>
    <row r="42" spans="1:9" ht="15">
      <c r="A42" s="87" t="str">
        <f>HLOOKUP(INDICE!$F$2,Nombres!$C$3:$D$636,121,FALSE)</f>
        <v>Posiciones inter-áreas activo</v>
      </c>
      <c r="B42" s="44">
        <v>-3.3190022804774344E-05</v>
      </c>
      <c r="C42" s="44">
        <v>-8.197998977266252E-05</v>
      </c>
      <c r="D42" s="44">
        <v>-7.164000999182463E-05</v>
      </c>
      <c r="E42" s="45">
        <v>0.00043695000204024836</v>
      </c>
      <c r="F42" s="44">
        <v>-0.002000020002014935</v>
      </c>
      <c r="G42" s="44">
        <v>0</v>
      </c>
      <c r="H42" s="44">
        <v>-0.00013718999980483204</v>
      </c>
      <c r="I42" s="44">
        <v>0</v>
      </c>
    </row>
    <row r="43" spans="1:9" ht="15">
      <c r="A43" s="43" t="str">
        <f>HLOOKUP(INDICE!$F$2,Nombres!$C$3:$D$636,56,FALSE)</f>
        <v>Activos tangibles</v>
      </c>
      <c r="B43" s="44">
        <v>2038.8515439999999</v>
      </c>
      <c r="C43" s="44">
        <v>2019.6463440000002</v>
      </c>
      <c r="D43" s="44">
        <v>1988.1729079999998</v>
      </c>
      <c r="E43" s="45">
        <v>1963.5125279999997</v>
      </c>
      <c r="F43" s="44">
        <v>1914.4294419999999</v>
      </c>
      <c r="G43" s="44">
        <v>1898.1821545</v>
      </c>
      <c r="H43" s="44">
        <v>1888.47180774</v>
      </c>
      <c r="I43" s="44">
        <v>1862.5687430400003</v>
      </c>
    </row>
    <row r="44" spans="1:9" ht="15.75" customHeight="1">
      <c r="A44" s="87" t="str">
        <f>HLOOKUP(INDICE!$F$2,Nombres!$C$3:$D$636,57,FALSE)</f>
        <v>Otros activos</v>
      </c>
      <c r="B44" s="44">
        <v>102929.1403548</v>
      </c>
      <c r="C44" s="44">
        <v>15358.58276591</v>
      </c>
      <c r="D44" s="44">
        <v>15307.8097385</v>
      </c>
      <c r="E44" s="45">
        <v>14987.669017239996</v>
      </c>
      <c r="F44" s="44">
        <v>14769.27883025</v>
      </c>
      <c r="G44" s="44">
        <v>14040.610875279997</v>
      </c>
      <c r="H44" s="44">
        <v>13992.462842140003</v>
      </c>
      <c r="I44" s="44">
        <v>14348.672601119997</v>
      </c>
    </row>
    <row r="45" spans="1:9" ht="15">
      <c r="A45" s="90" t="str">
        <f>HLOOKUP(INDICE!$F$2,Nombres!$C$3:$D$636,58,FALSE)</f>
        <v>Total activo / pasivo</v>
      </c>
      <c r="B45" s="51">
        <f aca="true" t="shared" si="7" ref="B45:I45">+B38+B39+B40+B42+B43+B44</f>
        <v>109353.00159728997</v>
      </c>
      <c r="C45" s="51">
        <f t="shared" si="7"/>
        <v>31141.682999280012</v>
      </c>
      <c r="D45" s="51">
        <f t="shared" si="7"/>
        <v>31119.315276099987</v>
      </c>
      <c r="E45" s="79">
        <f t="shared" si="7"/>
        <v>30834.54486067</v>
      </c>
      <c r="F45" s="51">
        <f t="shared" si="7"/>
        <v>29303.115308679997</v>
      </c>
      <c r="G45" s="51">
        <f t="shared" si="7"/>
        <v>26102.574439789998</v>
      </c>
      <c r="H45" s="51">
        <f t="shared" si="7"/>
        <v>21508.039400120004</v>
      </c>
      <c r="I45" s="51">
        <f t="shared" si="7"/>
        <v>22718.89597002</v>
      </c>
    </row>
    <row r="46" spans="1:9" ht="15">
      <c r="A46" s="87" t="str">
        <f>HLOOKUP(INDICE!$F$2,Nombres!$C$3:$D$636,59,FALSE)</f>
        <v>Pasivos financieros mantenidos para negociar y designados a valor razonable con cambios en resultados</v>
      </c>
      <c r="B46" s="44">
        <v>60.11018</v>
      </c>
      <c r="C46" s="44">
        <v>7.505911</v>
      </c>
      <c r="D46" s="44">
        <v>8.221091999999999</v>
      </c>
      <c r="E46" s="45">
        <v>83.911289</v>
      </c>
      <c r="F46" s="44">
        <v>136.73259699999997</v>
      </c>
      <c r="G46" s="44">
        <v>187.53462199999998</v>
      </c>
      <c r="H46" s="44">
        <v>251.74170099999998</v>
      </c>
      <c r="I46" s="44">
        <v>108.30249</v>
      </c>
    </row>
    <row r="47" spans="1:9" ht="15">
      <c r="A47" s="87" t="str">
        <f>HLOOKUP(INDICE!$F$2,Nombres!$C$3:$D$636,60,FALSE)</f>
        <v>Depósitos de bancos centrales y entidades de crédito</v>
      </c>
      <c r="B47" s="44">
        <v>858.9708349999999</v>
      </c>
      <c r="C47" s="44">
        <v>829.7628249999999</v>
      </c>
      <c r="D47" s="44">
        <v>846.6208490000001</v>
      </c>
      <c r="E47" s="45">
        <v>825.2378679999999</v>
      </c>
      <c r="F47" s="44">
        <v>762.66485</v>
      </c>
      <c r="G47" s="44">
        <v>778.6539009999999</v>
      </c>
      <c r="H47" s="44">
        <v>838.344961</v>
      </c>
      <c r="I47" s="44">
        <v>682.05088</v>
      </c>
    </row>
    <row r="48" spans="1:9" ht="15">
      <c r="A48" s="87" t="str">
        <f>HLOOKUP(INDICE!$F$2,Nombres!$C$3:$D$636,61,FALSE)</f>
        <v>Depósitos de la clientela</v>
      </c>
      <c r="B48" s="44">
        <v>176.72810500000003</v>
      </c>
      <c r="C48" s="44">
        <v>172.892991</v>
      </c>
      <c r="D48" s="44">
        <v>179.817772</v>
      </c>
      <c r="E48" s="45">
        <v>175.186462</v>
      </c>
      <c r="F48" s="44">
        <v>181.94271200000003</v>
      </c>
      <c r="G48" s="44">
        <v>191.028443</v>
      </c>
      <c r="H48" s="44">
        <v>185.217964</v>
      </c>
      <c r="I48" s="44">
        <v>186.723229</v>
      </c>
    </row>
    <row r="49" spans="1:9" ht="15">
      <c r="A49" s="43" t="str">
        <f>HLOOKUP(INDICE!$F$2,Nombres!$C$3:$D$636,62,FALSE)</f>
        <v>Valores representativos de deuda emitidos</v>
      </c>
      <c r="B49" s="44">
        <v>3383.1166194999996</v>
      </c>
      <c r="C49" s="44">
        <v>1882.2815563500014</v>
      </c>
      <c r="D49" s="44">
        <v>1602.5345271900005</v>
      </c>
      <c r="E49" s="45">
        <v>1556.3347012199997</v>
      </c>
      <c r="F49" s="44">
        <v>946.7578466500006</v>
      </c>
      <c r="G49" s="44">
        <v>-530.5565864599987</v>
      </c>
      <c r="H49" s="44">
        <v>-791.7168418800004</v>
      </c>
      <c r="I49" s="44">
        <v>-863.0435753099995</v>
      </c>
    </row>
    <row r="50" spans="1:9" ht="15">
      <c r="A50" s="87" t="str">
        <f>HLOOKUP(INDICE!$F$2,Nombres!$C$3:$D$636,122,FALSE)</f>
        <v>Posiciones inter-áreas pasivo</v>
      </c>
      <c r="B50" s="44">
        <v>495.9309749699896</v>
      </c>
      <c r="C50" s="44">
        <v>6842.252097389999</v>
      </c>
      <c r="D50" s="44">
        <v>7279.647209580005</v>
      </c>
      <c r="E50" s="45">
        <v>7758.0316279200015</v>
      </c>
      <c r="F50" s="44">
        <v>9620.769197000001</v>
      </c>
      <c r="G50" s="44">
        <v>12047.442375209997</v>
      </c>
      <c r="H50" s="44">
        <v>7350.719262710016</v>
      </c>
      <c r="I50" s="44">
        <v>7864.658792610007</v>
      </c>
    </row>
    <row r="51" spans="1:9" ht="15">
      <c r="A51" s="43" t="str">
        <f>HLOOKUP(INDICE!$F$2,Nombres!$C$3:$D$636,63,FALSE)</f>
        <v>Otros pasivos</v>
      </c>
      <c r="B51" s="44">
        <f aca="true" t="shared" si="8" ref="B51:I51">+B45-B46-B47-B48-B49-B50-B53-B52</f>
        <v>87417.90448341999</v>
      </c>
      <c r="C51" s="44">
        <f t="shared" si="8"/>
        <v>5871.239806230009</v>
      </c>
      <c r="D51" s="44">
        <f t="shared" si="8"/>
        <v>6101.589289949992</v>
      </c>
      <c r="E51" s="45">
        <f t="shared" si="8"/>
        <v>6932.245405690006</v>
      </c>
      <c r="F51" s="44">
        <f t="shared" si="8"/>
        <v>6929.690586259992</v>
      </c>
      <c r="G51" s="44">
        <f t="shared" si="8"/>
        <v>5014.571567630002</v>
      </c>
      <c r="H51" s="44">
        <f t="shared" si="8"/>
        <v>4546.1762586800105</v>
      </c>
      <c r="I51" s="44">
        <f t="shared" si="8"/>
        <v>4012.285814040013</v>
      </c>
    </row>
    <row r="52" spans="1:9" ht="15">
      <c r="A52" s="43" t="str">
        <f>HLOOKUP(INDICE!$F$2,Nombres!$C$3:$D$636,282,FALSE)</f>
        <v>Dotación de capital regulatorio</v>
      </c>
      <c r="B52" s="44">
        <f>-España!B47-Mexico!B45-Turquia!B45-AdS!B45-'Resto de Negocios'!B45</f>
        <v>-33751.051601600004</v>
      </c>
      <c r="C52" s="44">
        <f>-España!C47-Mexico!C45-Turquia!C45-AdS!C45-'Resto de Negocios'!C45</f>
        <v>-34408.42119170001</v>
      </c>
      <c r="D52" s="44">
        <f>-España!D47-Mexico!D45-Turquia!D45-AdS!D45-'Resto de Negocios'!D45</f>
        <v>-35466.03845661</v>
      </c>
      <c r="E52" s="45">
        <f>-España!E47-Mexico!E45-Turquia!E45-AdS!E45-'Resto de Negocios'!E45</f>
        <v>-35256.52048911</v>
      </c>
      <c r="F52" s="44">
        <f>-España!F47-Mexico!F45-Turquia!F45-AdS!F45-'Resto de Negocios'!F45</f>
        <v>-37900.644049639996</v>
      </c>
      <c r="G52" s="44">
        <f>-España!G47-Mexico!G45-Turquia!G45-AdS!G45-'Resto de Negocios'!G45</f>
        <v>-40379.05744986</v>
      </c>
      <c r="H52" s="44">
        <f>-España!H47-Mexico!H45-Turquia!H45-AdS!H45-'Resto de Negocios'!H45</f>
        <v>-40769.032487309996</v>
      </c>
      <c r="I52" s="44">
        <f>-España!I47-Mexico!I45-Turquia!I45-AdS!I45-'Resto de Negocios'!I45</f>
        <v>-39886.60123752</v>
      </c>
    </row>
    <row r="53" spans="1:9" ht="15">
      <c r="A53" s="87" t="str">
        <f>HLOOKUP(INDICE!$F$2,Nombres!$C$3:$D$636,150,FALSE)</f>
        <v>Patrimonio neto</v>
      </c>
      <c r="B53" s="44">
        <v>50711.292001</v>
      </c>
      <c r="C53" s="44">
        <v>49944.16900401001</v>
      </c>
      <c r="D53" s="44">
        <v>50566.92299298999</v>
      </c>
      <c r="E53" s="45">
        <v>48760.11799594999</v>
      </c>
      <c r="F53" s="44">
        <v>48625.20156941</v>
      </c>
      <c r="G53" s="44">
        <v>48792.95756727</v>
      </c>
      <c r="H53" s="44">
        <v>49896.588581919976</v>
      </c>
      <c r="I53" s="44">
        <v>50614.51957719998</v>
      </c>
    </row>
    <row r="54" spans="1:9" ht="15">
      <c r="A54" s="43"/>
      <c r="B54" s="58"/>
      <c r="C54" s="58"/>
      <c r="D54" s="58"/>
      <c r="E54" s="58"/>
      <c r="F54" s="58"/>
      <c r="G54" s="58"/>
      <c r="H54" s="58"/>
      <c r="I54" s="58"/>
    </row>
    <row r="55" spans="1:9" ht="15">
      <c r="A55" s="43"/>
      <c r="B55" s="58"/>
      <c r="C55" s="58"/>
      <c r="D55" s="58"/>
      <c r="E55" s="58"/>
      <c r="F55" s="58"/>
      <c r="G55" s="58"/>
      <c r="H55" s="58"/>
      <c r="I55" s="58"/>
    </row>
    <row r="56" spans="1:9" ht="15">
      <c r="A56" s="43"/>
      <c r="B56" s="58"/>
      <c r="C56" s="58"/>
      <c r="D56" s="58"/>
      <c r="E56" s="58"/>
      <c r="F56" s="44"/>
      <c r="G56" s="44"/>
      <c r="H56" s="44"/>
      <c r="I56" s="44"/>
    </row>
    <row r="57" spans="1:9" ht="15">
      <c r="A57" s="43"/>
      <c r="B57" s="30"/>
      <c r="C57" s="297"/>
      <c r="D57" s="30"/>
      <c r="E57" s="30"/>
      <c r="F57" s="69"/>
      <c r="G57" s="44"/>
      <c r="H57" s="44"/>
      <c r="I57" s="44"/>
    </row>
    <row r="58" spans="1:9" ht="15.75">
      <c r="A58" s="43"/>
      <c r="B58" s="30"/>
      <c r="C58" s="53"/>
      <c r="D58" s="53"/>
      <c r="E58" s="53"/>
      <c r="F58" s="53"/>
      <c r="G58" s="53"/>
      <c r="H58" s="53"/>
      <c r="I58" s="53"/>
    </row>
    <row r="59" spans="1:9" ht="15">
      <c r="A59" s="43"/>
      <c r="B59" s="44"/>
      <c r="C59" s="44"/>
      <c r="D59" s="44"/>
      <c r="E59" s="44"/>
      <c r="F59" s="44"/>
      <c r="G59" s="44"/>
      <c r="H59" s="44"/>
      <c r="I59" s="44"/>
    </row>
    <row r="60" spans="1:9" ht="15">
      <c r="A60" s="41"/>
      <c r="B60" s="44"/>
      <c r="C60" s="44"/>
      <c r="D60" s="44"/>
      <c r="E60" s="44"/>
      <c r="F60" s="44"/>
      <c r="G60" s="44"/>
      <c r="H60" s="44"/>
      <c r="I60" s="44"/>
    </row>
    <row r="61" spans="1:9" ht="15">
      <c r="A61" s="43"/>
      <c r="B61" s="44"/>
      <c r="C61" s="44"/>
      <c r="D61" s="44"/>
      <c r="E61" s="44"/>
      <c r="F61" s="44"/>
      <c r="G61" s="44"/>
      <c r="H61" s="44"/>
      <c r="I61" s="44"/>
    </row>
    <row r="62" spans="1:9" ht="15">
      <c r="A62" s="43"/>
      <c r="B62" s="44"/>
      <c r="D62" s="44"/>
      <c r="E62" s="44"/>
      <c r="F62" s="44"/>
      <c r="G62" s="44"/>
      <c r="H62" s="44"/>
      <c r="I62" s="44"/>
    </row>
    <row r="63" spans="1:9" ht="15">
      <c r="A63" s="43"/>
      <c r="B63" s="44"/>
      <c r="D63" s="44"/>
      <c r="E63" s="44"/>
      <c r="F63" s="44"/>
      <c r="G63" s="44"/>
      <c r="H63" s="44"/>
      <c r="I63" s="44"/>
    </row>
    <row r="64" spans="1:9" ht="15">
      <c r="A64" s="62"/>
      <c r="B64" s="58"/>
      <c r="D64" s="58"/>
      <c r="E64" s="58"/>
      <c r="F64" s="44"/>
      <c r="G64" s="44"/>
      <c r="H64" s="44"/>
      <c r="I64" s="44"/>
    </row>
    <row r="65" spans="1:9" ht="15">
      <c r="A65" s="62"/>
      <c r="B65" s="58"/>
      <c r="D65" s="30"/>
      <c r="E65" s="30"/>
      <c r="F65" s="69"/>
      <c r="G65" s="69"/>
      <c r="H65" s="69"/>
      <c r="I65" s="69"/>
    </row>
    <row r="66" spans="1:9" ht="15">
      <c r="A66" s="62"/>
      <c r="B66" s="58"/>
      <c r="D66" s="30"/>
      <c r="E66" s="30"/>
      <c r="F66" s="69"/>
      <c r="G66" s="69"/>
      <c r="H66" s="69"/>
      <c r="I66" s="69"/>
    </row>
    <row r="67" spans="2:9" ht="15">
      <c r="B67" s="54"/>
      <c r="C67" s="54"/>
      <c r="D67" s="54"/>
      <c r="E67" s="73"/>
      <c r="F67" s="298"/>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2:9" ht="15">
      <c r="B71" s="54"/>
      <c r="F71" s="81"/>
      <c r="G71" s="81"/>
      <c r="H71" s="81"/>
      <c r="I71" s="81"/>
    </row>
    <row r="72" spans="2:9" ht="15">
      <c r="B72" s="54"/>
      <c r="F72" s="81"/>
      <c r="G72" s="81"/>
      <c r="H72" s="81"/>
      <c r="I72" s="81"/>
    </row>
    <row r="73" spans="2:9" ht="15">
      <c r="B73" s="54"/>
      <c r="F73" s="81"/>
      <c r="G73" s="81"/>
      <c r="H73" s="81"/>
      <c r="I73" s="81"/>
    </row>
    <row r="74" spans="2:9" ht="15">
      <c r="B74" s="54"/>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09" spans="6:9" ht="15">
      <c r="F109" s="81"/>
      <c r="G109" s="81"/>
      <c r="H109" s="81"/>
      <c r="I109" s="81"/>
    </row>
    <row r="110" spans="6:9" ht="15">
      <c r="F110" s="81"/>
      <c r="G110" s="81"/>
      <c r="H110" s="81"/>
      <c r="I110" s="81"/>
    </row>
    <row r="111" spans="6:9" ht="15">
      <c r="F111" s="81"/>
      <c r="G111" s="81"/>
      <c r="H111" s="81"/>
      <c r="I111" s="81"/>
    </row>
    <row r="112" spans="6:9" ht="15">
      <c r="F112" s="81"/>
      <c r="G112" s="81"/>
      <c r="H112" s="81"/>
      <c r="I112"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67" spans="6:9" ht="15">
      <c r="F167" s="81"/>
      <c r="G167" s="81"/>
      <c r="H167" s="81"/>
      <c r="I167" s="81"/>
    </row>
  </sheetData>
  <sheetProtection/>
  <mergeCells count="4">
    <mergeCell ref="B6:E6"/>
    <mergeCell ref="F6:I6"/>
    <mergeCell ref="A31:I31"/>
    <mergeCell ref="A32:I32"/>
  </mergeCells>
  <conditionalFormatting sqref="B33:I33">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4" width="11.421875" style="31" customWidth="1"/>
    <col min="5"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299" t="str">
        <f>HLOOKUP(INDICE!$F$2,Nombres!$C$3:$D$636,281,FALSE)</f>
        <v>(*) No incluye el negocio de CIB vendido a PNC.</v>
      </c>
      <c r="B2" s="299"/>
      <c r="C2" s="299"/>
      <c r="D2" s="299"/>
      <c r="E2" s="299"/>
      <c r="F2" s="299"/>
      <c r="G2" s="299"/>
      <c r="H2" s="299"/>
      <c r="I2" s="299"/>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381.30943282</v>
      </c>
      <c r="C8" s="41">
        <v>370.53462382999993</v>
      </c>
      <c r="D8" s="41">
        <v>403.90839172000005</v>
      </c>
      <c r="E8" s="42">
        <v>419.9916559100001</v>
      </c>
      <c r="F8" s="50">
        <v>462.85520399999996</v>
      </c>
      <c r="G8" s="50">
        <v>482.36041845</v>
      </c>
      <c r="H8" s="50">
        <v>525.9752584099999</v>
      </c>
      <c r="I8" s="50">
        <v>480.67611453000006</v>
      </c>
    </row>
    <row r="9" spans="1:9" ht="15">
      <c r="A9" s="43" t="str">
        <f>HLOOKUP(INDICE!$F$2,Nombres!$C$3:$D$636,34,FALSE)</f>
        <v>Comisiones netas</v>
      </c>
      <c r="B9" s="44">
        <v>192.20489363000002</v>
      </c>
      <c r="C9" s="44">
        <v>194.29421501000002</v>
      </c>
      <c r="D9" s="44">
        <v>196.41632854000005</v>
      </c>
      <c r="E9" s="45">
        <v>210.80869652</v>
      </c>
      <c r="F9" s="44">
        <v>197.82502889</v>
      </c>
      <c r="G9" s="44">
        <v>236.5641594</v>
      </c>
      <c r="H9" s="44">
        <v>244.78966080000004</v>
      </c>
      <c r="I9" s="44">
        <v>237.58333915</v>
      </c>
    </row>
    <row r="10" spans="1:9" ht="15">
      <c r="A10" s="43" t="str">
        <f>HLOOKUP(INDICE!$F$2,Nombres!$C$3:$D$636,35,FALSE)</f>
        <v>Resultados de operaciones financieras</v>
      </c>
      <c r="B10" s="44">
        <v>272.72820229999996</v>
      </c>
      <c r="C10" s="44">
        <v>227.23399016999997</v>
      </c>
      <c r="D10" s="44">
        <v>135.55511246000003</v>
      </c>
      <c r="E10" s="45">
        <v>269.87177841000005</v>
      </c>
      <c r="F10" s="44">
        <v>359.73806740000003</v>
      </c>
      <c r="G10" s="44">
        <v>293.77012088</v>
      </c>
      <c r="H10" s="44">
        <v>293.15943139</v>
      </c>
      <c r="I10" s="44">
        <v>235.56214272000003</v>
      </c>
    </row>
    <row r="11" spans="1:9" ht="15">
      <c r="A11" s="43" t="str">
        <f>HLOOKUP(INDICE!$F$2,Nombres!$C$3:$D$636,36,FALSE)</f>
        <v>Otros ingresos y cargas de explotación</v>
      </c>
      <c r="B11" s="44">
        <v>-10.85766648</v>
      </c>
      <c r="C11" s="44">
        <v>-6.87800135</v>
      </c>
      <c r="D11" s="44">
        <v>-10.40183264</v>
      </c>
      <c r="E11" s="45">
        <v>-11.782524420000001</v>
      </c>
      <c r="F11" s="44">
        <v>-7.927588610000001</v>
      </c>
      <c r="G11" s="44">
        <v>-7.6074272</v>
      </c>
      <c r="H11" s="44">
        <v>-14.136491889999995</v>
      </c>
      <c r="I11" s="44">
        <v>-13.010762160000004</v>
      </c>
    </row>
    <row r="12" spans="1:9" ht="15">
      <c r="A12" s="41" t="str">
        <f>HLOOKUP(INDICE!$F$2,Nombres!$C$3:$D$636,37,FALSE)</f>
        <v>Margen bruto</v>
      </c>
      <c r="B12" s="41">
        <f>+SUM(B8:B11)</f>
        <v>835.38486227</v>
      </c>
      <c r="C12" s="41">
        <f aca="true" t="shared" si="0" ref="C12:I12">+SUM(C8:C11)</f>
        <v>785.1848276599999</v>
      </c>
      <c r="D12" s="41">
        <f t="shared" si="0"/>
        <v>725.4780000800001</v>
      </c>
      <c r="E12" s="42">
        <f t="shared" si="0"/>
        <v>888.8896064200002</v>
      </c>
      <c r="F12" s="50">
        <f t="shared" si="0"/>
        <v>1012.4907116799999</v>
      </c>
      <c r="G12" s="50">
        <f t="shared" si="0"/>
        <v>1005.0872715300001</v>
      </c>
      <c r="H12" s="50">
        <f t="shared" si="0"/>
        <v>1049.7878587100001</v>
      </c>
      <c r="I12" s="50">
        <f t="shared" si="0"/>
        <v>940.8108342400001</v>
      </c>
    </row>
    <row r="13" spans="1:9" ht="15">
      <c r="A13" s="43" t="str">
        <f>HLOOKUP(INDICE!$F$2,Nombres!$C$3:$D$636,38,FALSE)</f>
        <v>Gastos de explotación</v>
      </c>
      <c r="B13" s="44">
        <v>-234.50765034</v>
      </c>
      <c r="C13" s="44">
        <v>-237.98023368</v>
      </c>
      <c r="D13" s="44">
        <v>-238.12408507000004</v>
      </c>
      <c r="E13" s="45">
        <v>-288.07963643</v>
      </c>
      <c r="F13" s="44">
        <v>-258.38360564</v>
      </c>
      <c r="G13" s="44">
        <v>-266.80932994000005</v>
      </c>
      <c r="H13" s="44">
        <v>-297.73674761</v>
      </c>
      <c r="I13" s="44">
        <v>-302.54249077</v>
      </c>
    </row>
    <row r="14" spans="1:9" ht="15">
      <c r="A14" s="43" t="str">
        <f>HLOOKUP(INDICE!$F$2,Nombres!$C$3:$D$636,39,FALSE)</f>
        <v>  Gastos de administración</v>
      </c>
      <c r="B14" s="44">
        <v>-207.50125348</v>
      </c>
      <c r="C14" s="44">
        <v>-210.90075214</v>
      </c>
      <c r="D14" s="44">
        <v>-210.81253869000005</v>
      </c>
      <c r="E14" s="45">
        <v>-261.98104011</v>
      </c>
      <c r="F14" s="44">
        <v>-232.84397177000002</v>
      </c>
      <c r="G14" s="44">
        <v>-240.11475741</v>
      </c>
      <c r="H14" s="44">
        <v>-270.47586025000004</v>
      </c>
      <c r="I14" s="44">
        <v>-277.03221310000004</v>
      </c>
    </row>
    <row r="15" spans="1:9" ht="15">
      <c r="A15" s="46" t="str">
        <f>HLOOKUP(INDICE!$F$2,Nombres!$C$3:$D$636,40,FALSE)</f>
        <v>  Gastos de personal</v>
      </c>
      <c r="B15" s="44">
        <v>-106.11608858</v>
      </c>
      <c r="C15" s="44">
        <v>-106.18785743000001</v>
      </c>
      <c r="D15" s="44">
        <v>-111.42252795000002</v>
      </c>
      <c r="E15" s="45">
        <v>-150.41261318</v>
      </c>
      <c r="F15" s="44">
        <v>-118.92000071</v>
      </c>
      <c r="G15" s="44">
        <v>-117.56538282999999</v>
      </c>
      <c r="H15" s="44">
        <v>-139.12607233</v>
      </c>
      <c r="I15" s="44">
        <v>-159.53167740000004</v>
      </c>
    </row>
    <row r="16" spans="1:9" ht="15">
      <c r="A16" s="46" t="str">
        <f>HLOOKUP(INDICE!$F$2,Nombres!$C$3:$D$636,41,FALSE)</f>
        <v>  Otros gastos de administración</v>
      </c>
      <c r="B16" s="44">
        <v>-101.38516489999998</v>
      </c>
      <c r="C16" s="44">
        <v>-104.71289471</v>
      </c>
      <c r="D16" s="44">
        <v>-99.39001074000004</v>
      </c>
      <c r="E16" s="45">
        <v>-111.56842692999999</v>
      </c>
      <c r="F16" s="44">
        <v>-113.92397106000001</v>
      </c>
      <c r="G16" s="44">
        <v>-122.54937458000003</v>
      </c>
      <c r="H16" s="44">
        <v>-131.34978792</v>
      </c>
      <c r="I16" s="44">
        <v>-117.50053570000001</v>
      </c>
    </row>
    <row r="17" spans="1:9" ht="15">
      <c r="A17" s="43" t="str">
        <f>HLOOKUP(INDICE!$F$2,Nombres!$C$3:$D$636,42,FALSE)</f>
        <v>  Amortización</v>
      </c>
      <c r="B17" s="44">
        <v>-27.006396860000002</v>
      </c>
      <c r="C17" s="44">
        <v>-27.079481539999996</v>
      </c>
      <c r="D17" s="44">
        <v>-27.31154638</v>
      </c>
      <c r="E17" s="45">
        <v>-26.098596319999995</v>
      </c>
      <c r="F17" s="44">
        <v>-25.53963387</v>
      </c>
      <c r="G17" s="44">
        <v>-26.694572530000006</v>
      </c>
      <c r="H17" s="44">
        <v>-27.260887359999995</v>
      </c>
      <c r="I17" s="44">
        <v>-25.510277669999997</v>
      </c>
    </row>
    <row r="18" spans="1:9" ht="15">
      <c r="A18" s="41" t="str">
        <f>HLOOKUP(INDICE!$F$2,Nombres!$C$3:$D$636,43,FALSE)</f>
        <v>Margen neto</v>
      </c>
      <c r="B18" s="41">
        <f>+B12+B13</f>
        <v>600.8772119299999</v>
      </c>
      <c r="C18" s="41">
        <f aca="true" t="shared" si="1" ref="C18:I18">+C12+C13</f>
        <v>547.2045939799999</v>
      </c>
      <c r="D18" s="41">
        <f t="shared" si="1"/>
        <v>487.3539150100001</v>
      </c>
      <c r="E18" s="42">
        <f t="shared" si="1"/>
        <v>600.8099699900001</v>
      </c>
      <c r="F18" s="50">
        <f t="shared" si="1"/>
        <v>754.10710604</v>
      </c>
      <c r="G18" s="50">
        <f t="shared" si="1"/>
        <v>738.27794159</v>
      </c>
      <c r="H18" s="50">
        <f t="shared" si="1"/>
        <v>752.0511111000001</v>
      </c>
      <c r="I18" s="50">
        <f t="shared" si="1"/>
        <v>638.2683434700001</v>
      </c>
    </row>
    <row r="19" spans="1:9" ht="15">
      <c r="A19" s="43" t="str">
        <f>HLOOKUP(INDICE!$F$2,Nombres!$C$3:$D$636,44,FALSE)</f>
        <v>Deterioro de activos financieros no valorados a valor razonable con cambios en resultados</v>
      </c>
      <c r="B19" s="44">
        <v>-42.86934394000001</v>
      </c>
      <c r="C19" s="44">
        <v>-10.941993759999987</v>
      </c>
      <c r="D19" s="44">
        <v>40.84088840999997</v>
      </c>
      <c r="E19" s="45">
        <v>-55.69445961999998</v>
      </c>
      <c r="F19" s="44">
        <v>-20.488427249999994</v>
      </c>
      <c r="G19" s="44">
        <v>25.198967769999996</v>
      </c>
      <c r="H19" s="44">
        <v>-70.10668663000001</v>
      </c>
      <c r="I19" s="44">
        <v>-38.28453413000001</v>
      </c>
    </row>
    <row r="20" spans="1:9" ht="15">
      <c r="A20" s="43" t="str">
        <f>HLOOKUP(INDICE!$F$2,Nombres!$C$3:$D$636,45,FALSE)</f>
        <v>Provisiones o reversión de provisiones y otros resultados</v>
      </c>
      <c r="B20" s="44">
        <v>-22.131654360000002</v>
      </c>
      <c r="C20" s="44">
        <v>5.6919044700000025</v>
      </c>
      <c r="D20" s="44">
        <v>16.4108476</v>
      </c>
      <c r="E20" s="45">
        <v>-11.680644600000004</v>
      </c>
      <c r="F20" s="44">
        <v>18.65117579</v>
      </c>
      <c r="G20" s="44">
        <v>-9.44813636</v>
      </c>
      <c r="H20" s="44">
        <v>0.05253734999999948</v>
      </c>
      <c r="I20" s="44">
        <v>-21.06648912</v>
      </c>
    </row>
    <row r="21" spans="1:9" ht="15">
      <c r="A21" s="41" t="str">
        <f>HLOOKUP(INDICE!$F$2,Nombres!$C$3:$D$636,46,FALSE)</f>
        <v>Resultado antes de impuestos</v>
      </c>
      <c r="B21" s="41">
        <f>+B18+B19+B20</f>
        <v>535.8762136299999</v>
      </c>
      <c r="C21" s="41">
        <f aca="true" t="shared" si="2" ref="C21:I21">+C18+C19+C20</f>
        <v>541.95450469</v>
      </c>
      <c r="D21" s="41">
        <f t="shared" si="2"/>
        <v>544.6056510200001</v>
      </c>
      <c r="E21" s="42">
        <f t="shared" si="2"/>
        <v>533.4348657700001</v>
      </c>
      <c r="F21" s="50">
        <f t="shared" si="2"/>
        <v>752.26985458</v>
      </c>
      <c r="G21" s="50">
        <f t="shared" si="2"/>
        <v>754.0287729999999</v>
      </c>
      <c r="H21" s="50">
        <f t="shared" si="2"/>
        <v>681.99696182</v>
      </c>
      <c r="I21" s="50">
        <f t="shared" si="2"/>
        <v>578.9173202200001</v>
      </c>
    </row>
    <row r="22" spans="1:9" ht="15">
      <c r="A22" s="43" t="str">
        <f>HLOOKUP(INDICE!$F$2,Nombres!$C$3:$D$636,47,FALSE)</f>
        <v>Impuesto sobre beneficios</v>
      </c>
      <c r="B22" s="44">
        <v>-140.51039845000003</v>
      </c>
      <c r="C22" s="44">
        <v>-160.45496279000002</v>
      </c>
      <c r="D22" s="44">
        <v>-153.29763511</v>
      </c>
      <c r="E22" s="45">
        <v>-135.01085758</v>
      </c>
      <c r="F22" s="44">
        <v>-212.27958854000005</v>
      </c>
      <c r="G22" s="44">
        <v>-211.47903029999998</v>
      </c>
      <c r="H22" s="44">
        <v>-197.56758806</v>
      </c>
      <c r="I22" s="44">
        <v>-157.66535276000002</v>
      </c>
    </row>
    <row r="23" spans="1:9" ht="15">
      <c r="A23" s="41" t="str">
        <f>HLOOKUP(INDICE!$F$2,Nombres!$C$3:$D$636,48,FALSE)</f>
        <v>Resultado del ejercicio</v>
      </c>
      <c r="B23" s="41">
        <f>+B21+B22</f>
        <v>395.3658151799999</v>
      </c>
      <c r="C23" s="41">
        <f aca="true" t="shared" si="3" ref="C23:I23">+C21+C22</f>
        <v>381.4995419</v>
      </c>
      <c r="D23" s="41">
        <f t="shared" si="3"/>
        <v>391.3080159100001</v>
      </c>
      <c r="E23" s="42">
        <f t="shared" si="3"/>
        <v>398.4240081900001</v>
      </c>
      <c r="F23" s="50">
        <f t="shared" si="3"/>
        <v>539.9902660399999</v>
      </c>
      <c r="G23" s="50">
        <f t="shared" si="3"/>
        <v>542.5497426999999</v>
      </c>
      <c r="H23" s="50">
        <f t="shared" si="3"/>
        <v>484.42937376000003</v>
      </c>
      <c r="I23" s="50">
        <f t="shared" si="3"/>
        <v>421.25196746000006</v>
      </c>
    </row>
    <row r="24" spans="1:9" ht="15">
      <c r="A24" s="43" t="str">
        <f>HLOOKUP(INDICE!$F$2,Nombres!$C$3:$D$636,49,FALSE)</f>
        <v>Minoritarios</v>
      </c>
      <c r="B24" s="44">
        <v>-76.23864476</v>
      </c>
      <c r="C24" s="44">
        <v>-66.44225313</v>
      </c>
      <c r="D24" s="44">
        <v>-77.1920655</v>
      </c>
      <c r="E24" s="45">
        <v>-106.67073974000002</v>
      </c>
      <c r="F24" s="44">
        <v>-99.81530437999999</v>
      </c>
      <c r="G24" s="44">
        <v>-78.74361823999999</v>
      </c>
      <c r="H24" s="44">
        <v>-35.02397531</v>
      </c>
      <c r="I24" s="44">
        <v>-39.021001530000014</v>
      </c>
    </row>
    <row r="25" spans="1:9" ht="15">
      <c r="A25" s="47" t="str">
        <f>HLOOKUP(INDICE!$F$2,Nombres!$C$3:$D$636,50,FALSE)</f>
        <v>Resultado atribuido</v>
      </c>
      <c r="B25" s="47">
        <f>+B23+B24</f>
        <v>319.1271704199999</v>
      </c>
      <c r="C25" s="47">
        <f aca="true" t="shared" si="4" ref="C25:I25">+C23+C24</f>
        <v>315.05728877</v>
      </c>
      <c r="D25" s="47">
        <f t="shared" si="4"/>
        <v>314.1159504100001</v>
      </c>
      <c r="E25" s="47">
        <f t="shared" si="4"/>
        <v>291.75326845000006</v>
      </c>
      <c r="F25" s="51">
        <f t="shared" si="4"/>
        <v>440.17496165999995</v>
      </c>
      <c r="G25" s="51">
        <f t="shared" si="4"/>
        <v>463.8061244599999</v>
      </c>
      <c r="H25" s="51">
        <f t="shared" si="4"/>
        <v>449.40539845</v>
      </c>
      <c r="I25" s="51">
        <f t="shared" si="4"/>
        <v>382.23096593</v>
      </c>
    </row>
    <row r="26" spans="1:9" ht="15">
      <c r="A26" s="278"/>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3" ht="15">
      <c r="A31" s="43" t="str">
        <f>HLOOKUP(INDICE!$F$2,Nombres!$C$3:$D$636,52,FALSE)</f>
        <v>Efectivo, saldos en efectivo en bancos centrales y otros depósitos a la vista</v>
      </c>
      <c r="B31" s="44">
        <v>4756.907981450004</v>
      </c>
      <c r="C31" s="44">
        <v>4748.889295589999</v>
      </c>
      <c r="D31" s="44">
        <v>5118.1363494299985</v>
      </c>
      <c r="E31" s="45">
        <v>5125.256835370001</v>
      </c>
      <c r="F31" s="44">
        <v>6333.955833989999</v>
      </c>
      <c r="G31" s="44">
        <v>8194.673499019998</v>
      </c>
      <c r="H31" s="44">
        <v>7133.68711934</v>
      </c>
      <c r="I31" s="44">
        <v>5524.28790709</v>
      </c>
      <c r="L31" s="54"/>
      <c r="M31" s="54"/>
    </row>
    <row r="32" spans="1:13" ht="15">
      <c r="A32" s="43" t="str">
        <f>HLOOKUP(INDICE!$F$2,Nombres!$C$3:$D$636,53,FALSE)</f>
        <v>Activos financieros a valor razonable</v>
      </c>
      <c r="B32" s="58">
        <v>102467.68854402</v>
      </c>
      <c r="C32" s="58">
        <v>107855.91808451003</v>
      </c>
      <c r="D32" s="58">
        <v>111931.94124331002</v>
      </c>
      <c r="E32" s="64">
        <v>131710.73868866</v>
      </c>
      <c r="F32" s="44">
        <v>121981.77695218001</v>
      </c>
      <c r="G32" s="44">
        <v>127392.39282094</v>
      </c>
      <c r="H32" s="44">
        <v>124527.60585172998</v>
      </c>
      <c r="I32" s="44">
        <v>117958.38155486001</v>
      </c>
      <c r="L32" s="54"/>
      <c r="M32" s="54"/>
    </row>
    <row r="33" spans="1:13" ht="15">
      <c r="A33" s="43" t="str">
        <f>HLOOKUP(INDICE!$F$2,Nombres!$C$3:$D$636,54,FALSE)</f>
        <v>Activos financieros a coste amortizado</v>
      </c>
      <c r="B33" s="44">
        <v>68969.52906472</v>
      </c>
      <c r="C33" s="44">
        <v>68486.4781597</v>
      </c>
      <c r="D33" s="44">
        <v>68979.34209984001</v>
      </c>
      <c r="E33" s="45">
        <v>72363.16147175</v>
      </c>
      <c r="F33" s="44">
        <v>80210.69467848</v>
      </c>
      <c r="G33" s="44">
        <v>84299.83718864</v>
      </c>
      <c r="H33" s="44">
        <v>91927.44914708</v>
      </c>
      <c r="I33" s="44">
        <v>89439.80892107</v>
      </c>
      <c r="L33" s="54"/>
      <c r="M33" s="54"/>
    </row>
    <row r="34" spans="1:13" ht="15">
      <c r="A34" s="43" t="str">
        <f>HLOOKUP(INDICE!$F$2,Nombres!$C$3:$D$636,55,FALSE)</f>
        <v>    de los que préstamos y anticipos a la clientela</v>
      </c>
      <c r="B34" s="44">
        <v>58026.63823676</v>
      </c>
      <c r="C34" s="44">
        <v>57870.13750652</v>
      </c>
      <c r="D34" s="44">
        <v>58400.68174325</v>
      </c>
      <c r="E34" s="45">
        <v>62042.499257760006</v>
      </c>
      <c r="F34" s="44">
        <v>70184.88136120001</v>
      </c>
      <c r="G34" s="44">
        <v>72966.28573626</v>
      </c>
      <c r="H34" s="44">
        <v>78837.01051203</v>
      </c>
      <c r="I34" s="44">
        <v>77208.18119451999</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45.1876791</v>
      </c>
      <c r="C36" s="44">
        <v>42.16608227</v>
      </c>
      <c r="D36" s="44">
        <v>39.262886699999996</v>
      </c>
      <c r="E36" s="45">
        <v>42.97531898</v>
      </c>
      <c r="F36" s="44">
        <v>53.5468733</v>
      </c>
      <c r="G36" s="44">
        <v>51.3168347</v>
      </c>
      <c r="H36" s="44">
        <v>52.2117761</v>
      </c>
      <c r="I36" s="44">
        <v>51.81000716</v>
      </c>
      <c r="L36" s="54"/>
      <c r="M36" s="54"/>
    </row>
    <row r="37" spans="1:13" ht="15">
      <c r="A37" s="43" t="str">
        <f>HLOOKUP(INDICE!$F$2,Nombres!$C$3:$D$636,57,FALSE)</f>
        <v>Otros activos</v>
      </c>
      <c r="B37" s="58">
        <f>+B38-B36-B33-B32-B31-B35</f>
        <v>1221.6207880100374</v>
      </c>
      <c r="C37" s="58">
        <f aca="true" t="shared" si="5" ref="C37:I37">+C38-C36-C33-C32-C31-C35</f>
        <v>2355.04481922999</v>
      </c>
      <c r="D37" s="58">
        <f t="shared" si="5"/>
        <v>1725.9821304300021</v>
      </c>
      <c r="E37" s="64">
        <f t="shared" si="5"/>
        <v>109.90630291001071</v>
      </c>
      <c r="F37" s="58">
        <f t="shared" si="5"/>
        <v>1061.2934738000158</v>
      </c>
      <c r="G37" s="58">
        <f t="shared" si="5"/>
        <v>2000.7447091799913</v>
      </c>
      <c r="H37" s="58">
        <f t="shared" si="5"/>
        <v>1916.458863309992</v>
      </c>
      <c r="I37" s="58">
        <f t="shared" si="5"/>
        <v>862.0035505499927</v>
      </c>
      <c r="L37" s="54"/>
      <c r="M37" s="54"/>
    </row>
    <row r="38" spans="1:13" ht="15">
      <c r="A38" s="47" t="str">
        <f>HLOOKUP(INDICE!$F$2,Nombres!$C$3:$D$636,58,FALSE)</f>
        <v>Total activo / pasivo</v>
      </c>
      <c r="B38" s="47">
        <v>177460.93405730004</v>
      </c>
      <c r="C38" s="47">
        <v>183488.49644130003</v>
      </c>
      <c r="D38" s="47">
        <v>187794.66470971002</v>
      </c>
      <c r="E38" s="70">
        <v>209352.03861767</v>
      </c>
      <c r="F38" s="51">
        <v>209641.26781175</v>
      </c>
      <c r="G38" s="51">
        <v>221938.96505248</v>
      </c>
      <c r="H38" s="51">
        <v>225557.41275756</v>
      </c>
      <c r="I38" s="51">
        <v>213836.29194073</v>
      </c>
      <c r="L38" s="54"/>
      <c r="M38" s="54"/>
    </row>
    <row r="39" spans="1:13" ht="15">
      <c r="A39" s="43" t="str">
        <f>HLOOKUP(INDICE!$F$2,Nombres!$C$3:$D$636,59,FALSE)</f>
        <v>Pasivos financieros mantenidos para negociar y designados a valor razonable con cambios en resultados</v>
      </c>
      <c r="B39" s="58">
        <v>81075.84844107002</v>
      </c>
      <c r="C39" s="58">
        <v>82208.51664821</v>
      </c>
      <c r="D39" s="58">
        <v>83088.08032127</v>
      </c>
      <c r="E39" s="64">
        <v>95283.13941246</v>
      </c>
      <c r="F39" s="44">
        <v>92173.41449375001</v>
      </c>
      <c r="G39" s="44">
        <v>104489.15465049002</v>
      </c>
      <c r="H39" s="44">
        <v>104536.04972563002</v>
      </c>
      <c r="I39" s="44">
        <v>98790.4568289</v>
      </c>
      <c r="L39" s="54"/>
      <c r="M39" s="54"/>
    </row>
    <row r="40" spans="1:13" ht="15">
      <c r="A40" s="43" t="str">
        <f>HLOOKUP(INDICE!$F$2,Nombres!$C$3:$D$636,60,FALSE)</f>
        <v>Depósitos de bancos centrales y entidades de crédito</v>
      </c>
      <c r="B40" s="58">
        <v>14230.343513389998</v>
      </c>
      <c r="C40" s="58">
        <v>14878.94608085</v>
      </c>
      <c r="D40" s="58">
        <v>15307.926067229997</v>
      </c>
      <c r="E40" s="64">
        <v>12883.517656659998</v>
      </c>
      <c r="F40" s="44">
        <v>16254.94732625</v>
      </c>
      <c r="G40" s="44">
        <v>21020.248880389998</v>
      </c>
      <c r="H40" s="44">
        <v>22493.47156409</v>
      </c>
      <c r="I40" s="44">
        <v>20986.56820075</v>
      </c>
      <c r="L40" s="54"/>
      <c r="M40" s="54"/>
    </row>
    <row r="41" spans="1:13" ht="15.75" customHeight="1">
      <c r="A41" s="43" t="str">
        <f>HLOOKUP(INDICE!$F$2,Nombres!$C$3:$D$636,61,FALSE)</f>
        <v>Depósitos de la clientela</v>
      </c>
      <c r="B41" s="58">
        <v>36489.33001814</v>
      </c>
      <c r="C41" s="58">
        <v>37169.56320787</v>
      </c>
      <c r="D41" s="58">
        <v>36686.46877222</v>
      </c>
      <c r="E41" s="64">
        <v>38359.8209804</v>
      </c>
      <c r="F41" s="44">
        <v>38572.392747369995</v>
      </c>
      <c r="G41" s="44">
        <v>40542.38192001</v>
      </c>
      <c r="H41" s="44">
        <v>45078.277311000005</v>
      </c>
      <c r="I41" s="44">
        <v>48179.72645381</v>
      </c>
      <c r="L41" s="54"/>
      <c r="M41" s="54"/>
    </row>
    <row r="42" spans="1:13" ht="15">
      <c r="A42" s="43" t="str">
        <f>HLOOKUP(INDICE!$F$2,Nombres!$C$3:$D$636,62,FALSE)</f>
        <v>Valores representativos de deuda emitidos</v>
      </c>
      <c r="B42" s="44">
        <v>2194.24470509</v>
      </c>
      <c r="C42" s="44">
        <v>2713.23074017</v>
      </c>
      <c r="D42" s="44">
        <v>3132.3048752499994</v>
      </c>
      <c r="E42" s="45">
        <v>5746.02746363</v>
      </c>
      <c r="F42" s="44">
        <v>4278.92715128</v>
      </c>
      <c r="G42" s="44">
        <v>5004.723124300001</v>
      </c>
      <c r="H42" s="44">
        <v>5358.37177386</v>
      </c>
      <c r="I42" s="44">
        <v>5291.61079523</v>
      </c>
      <c r="L42" s="54"/>
      <c r="M42" s="54"/>
    </row>
    <row r="43" spans="1:13" ht="15">
      <c r="A43" s="43" t="str">
        <f>HLOOKUP(INDICE!$F$2,Nombres!$C$3:$D$636,122,FALSE)</f>
        <v>Posiciones inter-áreas pasivo</v>
      </c>
      <c r="B43" s="44">
        <v>33175.89800549745</v>
      </c>
      <c r="C43" s="44">
        <v>33861.31383329441</v>
      </c>
      <c r="D43" s="44">
        <v>37146.19986256198</v>
      </c>
      <c r="E43" s="45">
        <v>44195.53935445562</v>
      </c>
      <c r="F43" s="44">
        <v>45440.4048979904</v>
      </c>
      <c r="G43" s="44">
        <v>35438.32602614719</v>
      </c>
      <c r="H43" s="44">
        <v>31820.953228323197</v>
      </c>
      <c r="I43" s="44">
        <v>25576.17932661638</v>
      </c>
      <c r="L43" s="54"/>
      <c r="M43" s="54"/>
    </row>
    <row r="44" spans="1:13" ht="15">
      <c r="A44" s="43" t="str">
        <f>HLOOKUP(INDICE!$F$2,Nombres!$C$3:$D$636,63,FALSE)</f>
        <v>Otros pasivos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4183.25884781799</v>
      </c>
      <c r="H44" s="44">
        <f t="shared" si="6"/>
        <v>4587.915723348386</v>
      </c>
      <c r="I44" s="44">
        <f t="shared" si="6"/>
        <v>4156.692911313628</v>
      </c>
      <c r="L44" s="54"/>
      <c r="M44" s="54"/>
    </row>
    <row r="45" spans="1:13" ht="15">
      <c r="A45" s="43" t="str">
        <f>HLOOKUP(INDICE!$F$2,Nombres!$C$3:$D$636,282,FALSE)</f>
        <v>Dotación de capital regulatorio</v>
      </c>
      <c r="B45" s="44">
        <v>8729.900630467651</v>
      </c>
      <c r="C45" s="44">
        <v>9850.6512724927</v>
      </c>
      <c r="D45" s="44">
        <v>9913.810938485252</v>
      </c>
      <c r="E45" s="45">
        <v>9983.399604388153</v>
      </c>
      <c r="F45" s="44">
        <v>10306.268856940798</v>
      </c>
      <c r="G45" s="44">
        <v>11260.8716033248</v>
      </c>
      <c r="H45" s="44">
        <v>11682.3734313084</v>
      </c>
      <c r="I45" s="44">
        <v>10855.057424109998</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ustomHeight="1">
      <c r="A51" s="43" t="str">
        <f>HLOOKUP(INDICE!$F$2,Nombres!$C$3:$D$636,66,FALSE)</f>
        <v>Préstamos y anticipos a la clientela bruto (*)</v>
      </c>
      <c r="B51" s="44">
        <v>58932.06356524</v>
      </c>
      <c r="C51" s="44">
        <v>58822.29361016</v>
      </c>
      <c r="D51" s="44">
        <v>59120.4147644</v>
      </c>
      <c r="E51" s="45">
        <v>62896.06160924</v>
      </c>
      <c r="F51" s="44">
        <v>70929.41591351999</v>
      </c>
      <c r="G51" s="44">
        <v>73777.19767849999</v>
      </c>
      <c r="H51" s="44">
        <v>79606.05511175</v>
      </c>
      <c r="I51" s="44">
        <v>77942.33784392002</v>
      </c>
    </row>
    <row r="52" spans="1:9" ht="15">
      <c r="A52" s="43" t="str">
        <f>HLOOKUP(INDICE!$F$2,Nombres!$C$3:$D$636,67,FALSE)</f>
        <v>Depósitos de clientes en gestión (**)</v>
      </c>
      <c r="B52" s="44">
        <v>35881.37108473</v>
      </c>
      <c r="C52" s="44">
        <v>36524.3060845</v>
      </c>
      <c r="D52" s="44">
        <v>36036.59698627</v>
      </c>
      <c r="E52" s="45">
        <v>37445.110905760004</v>
      </c>
      <c r="F52" s="44">
        <v>38010.77453535001</v>
      </c>
      <c r="G52" s="44">
        <v>39976.654460180005</v>
      </c>
      <c r="H52" s="44">
        <v>44417.12598849999</v>
      </c>
      <c r="I52" s="44">
        <v>47270.100984740006</v>
      </c>
    </row>
    <row r="53" spans="1:9" ht="15">
      <c r="A53" s="43" t="str">
        <f>HLOOKUP(INDICE!$F$2,Nombres!$C$3:$D$636,68,FALSE)</f>
        <v>Fondos de inversión y carteras gestionadas</v>
      </c>
      <c r="B53" s="44">
        <v>1062.4762971</v>
      </c>
      <c r="C53" s="44">
        <v>1055.6925817400002</v>
      </c>
      <c r="D53" s="44">
        <v>1122.5360347900003</v>
      </c>
      <c r="E53" s="45">
        <v>1209.5401303499998</v>
      </c>
      <c r="F53" s="44">
        <v>1364.1225290099999</v>
      </c>
      <c r="G53" s="44">
        <v>1268.3651473</v>
      </c>
      <c r="H53" s="44">
        <v>1482.83569009</v>
      </c>
      <c r="I53" s="44">
        <v>1591.3759187399999</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92.72548207999999</v>
      </c>
      <c r="C55" s="44">
        <v>116.31582259</v>
      </c>
      <c r="D55" s="44">
        <v>112.85494168</v>
      </c>
      <c r="E55" s="45">
        <v>104.17368884999999</v>
      </c>
      <c r="F55" s="44">
        <v>135.55139111</v>
      </c>
      <c r="G55" s="44">
        <v>355.16733027</v>
      </c>
      <c r="H55" s="44">
        <v>308.93988207</v>
      </c>
      <c r="I55" s="44">
        <v>158.91382959</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358.96762927620387</v>
      </c>
      <c r="C64" s="41">
        <v>347.41984153750013</v>
      </c>
      <c r="D64" s="41">
        <v>383.16595365570606</v>
      </c>
      <c r="E64" s="42">
        <v>397.21311218151754</v>
      </c>
      <c r="F64" s="50">
        <v>456.01818678194803</v>
      </c>
      <c r="G64" s="50">
        <v>461.4848613818598</v>
      </c>
      <c r="H64" s="50">
        <v>503.6794832349939</v>
      </c>
      <c r="I64" s="50">
        <v>530.6844639911983</v>
      </c>
    </row>
    <row r="65" spans="1:9" ht="15">
      <c r="A65" s="43" t="str">
        <f>HLOOKUP(INDICE!$F$2,Nombres!$C$3:$D$636,34,FALSE)</f>
        <v>Comisiones netas</v>
      </c>
      <c r="B65" s="44">
        <v>177.7084105905308</v>
      </c>
      <c r="C65" s="44">
        <v>184.26918201441117</v>
      </c>
      <c r="D65" s="44">
        <v>193.96917317614646</v>
      </c>
      <c r="E65" s="45">
        <v>208.2833735224009</v>
      </c>
      <c r="F65" s="44">
        <v>196.2278026517057</v>
      </c>
      <c r="G65" s="44">
        <v>231.05600621788602</v>
      </c>
      <c r="H65" s="44">
        <v>236.0127468152441</v>
      </c>
      <c r="I65" s="44">
        <v>253.46563255516412</v>
      </c>
    </row>
    <row r="66" spans="1:9" ht="15">
      <c r="A66" s="43" t="str">
        <f>HLOOKUP(INDICE!$F$2,Nombres!$C$3:$D$636,35,FALSE)</f>
        <v>Resultados de operaciones financieras</v>
      </c>
      <c r="B66" s="44">
        <v>242.03760190640907</v>
      </c>
      <c r="C66" s="44">
        <v>221.82414341542201</v>
      </c>
      <c r="D66" s="44">
        <v>123.87218831701018</v>
      </c>
      <c r="E66" s="45">
        <v>199.81844488478288</v>
      </c>
      <c r="F66" s="44">
        <v>339.51067355924255</v>
      </c>
      <c r="G66" s="44">
        <v>286.1622406846939</v>
      </c>
      <c r="H66" s="44">
        <v>280.2039010416912</v>
      </c>
      <c r="I66" s="44">
        <v>276.35294710437233</v>
      </c>
    </row>
    <row r="67" spans="1:9" ht="15">
      <c r="A67" s="43" t="str">
        <f>HLOOKUP(INDICE!$F$2,Nombres!$C$3:$D$636,36,FALSE)</f>
        <v>Otros ingresos y cargas de explotación</v>
      </c>
      <c r="B67" s="44">
        <v>-10.750355379439767</v>
      </c>
      <c r="C67" s="44">
        <v>-7.9952239397588105</v>
      </c>
      <c r="D67" s="44">
        <v>-10.50807869253262</v>
      </c>
      <c r="E67" s="45">
        <v>-11.706056243873357</v>
      </c>
      <c r="F67" s="44">
        <v>-7.742113229491995</v>
      </c>
      <c r="G67" s="44">
        <v>-7.655258503803109</v>
      </c>
      <c r="H67" s="44">
        <v>-13.706180270821303</v>
      </c>
      <c r="I67" s="44">
        <v>-13.578717855883593</v>
      </c>
    </row>
    <row r="68" spans="1:9" ht="15">
      <c r="A68" s="41" t="str">
        <f>HLOOKUP(INDICE!$F$2,Nombres!$C$3:$D$636,37,FALSE)</f>
        <v>Margen bruto</v>
      </c>
      <c r="B68" s="41">
        <f>+SUM(B64:B67)</f>
        <v>767.963286393704</v>
      </c>
      <c r="C68" s="41">
        <f aca="true" t="shared" si="9" ref="C68:I68">+SUM(C64:C67)</f>
        <v>745.5179430275745</v>
      </c>
      <c r="D68" s="41">
        <f t="shared" si="9"/>
        <v>690.4992364563301</v>
      </c>
      <c r="E68" s="42">
        <f t="shared" si="9"/>
        <v>793.608874344828</v>
      </c>
      <c r="F68" s="50">
        <f t="shared" si="9"/>
        <v>984.0145497634043</v>
      </c>
      <c r="G68" s="50">
        <f t="shared" si="9"/>
        <v>971.0478497806365</v>
      </c>
      <c r="H68" s="50">
        <f t="shared" si="9"/>
        <v>1006.1899508211079</v>
      </c>
      <c r="I68" s="50">
        <f t="shared" si="9"/>
        <v>1046.9243257948513</v>
      </c>
    </row>
    <row r="69" spans="1:9" ht="15">
      <c r="A69" s="43" t="str">
        <f>HLOOKUP(INDICE!$F$2,Nombres!$C$3:$D$636,38,FALSE)</f>
        <v>Gastos de explotación</v>
      </c>
      <c r="B69" s="44">
        <v>-233.19080299902308</v>
      </c>
      <c r="C69" s="44">
        <v>-238.96497932043889</v>
      </c>
      <c r="D69" s="44">
        <v>-233.36880752127593</v>
      </c>
      <c r="E69" s="45">
        <v>-286.807264343844</v>
      </c>
      <c r="F69" s="44">
        <v>-256.9313894428314</v>
      </c>
      <c r="G69" s="44">
        <v>-259.52768289104046</v>
      </c>
      <c r="H69" s="44">
        <v>-287.40888330134266</v>
      </c>
      <c r="I69" s="44">
        <v>-321.6042183247856</v>
      </c>
    </row>
    <row r="70" spans="1:9" ht="15">
      <c r="A70" s="43" t="str">
        <f>HLOOKUP(INDICE!$F$2,Nombres!$C$3:$D$636,39,FALSE)</f>
        <v>  Gastos de administración</v>
      </c>
      <c r="B70" s="44">
        <v>-205.80934913942366</v>
      </c>
      <c r="C70" s="44">
        <v>-211.44271480310033</v>
      </c>
      <c r="D70" s="44">
        <v>-205.74491969074677</v>
      </c>
      <c r="E70" s="45">
        <v>-260.3445673730049</v>
      </c>
      <c r="F70" s="44">
        <v>-231.0981443982934</v>
      </c>
      <c r="G70" s="44">
        <v>-232.8829600214056</v>
      </c>
      <c r="H70" s="44">
        <v>-260.4420188849716</v>
      </c>
      <c r="I70" s="44">
        <v>-296.04367922532936</v>
      </c>
    </row>
    <row r="71" spans="1:9" ht="15">
      <c r="A71" s="46" t="str">
        <f>HLOOKUP(INDICE!$F$2,Nombres!$C$3:$D$636,40,FALSE)</f>
        <v>  Gastos de personal</v>
      </c>
      <c r="B71" s="44">
        <v>-106.32647001737924</v>
      </c>
      <c r="C71" s="44">
        <v>-107.2967622747482</v>
      </c>
      <c r="D71" s="44">
        <v>-110.97113396631505</v>
      </c>
      <c r="E71" s="45">
        <v>-151.87036891855345</v>
      </c>
      <c r="F71" s="44">
        <v>-119.28487217176075</v>
      </c>
      <c r="G71" s="44">
        <v>-115.20725327263946</v>
      </c>
      <c r="H71" s="44">
        <v>-134.39213587529292</v>
      </c>
      <c r="I71" s="44">
        <v>-166.2588719503069</v>
      </c>
    </row>
    <row r="72" spans="1:9" ht="15">
      <c r="A72" s="46" t="str">
        <f>HLOOKUP(INDICE!$F$2,Nombres!$C$3:$D$636,41,FALSE)</f>
        <v>  Otros gastos de administración</v>
      </c>
      <c r="B72" s="44">
        <v>-99.48287912204445</v>
      </c>
      <c r="C72" s="44">
        <v>-104.14595252835213</v>
      </c>
      <c r="D72" s="44">
        <v>-94.77378572443172</v>
      </c>
      <c r="E72" s="45">
        <v>-108.47419845445145</v>
      </c>
      <c r="F72" s="44">
        <v>-111.81327222653269</v>
      </c>
      <c r="G72" s="44">
        <v>-117.67570674876617</v>
      </c>
      <c r="H72" s="44">
        <v>-126.04988300967868</v>
      </c>
      <c r="I72" s="44">
        <v>-129.7848072750225</v>
      </c>
    </row>
    <row r="73" spans="1:9" ht="15">
      <c r="A73" s="43" t="str">
        <f>HLOOKUP(INDICE!$F$2,Nombres!$C$3:$D$636,42,FALSE)</f>
        <v>  Amortización</v>
      </c>
      <c r="B73" s="44">
        <v>-27.381453859599414</v>
      </c>
      <c r="C73" s="44">
        <v>-27.522264517338606</v>
      </c>
      <c r="D73" s="44">
        <v>-27.62388783052917</v>
      </c>
      <c r="E73" s="45">
        <v>-26.462696970839097</v>
      </c>
      <c r="F73" s="44">
        <v>-25.83324504453792</v>
      </c>
      <c r="G73" s="44">
        <v>-26.644722869634805</v>
      </c>
      <c r="H73" s="44">
        <v>-26.96686441637105</v>
      </c>
      <c r="I73" s="44">
        <v>-25.56053909945622</v>
      </c>
    </row>
    <row r="74" spans="1:9" ht="15">
      <c r="A74" s="41" t="str">
        <f>HLOOKUP(INDICE!$F$2,Nombres!$C$3:$D$636,43,FALSE)</f>
        <v>Margen neto</v>
      </c>
      <c r="B74" s="41">
        <f>+B68+B69</f>
        <v>534.772483394681</v>
      </c>
      <c r="C74" s="41">
        <f aca="true" t="shared" si="10" ref="C74:I74">+C68+C69</f>
        <v>506.5529637071356</v>
      </c>
      <c r="D74" s="41">
        <f t="shared" si="10"/>
        <v>457.13042893505417</v>
      </c>
      <c r="E74" s="42">
        <f t="shared" si="10"/>
        <v>506.801610000984</v>
      </c>
      <c r="F74" s="50">
        <f t="shared" si="10"/>
        <v>727.0831603205729</v>
      </c>
      <c r="G74" s="50">
        <f t="shared" si="10"/>
        <v>711.5201668895961</v>
      </c>
      <c r="H74" s="50">
        <f t="shared" si="10"/>
        <v>718.7810675197652</v>
      </c>
      <c r="I74" s="50">
        <f t="shared" si="10"/>
        <v>725.3201074700656</v>
      </c>
    </row>
    <row r="75" spans="1:9" ht="15">
      <c r="A75" s="43" t="str">
        <f>HLOOKUP(INDICE!$F$2,Nombres!$C$3:$D$636,44,FALSE)</f>
        <v>Deterioro de activos financieros no valorados a valor razonable con cambios en resultados</v>
      </c>
      <c r="B75" s="44">
        <v>-29.90749279768602</v>
      </c>
      <c r="C75" s="44">
        <v>0.3048227933594987</v>
      </c>
      <c r="D75" s="44">
        <v>17.55345159440086</v>
      </c>
      <c r="E75" s="45">
        <v>-37.244145139877176</v>
      </c>
      <c r="F75" s="44">
        <v>-21.21621803195901</v>
      </c>
      <c r="G75" s="44">
        <v>20.492938621234128</v>
      </c>
      <c r="H75" s="44">
        <v>-57.67753009657549</v>
      </c>
      <c r="I75" s="44">
        <v>-45.2798707326996</v>
      </c>
    </row>
    <row r="76" spans="1:9" ht="15">
      <c r="A76" s="43" t="str">
        <f>HLOOKUP(INDICE!$F$2,Nombres!$C$3:$D$636,45,FALSE)</f>
        <v>Provisiones o reversión de provisiones y otros resultados</v>
      </c>
      <c r="B76" s="44">
        <v>-23.183022611809772</v>
      </c>
      <c r="C76" s="44">
        <v>7.678606727304716</v>
      </c>
      <c r="D76" s="44">
        <v>15.837653238799625</v>
      </c>
      <c r="E76" s="45">
        <v>-13.302947279530065</v>
      </c>
      <c r="F76" s="44">
        <v>19.031133798913512</v>
      </c>
      <c r="G76" s="44">
        <v>-10.432727519979284</v>
      </c>
      <c r="H76" s="44">
        <v>-0.9504911365746482</v>
      </c>
      <c r="I76" s="44">
        <v>-19.458827482359574</v>
      </c>
    </row>
    <row r="77" spans="1:9" ht="15">
      <c r="A77" s="41" t="str">
        <f>HLOOKUP(INDICE!$F$2,Nombres!$C$3:$D$636,46,FALSE)</f>
        <v>Resultado antes de impuestos</v>
      </c>
      <c r="B77" s="41">
        <f>+B74+B75+B76</f>
        <v>481.6819679851852</v>
      </c>
      <c r="C77" s="41">
        <f aca="true" t="shared" si="11" ref="C77:I77">+C74+C75+C76</f>
        <v>514.5363932277997</v>
      </c>
      <c r="D77" s="41">
        <f t="shared" si="11"/>
        <v>490.5215337682547</v>
      </c>
      <c r="E77" s="42">
        <f t="shared" si="11"/>
        <v>456.25451758157675</v>
      </c>
      <c r="F77" s="50">
        <f t="shared" si="11"/>
        <v>724.8980760875274</v>
      </c>
      <c r="G77" s="50">
        <f t="shared" si="11"/>
        <v>721.5803779908509</v>
      </c>
      <c r="H77" s="50">
        <f t="shared" si="11"/>
        <v>660.153046286615</v>
      </c>
      <c r="I77" s="50">
        <f t="shared" si="11"/>
        <v>660.5814092550065</v>
      </c>
    </row>
    <row r="78" spans="1:9" ht="15">
      <c r="A78" s="43" t="str">
        <f>HLOOKUP(INDICE!$F$2,Nombres!$C$3:$D$636,47,FALSE)</f>
        <v>Impuesto sobre beneficios</v>
      </c>
      <c r="B78" s="44">
        <v>-128.35156137306546</v>
      </c>
      <c r="C78" s="44">
        <v>-152.21554008419236</v>
      </c>
      <c r="D78" s="44">
        <v>-140.09922666001756</v>
      </c>
      <c r="E78" s="45">
        <v>-114.43966672046596</v>
      </c>
      <c r="F78" s="44">
        <v>-204.69585943859812</v>
      </c>
      <c r="G78" s="44">
        <v>-202.2459836814993</v>
      </c>
      <c r="H78" s="44">
        <v>-191.02945686381662</v>
      </c>
      <c r="I78" s="44">
        <v>-181.02025967608603</v>
      </c>
    </row>
    <row r="79" spans="1:9" ht="15">
      <c r="A79" s="41" t="str">
        <f>HLOOKUP(INDICE!$F$2,Nombres!$C$3:$D$636,48,FALSE)</f>
        <v>Resultado del ejercicio</v>
      </c>
      <c r="B79" s="41">
        <f>+B77+B78</f>
        <v>353.33040661211976</v>
      </c>
      <c r="C79" s="41">
        <f aca="true" t="shared" si="12" ref="C79:I79">+C77+C78</f>
        <v>362.3208531436074</v>
      </c>
      <c r="D79" s="41">
        <f t="shared" si="12"/>
        <v>350.42230710823713</v>
      </c>
      <c r="E79" s="42">
        <f t="shared" si="12"/>
        <v>341.8148508611108</v>
      </c>
      <c r="F79" s="50">
        <f t="shared" si="12"/>
        <v>520.2022166489294</v>
      </c>
      <c r="G79" s="50">
        <f t="shared" si="12"/>
        <v>519.3343943093516</v>
      </c>
      <c r="H79" s="50">
        <f t="shared" si="12"/>
        <v>469.1235894227984</v>
      </c>
      <c r="I79" s="50">
        <f t="shared" si="12"/>
        <v>479.5611495789205</v>
      </c>
    </row>
    <row r="80" spans="1:9" ht="15">
      <c r="A80" s="43" t="str">
        <f>HLOOKUP(INDICE!$F$2,Nombres!$C$3:$D$636,49,FALSE)</f>
        <v>Minoritarios</v>
      </c>
      <c r="B80" s="44">
        <v>-50.38662030433599</v>
      </c>
      <c r="C80" s="44">
        <v>-49.7192747130356</v>
      </c>
      <c r="D80" s="44">
        <v>-52.391145710382006</v>
      </c>
      <c r="E80" s="45">
        <v>-75.29198977579856</v>
      </c>
      <c r="F80" s="44">
        <v>-86.34528271390414</v>
      </c>
      <c r="G80" s="44">
        <v>-73.80910362301367</v>
      </c>
      <c r="H80" s="44">
        <v>-36.75814587482998</v>
      </c>
      <c r="I80" s="44">
        <v>-55.691367248252185</v>
      </c>
    </row>
    <row r="81" spans="1:9" ht="15">
      <c r="A81" s="47" t="str">
        <f>HLOOKUP(INDICE!$F$2,Nombres!$C$3:$D$636,50,FALSE)</f>
        <v>Resultado atribuido</v>
      </c>
      <c r="B81" s="47">
        <f>+B79+B80</f>
        <v>302.94378630778374</v>
      </c>
      <c r="C81" s="47">
        <f aca="true" t="shared" si="13" ref="C81:I81">+C79+C80</f>
        <v>312.6015784305718</v>
      </c>
      <c r="D81" s="47">
        <f t="shared" si="13"/>
        <v>298.03116139785516</v>
      </c>
      <c r="E81" s="47">
        <f t="shared" si="13"/>
        <v>266.52286108531223</v>
      </c>
      <c r="F81" s="51">
        <f t="shared" si="13"/>
        <v>433.85693393502527</v>
      </c>
      <c r="G81" s="51">
        <f t="shared" si="13"/>
        <v>445.52529068633794</v>
      </c>
      <c r="H81" s="51">
        <f t="shared" si="13"/>
        <v>432.3654435479684</v>
      </c>
      <c r="I81" s="51">
        <f t="shared" si="13"/>
        <v>423.86978233066833</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5410.347339147444</v>
      </c>
      <c r="C87" s="44">
        <v>5191.26970607219</v>
      </c>
      <c r="D87" s="44">
        <v>5430.051357588714</v>
      </c>
      <c r="E87" s="45">
        <v>5266.448233519488</v>
      </c>
      <c r="F87" s="44">
        <v>6302.673687644154</v>
      </c>
      <c r="G87" s="44">
        <v>7762.6294748831815</v>
      </c>
      <c r="H87" s="44">
        <v>6444.572299391108</v>
      </c>
      <c r="I87" s="44">
        <v>5524.28790709</v>
      </c>
    </row>
    <row r="88" spans="1:9" ht="15">
      <c r="A88" s="43" t="str">
        <f>HLOOKUP(INDICE!$F$2,Nombres!$C$3:$D$636,53,FALSE)</f>
        <v>Activos financieros a valor razonable</v>
      </c>
      <c r="B88" s="58">
        <v>103931.17341986616</v>
      </c>
      <c r="C88" s="58">
        <v>109440.40193418042</v>
      </c>
      <c r="D88" s="58">
        <v>113440.51216655498</v>
      </c>
      <c r="E88" s="64">
        <v>133249.76191548086</v>
      </c>
      <c r="F88" s="44">
        <v>122504.3300330359</v>
      </c>
      <c r="G88" s="44">
        <v>126765.30151321918</v>
      </c>
      <c r="H88" s="44">
        <v>123034.06438923246</v>
      </c>
      <c r="I88" s="44">
        <v>117958.38155486001</v>
      </c>
    </row>
    <row r="89" spans="1:9" ht="15">
      <c r="A89" s="43" t="str">
        <f>HLOOKUP(INDICE!$F$2,Nombres!$C$3:$D$636,54,FALSE)</f>
        <v>Activos financieros a coste amortizado</v>
      </c>
      <c r="B89" s="44">
        <v>66944.11085366161</v>
      </c>
      <c r="C89" s="44">
        <v>66685.84294839489</v>
      </c>
      <c r="D89" s="44">
        <v>67179.26956783596</v>
      </c>
      <c r="E89" s="45">
        <v>72361.4020677573</v>
      </c>
      <c r="F89" s="44">
        <v>79406.90499805778</v>
      </c>
      <c r="G89" s="44">
        <v>82449.6395040503</v>
      </c>
      <c r="H89" s="44">
        <v>88744.52788000063</v>
      </c>
      <c r="I89" s="44">
        <v>89439.80892107</v>
      </c>
    </row>
    <row r="90" spans="1:9" ht="15">
      <c r="A90" s="43" t="str">
        <f>HLOOKUP(INDICE!$F$2,Nombres!$C$3:$D$636,55,FALSE)</f>
        <v>    de los que préstamos y anticipos a la clientela</v>
      </c>
      <c r="B90" s="44">
        <v>55868.28386461015</v>
      </c>
      <c r="C90" s="44">
        <v>55948.20731538409</v>
      </c>
      <c r="D90" s="44">
        <v>56475.23581136336</v>
      </c>
      <c r="E90" s="45">
        <v>62038.69747007663</v>
      </c>
      <c r="F90" s="44">
        <v>69401.76411094602</v>
      </c>
      <c r="G90" s="44">
        <v>71263.34748471528</v>
      </c>
      <c r="H90" s="44">
        <v>75919.02514547603</v>
      </c>
      <c r="I90" s="44">
        <v>77208.18119451999</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45.41448075877622</v>
      </c>
      <c r="C92" s="44">
        <v>42.31360263274119</v>
      </c>
      <c r="D92" s="44">
        <v>39.21112109920195</v>
      </c>
      <c r="E92" s="45">
        <v>43.67371414615522</v>
      </c>
      <c r="F92" s="44">
        <v>53.72886372160407</v>
      </c>
      <c r="G92" s="44">
        <v>50.70040339475749</v>
      </c>
      <c r="H92" s="44">
        <v>50.688234347243174</v>
      </c>
      <c r="I92" s="44">
        <v>51.81000716</v>
      </c>
    </row>
    <row r="93" spans="1:9" ht="15">
      <c r="A93" s="43" t="str">
        <f>HLOOKUP(INDICE!$F$2,Nombres!$C$3:$D$636,57,FALSE)</f>
        <v>Otros activos</v>
      </c>
      <c r="B93" s="58">
        <f>+B94-B92-B89-B88-B87-B91</f>
        <v>1171.9849110038158</v>
      </c>
      <c r="C93" s="58">
        <f aca="true" t="shared" si="15" ref="C93:I93">+C94-C92-C89-C88-C87-C91</f>
        <v>2453.952885227941</v>
      </c>
      <c r="D93" s="58">
        <f t="shared" si="15"/>
        <v>1861.0397658100283</v>
      </c>
      <c r="E93" s="64">
        <f t="shared" si="15"/>
        <v>25.696522672940773</v>
      </c>
      <c r="F93" s="58">
        <f t="shared" si="15"/>
        <v>981.0326591663361</v>
      </c>
      <c r="G93" s="58">
        <f t="shared" si="15"/>
        <v>1896.529662834514</v>
      </c>
      <c r="H93" s="58">
        <f t="shared" si="15"/>
        <v>1850.3261958711773</v>
      </c>
      <c r="I93" s="58">
        <f t="shared" si="15"/>
        <v>862.0035505499927</v>
      </c>
    </row>
    <row r="94" spans="1:9" ht="15">
      <c r="A94" s="47" t="str">
        <f>HLOOKUP(INDICE!$F$2,Nombres!$C$3:$D$636,58,FALSE)</f>
        <v>Total activo / pasivo</v>
      </c>
      <c r="B94" s="47">
        <v>177503.0310044378</v>
      </c>
      <c r="C94" s="47">
        <v>183813.7810765082</v>
      </c>
      <c r="D94" s="47">
        <v>187950.0839788889</v>
      </c>
      <c r="E94" s="70">
        <v>210946.98245357675</v>
      </c>
      <c r="F94" s="51">
        <v>209248.67024162578</v>
      </c>
      <c r="G94" s="51">
        <v>218924.80055838192</v>
      </c>
      <c r="H94" s="51">
        <v>220124.17899884263</v>
      </c>
      <c r="I94" s="51">
        <v>213836.29194073</v>
      </c>
    </row>
    <row r="95" spans="1:9" ht="15">
      <c r="A95" s="43" t="str">
        <f>HLOOKUP(INDICE!$F$2,Nombres!$C$3:$D$636,59,FALSE)</f>
        <v>Pasivos financieros mantenidos para negociar y designados a valor razonable con cambios en resultados</v>
      </c>
      <c r="B95" s="58">
        <v>82868.34299299284</v>
      </c>
      <c r="C95" s="58">
        <v>83948.96039003888</v>
      </c>
      <c r="D95" s="58">
        <v>84693.16992903038</v>
      </c>
      <c r="E95" s="64">
        <v>96458.80064609762</v>
      </c>
      <c r="F95" s="44">
        <v>92786.26545721233</v>
      </c>
      <c r="G95" s="44">
        <v>104293.36152778687</v>
      </c>
      <c r="H95" s="44">
        <v>103495.61787496517</v>
      </c>
      <c r="I95" s="44">
        <v>98790.4568289</v>
      </c>
    </row>
    <row r="96" spans="1:9" ht="15">
      <c r="A96" s="43" t="str">
        <f>HLOOKUP(INDICE!$F$2,Nombres!$C$3:$D$636,60,FALSE)</f>
        <v>Depósitos de bancos centrales y entidades de crédito</v>
      </c>
      <c r="B96" s="58">
        <v>14346.610236433615</v>
      </c>
      <c r="C96" s="58">
        <v>15031.596730727726</v>
      </c>
      <c r="D96" s="58">
        <v>15502.520172258995</v>
      </c>
      <c r="E96" s="64">
        <v>12980.779852397682</v>
      </c>
      <c r="F96" s="44">
        <v>16280.715421923796</v>
      </c>
      <c r="G96" s="44">
        <v>20954.469002570688</v>
      </c>
      <c r="H96" s="44">
        <v>22281.624930354516</v>
      </c>
      <c r="I96" s="44">
        <v>20986.56820075</v>
      </c>
    </row>
    <row r="97" spans="1:9" ht="15">
      <c r="A97" s="43" t="str">
        <f>HLOOKUP(INDICE!$F$2,Nombres!$C$3:$D$636,61,FALSE)</f>
        <v>Depósitos de la clientela</v>
      </c>
      <c r="B97" s="58">
        <v>36267.49986084644</v>
      </c>
      <c r="C97" s="58">
        <v>36871.86252593137</v>
      </c>
      <c r="D97" s="58">
        <v>36796.2727396824</v>
      </c>
      <c r="E97" s="64">
        <v>38542.47475057599</v>
      </c>
      <c r="F97" s="44">
        <v>37911.651676328715</v>
      </c>
      <c r="G97" s="44">
        <v>39181.69587659241</v>
      </c>
      <c r="H97" s="44">
        <v>42998.93084244968</v>
      </c>
      <c r="I97" s="44">
        <v>48179.72645381</v>
      </c>
    </row>
    <row r="98" spans="1:9" ht="15">
      <c r="A98" s="43" t="str">
        <f>HLOOKUP(INDICE!$F$2,Nombres!$C$3:$D$636,62,FALSE)</f>
        <v>Valores representativos de deuda emitidos</v>
      </c>
      <c r="B98" s="44">
        <v>2174.8192823308864</v>
      </c>
      <c r="C98" s="44">
        <v>2774.4741664402723</v>
      </c>
      <c r="D98" s="44">
        <v>3211.3989897796723</v>
      </c>
      <c r="E98" s="45">
        <v>6034.950056270257</v>
      </c>
      <c r="F98" s="44">
        <v>4326.029366640144</v>
      </c>
      <c r="G98" s="44">
        <v>5003.789843134099</v>
      </c>
      <c r="H98" s="44">
        <v>5284.8596119984395</v>
      </c>
      <c r="I98" s="44">
        <v>5291.61079523</v>
      </c>
    </row>
    <row r="99" spans="1:9" ht="15">
      <c r="A99" s="43" t="str">
        <f>HLOOKUP(INDICE!$F$2,Nombres!$C$3:$D$636,122,FALSE)</f>
        <v>Posiciones inter-áreas pasivo</v>
      </c>
      <c r="B99" s="44">
        <v>31562.494321946695</v>
      </c>
      <c r="C99" s="44">
        <v>32316.19855910037</v>
      </c>
      <c r="D99" s="44">
        <v>35228.854540485656</v>
      </c>
      <c r="E99" s="45">
        <v>44050.22065389082</v>
      </c>
      <c r="F99" s="44">
        <v>45238.88671376038</v>
      </c>
      <c r="G99" s="44">
        <v>34536.95414352491</v>
      </c>
      <c r="H99" s="44">
        <v>30526.01194674035</v>
      </c>
      <c r="I99" s="44">
        <v>25576.17932661638</v>
      </c>
    </row>
    <row r="100" spans="1:9" ht="15">
      <c r="A100" s="43" t="str">
        <f>HLOOKUP(INDICE!$F$2,Nombres!$C$3:$D$636,63,FALSE)</f>
        <v>Otros pasivos</v>
      </c>
      <c r="B100" s="44">
        <f aca="true" t="shared" si="16" ref="B100:I100">+B94-B95-B96-B97-B98-B101-B99</f>
        <v>1926.6747863460187</v>
      </c>
      <c r="C100" s="44">
        <f t="shared" si="16"/>
        <v>3270.066355673065</v>
      </c>
      <c r="D100" s="44">
        <f t="shared" si="16"/>
        <v>2937.8844599891163</v>
      </c>
      <c r="E100" s="45">
        <f t="shared" si="16"/>
        <v>2854.442280533207</v>
      </c>
      <c r="F100" s="44">
        <f t="shared" si="16"/>
        <v>2504.795675543508</v>
      </c>
      <c r="G100" s="44">
        <f t="shared" si="16"/>
        <v>3974.033127727351</v>
      </c>
      <c r="H100" s="44">
        <f t="shared" si="16"/>
        <v>4262.595573057108</v>
      </c>
      <c r="I100" s="44">
        <f t="shared" si="16"/>
        <v>4156.692911313628</v>
      </c>
    </row>
    <row r="101" spans="1:9" ht="15">
      <c r="A101" s="43" t="str">
        <f>HLOOKUP(INDICE!$F$2,Nombres!$C$3:$D$636,282,FALSE)</f>
        <v>Dotación de capital regulatorio</v>
      </c>
      <c r="B101" s="44">
        <v>8356.589523541315</v>
      </c>
      <c r="C101" s="44">
        <v>9600.622348596506</v>
      </c>
      <c r="D101" s="44">
        <v>9579.983147662675</v>
      </c>
      <c r="E101" s="45">
        <v>10025.31421381118</v>
      </c>
      <c r="F101" s="44">
        <v>10200.325930216903</v>
      </c>
      <c r="G101" s="44">
        <v>10980.497037045603</v>
      </c>
      <c r="H101" s="44">
        <v>11274.538219277372</v>
      </c>
      <c r="I101" s="44">
        <v>10855.057424109998</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56465.65517035995</v>
      </c>
      <c r="C107" s="44">
        <v>56617.26916963644</v>
      </c>
      <c r="D107" s="44">
        <v>56876.39431588153</v>
      </c>
      <c r="E107" s="45">
        <v>62778.08309984426</v>
      </c>
      <c r="F107" s="44">
        <v>70048.09405396941</v>
      </c>
      <c r="G107" s="44">
        <v>72006.66466934852</v>
      </c>
      <c r="H107" s="44">
        <v>76626.36285596814</v>
      </c>
      <c r="I107" s="44">
        <v>77942.33784392002</v>
      </c>
    </row>
    <row r="108" spans="1:9" ht="15">
      <c r="A108" s="43" t="str">
        <f>HLOOKUP(INDICE!$F$2,Nombres!$C$3:$D$636,67,FALSE)</f>
        <v>Depósitos de clientes en gestión (**)</v>
      </c>
      <c r="B108" s="44">
        <v>35659.162353819556</v>
      </c>
      <c r="C108" s="44">
        <v>36224.89462047988</v>
      </c>
      <c r="D108" s="44">
        <v>36150.12017028872</v>
      </c>
      <c r="E108" s="45">
        <v>37641.220609432596</v>
      </c>
      <c r="F108" s="44">
        <v>37357.09892373208</v>
      </c>
      <c r="G108" s="44">
        <v>38619.1919327778</v>
      </c>
      <c r="H108" s="44">
        <v>42344.00236685368</v>
      </c>
      <c r="I108" s="44">
        <v>47270.100984740006</v>
      </c>
    </row>
    <row r="109" spans="1:9" ht="15">
      <c r="A109" s="43" t="str">
        <f>HLOOKUP(INDICE!$F$2,Nombres!$C$3:$D$636,68,FALSE)</f>
        <v>Fondos de inversión y carteras gestionadas</v>
      </c>
      <c r="B109" s="44">
        <v>814.2227612942556</v>
      </c>
      <c r="C109" s="44">
        <v>855.721934086756</v>
      </c>
      <c r="D109" s="44">
        <v>880.2827717359465</v>
      </c>
      <c r="E109" s="45">
        <v>961.7720996313093</v>
      </c>
      <c r="F109" s="44">
        <v>1051.6321130527513</v>
      </c>
      <c r="G109" s="44">
        <v>1019.150051395297</v>
      </c>
      <c r="H109" s="44">
        <v>1223.2436154256754</v>
      </c>
      <c r="I109" s="44">
        <v>1591.3759187399999</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106.92862865916052</v>
      </c>
      <c r="C111" s="44">
        <v>131.49889678552717</v>
      </c>
      <c r="D111" s="44">
        <v>128.48180138736058</v>
      </c>
      <c r="E111" s="45">
        <v>115.60102704178796</v>
      </c>
      <c r="F111" s="44">
        <v>143.5735948916818</v>
      </c>
      <c r="G111" s="44">
        <v>357.00821962875773</v>
      </c>
      <c r="H111" s="44">
        <v>290.9169076523196</v>
      </c>
      <c r="I111" s="44">
        <v>158.91382959</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391</v>
      </c>
    </row>
  </sheetData>
  <sheetProtection/>
  <mergeCells count="5">
    <mergeCell ref="B6:E6"/>
    <mergeCell ref="B62:E62"/>
    <mergeCell ref="F6:I6"/>
    <mergeCell ref="F62:I62"/>
    <mergeCell ref="A2:I2"/>
  </mergeCells>
  <conditionalFormatting sqref="C82:I82">
    <cfRule type="cellIs" priority="3" dxfId="132" operator="notBetween">
      <formula>0.5</formula>
      <formula>-0.5</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5" customWidth="1"/>
    <col min="2" max="9" width="10.00390625" style="95" customWidth="1"/>
    <col min="10" max="255" width="12.57421875" style="95" customWidth="1"/>
  </cols>
  <sheetData>
    <row r="1" spans="1:9" ht="18">
      <c r="A1" s="93" t="str">
        <f>HLOOKUP(INDICE!$F$2,Nombres!$C$3:$D$636,82,FALSE)</f>
        <v>Eficiencia (*)</v>
      </c>
      <c r="B1" s="94"/>
      <c r="C1" s="94"/>
      <c r="D1" s="94"/>
      <c r="E1" s="94"/>
      <c r="F1" s="94"/>
      <c r="G1" s="94"/>
      <c r="H1" s="94"/>
      <c r="I1" s="94"/>
    </row>
    <row r="2" spans="1:9" ht="15">
      <c r="A2" s="96" t="str">
        <f>HLOOKUP(INDICE!$F$2,Nombres!$C$3:$D$636,84,FALSE)</f>
        <v>(Porcentaje)</v>
      </c>
      <c r="B2" s="97"/>
      <c r="C2" s="97"/>
      <c r="D2" s="97"/>
      <c r="E2" s="97"/>
      <c r="F2" s="97"/>
      <c r="G2" s="97"/>
      <c r="H2" s="97"/>
      <c r="I2" s="97"/>
    </row>
    <row r="3" spans="1:9" ht="15.75">
      <c r="A3" s="98"/>
      <c r="B3" s="99">
        <f>+España!B32</f>
        <v>44286</v>
      </c>
      <c r="C3" s="99">
        <f>+España!C32</f>
        <v>44377</v>
      </c>
      <c r="D3" s="99">
        <f>+España!D32</f>
        <v>44469</v>
      </c>
      <c r="E3" s="99">
        <f>+España!E32</f>
        <v>44561</v>
      </c>
      <c r="F3" s="99">
        <f>+España!F32</f>
        <v>44651</v>
      </c>
      <c r="G3" s="99">
        <f>+España!G32</f>
        <v>44742</v>
      </c>
      <c r="H3" s="99">
        <f>+España!H32</f>
        <v>44834</v>
      </c>
      <c r="I3" s="99">
        <f>+España!I32</f>
        <v>44926</v>
      </c>
    </row>
    <row r="4" spans="1:9" ht="15">
      <c r="A4" s="97"/>
      <c r="B4" s="100"/>
      <c r="C4" s="100"/>
      <c r="D4" s="100"/>
      <c r="E4" s="101"/>
      <c r="F4" s="100"/>
      <c r="G4" s="100"/>
      <c r="H4" s="97"/>
      <c r="I4" s="97"/>
    </row>
    <row r="5" spans="1:255" ht="15">
      <c r="A5" s="102" t="str">
        <f>HLOOKUP(INDICE!$F$2,Nombres!$C$3:$D$636,276,FALSE)</f>
        <v>Grupo BBVA  (**)</v>
      </c>
      <c r="B5" s="103">
        <v>44.70282177747371</v>
      </c>
      <c r="C5" s="103">
        <v>44.8198340018982</v>
      </c>
      <c r="D5" s="103">
        <v>44.74692214424432</v>
      </c>
      <c r="E5" s="104">
        <v>45.237717626841466</v>
      </c>
      <c r="F5" s="241">
        <v>44.757337003279865</v>
      </c>
      <c r="G5" s="241">
        <v>43.908583948995016</v>
      </c>
      <c r="H5" s="241">
        <v>42.86110126635576</v>
      </c>
      <c r="I5" s="241">
        <v>43.23175542608656</v>
      </c>
      <c r="J5" s="105"/>
      <c r="K5" s="10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7"/>
      <c r="B6" s="106"/>
      <c r="C6" s="106"/>
      <c r="D6" s="106"/>
      <c r="E6" s="107"/>
      <c r="F6" s="106"/>
      <c r="G6" s="106"/>
      <c r="H6" s="106"/>
      <c r="I6" s="106"/>
      <c r="J6" s="108"/>
      <c r="K6" s="108"/>
      <c r="L6" s="108"/>
    </row>
    <row r="7" spans="1:255" ht="15">
      <c r="A7" s="59" t="str">
        <f>HLOOKUP(INDICE!$F$2,Nombres!$C$3:$D$636,7,FALSE)</f>
        <v>España</v>
      </c>
      <c r="B7" s="109">
        <v>46.29686186789716</v>
      </c>
      <c r="C7" s="109">
        <v>49.610545055058516</v>
      </c>
      <c r="D7" s="109">
        <v>49.94602078565011</v>
      </c>
      <c r="E7" s="110">
        <v>51.66024950129674</v>
      </c>
      <c r="F7" s="111">
        <v>42.89619288152256</v>
      </c>
      <c r="G7" s="111">
        <v>46.72999085392387</v>
      </c>
      <c r="H7" s="111">
        <v>46.426160608959385</v>
      </c>
      <c r="I7" s="111">
        <v>47.50600104062016</v>
      </c>
      <c r="J7" s="105"/>
      <c r="K7" s="10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7"/>
      <c r="B8" s="106"/>
      <c r="C8" s="106"/>
      <c r="D8" s="106"/>
      <c r="E8" s="107"/>
      <c r="F8" s="106"/>
      <c r="G8" s="106"/>
      <c r="H8" s="106"/>
      <c r="I8" s="106"/>
      <c r="J8" s="112"/>
      <c r="K8" s="108"/>
      <c r="L8" s="108"/>
    </row>
    <row r="9" spans="1:255" ht="15">
      <c r="A9" s="59" t="str">
        <f>HLOOKUP(INDICE!$F$2,Nombres!$C$3:$D$636,11,FALSE)</f>
        <v>México</v>
      </c>
      <c r="B9" s="109">
        <v>35.67332364307007</v>
      </c>
      <c r="C9" s="109">
        <v>35.48096651152269</v>
      </c>
      <c r="D9" s="109">
        <v>35.37181969176801</v>
      </c>
      <c r="E9" s="110">
        <v>35.27801790638577</v>
      </c>
      <c r="F9" s="111">
        <v>33.69668964793765</v>
      </c>
      <c r="G9" s="111">
        <v>32.15133225298348</v>
      </c>
      <c r="H9" s="111">
        <v>31.85912087481383</v>
      </c>
      <c r="I9" s="111">
        <v>31.66671773502941</v>
      </c>
      <c r="J9" s="112"/>
      <c r="K9" s="108"/>
      <c r="L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7"/>
      <c r="B10" s="106"/>
      <c r="C10" s="106"/>
      <c r="D10" s="106"/>
      <c r="E10" s="107"/>
      <c r="F10" s="106"/>
      <c r="G10" s="106"/>
      <c r="H10" s="106"/>
      <c r="I10" s="106"/>
      <c r="J10" s="112"/>
      <c r="K10" s="108"/>
      <c r="L10" s="108"/>
    </row>
    <row r="11" spans="1:13" ht="15">
      <c r="A11" s="59" t="str">
        <f>HLOOKUP(INDICE!$F$2,Nombres!$C$3:$D$636,12,FALSE)</f>
        <v>Turquía </v>
      </c>
      <c r="B11" s="109">
        <v>31.807678874989477</v>
      </c>
      <c r="C11" s="109">
        <v>31.773085069771444</v>
      </c>
      <c r="D11" s="109">
        <v>30.450084486741613</v>
      </c>
      <c r="E11" s="110">
        <v>29.505856929400064</v>
      </c>
      <c r="F11" s="111">
        <v>47.52741799139958</v>
      </c>
      <c r="G11" s="111">
        <v>37.2355437723112</v>
      </c>
      <c r="H11" s="111">
        <v>33.52479508698284</v>
      </c>
      <c r="I11" s="111">
        <v>33.486827922787576</v>
      </c>
      <c r="J11" s="105"/>
      <c r="K11" s="105"/>
      <c r="L11"/>
      <c r="M11"/>
    </row>
    <row r="12" spans="1:12" ht="15">
      <c r="A12" s="97"/>
      <c r="B12" s="106"/>
      <c r="C12" s="106"/>
      <c r="D12" s="106"/>
      <c r="E12" s="107"/>
      <c r="F12" s="106"/>
      <c r="G12" s="106"/>
      <c r="H12" s="106"/>
      <c r="I12" s="106"/>
      <c r="J12" s="108"/>
      <c r="K12" s="108"/>
      <c r="L12" s="108"/>
    </row>
    <row r="13" spans="1:255" ht="15">
      <c r="A13" s="59" t="str">
        <f>HLOOKUP(INDICE!$F$2,Nombres!$C$3:$D$636,13,FALSE)</f>
        <v>América del Sur </v>
      </c>
      <c r="B13" s="109">
        <v>47.95661784450792</v>
      </c>
      <c r="C13" s="109">
        <v>46.854720723353154</v>
      </c>
      <c r="D13" s="109">
        <v>47.50811086435149</v>
      </c>
      <c r="E13" s="110">
        <v>48.15041312496789</v>
      </c>
      <c r="F13" s="111">
        <v>46.82329393789156</v>
      </c>
      <c r="G13" s="111">
        <v>46.74558913883573</v>
      </c>
      <c r="H13" s="111">
        <v>47.151919185338</v>
      </c>
      <c r="I13" s="111">
        <v>46.39086724377977</v>
      </c>
      <c r="J13" s="105"/>
      <c r="K13" s="10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7"/>
      <c r="B14" s="106"/>
      <c r="C14" s="106"/>
      <c r="D14" s="106"/>
      <c r="E14" s="107"/>
      <c r="F14" s="106"/>
      <c r="G14" s="106"/>
      <c r="H14" s="106"/>
      <c r="I14" s="106"/>
      <c r="J14" s="108"/>
      <c r="K14" s="108"/>
      <c r="L14" s="108"/>
    </row>
    <row r="15" spans="1:255" ht="15">
      <c r="A15" s="59" t="str">
        <f>HLOOKUP(INDICE!$F$2,Nombres!$C$3:$D$636,263,FALSE)</f>
        <v>Resto de Negocios</v>
      </c>
      <c r="B15" s="109">
        <v>49.98525104503651</v>
      </c>
      <c r="C15" s="109">
        <v>53.99189323586378</v>
      </c>
      <c r="D15" s="109">
        <v>54.08142278033714</v>
      </c>
      <c r="E15" s="110">
        <v>58.35443415051953</v>
      </c>
      <c r="F15" s="111">
        <v>56.85743879530505</v>
      </c>
      <c r="G15" s="111">
        <v>60.89455491417086</v>
      </c>
      <c r="H15" s="111">
        <v>62.81230598407219</v>
      </c>
      <c r="I15" s="111">
        <v>65.03497686779582</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7"/>
      <c r="B16" s="113"/>
      <c r="C16" s="113"/>
      <c r="D16" s="113"/>
      <c r="E16" s="113"/>
      <c r="F16" s="113"/>
      <c r="G16" s="113"/>
      <c r="H16" s="97"/>
      <c r="I16" s="264"/>
      <c r="J16" s="108"/>
      <c r="K16" s="108"/>
      <c r="L16" s="108"/>
    </row>
    <row r="17" spans="1:12" ht="15">
      <c r="A17" s="114" t="str">
        <f>HLOOKUP(INDICE!$F$2,Nombres!$C$3:$D$636,83,FALSE)</f>
        <v>(*) Gastos de explotación / Margen bruto. Incluye amortizaciones</v>
      </c>
      <c r="B17" s="97"/>
      <c r="C17" s="97"/>
      <c r="D17" s="97"/>
      <c r="E17" s="97"/>
      <c r="F17" s="97"/>
      <c r="G17" s="97"/>
      <c r="H17" s="97"/>
      <c r="I17" s="264"/>
      <c r="J17" s="108"/>
      <c r="K17" s="108"/>
      <c r="L17" s="108"/>
    </row>
    <row r="18" spans="1:12" ht="15">
      <c r="A18" s="115"/>
      <c r="B18" s="115"/>
      <c r="C18" s="115"/>
      <c r="D18" s="115"/>
      <c r="E18" s="115"/>
      <c r="F18" s="115"/>
      <c r="G18" s="115"/>
      <c r="H18" s="115"/>
      <c r="I18" s="265"/>
      <c r="J18" s="108"/>
      <c r="K18" s="108"/>
      <c r="L18" s="108"/>
    </row>
    <row r="19" spans="1:9" ht="15">
      <c r="A19" s="114" t="str">
        <f>HLOOKUP(INDICE!$F$2,Nombres!$C$3:$D$636,277,FALSE)</f>
        <v>(**) Grupo BBVA no incluye el negocio vendido de EEUU vendido a PNC.</v>
      </c>
      <c r="B19" s="115"/>
      <c r="C19" s="115"/>
      <c r="D19" s="115"/>
      <c r="E19" s="115"/>
      <c r="F19" s="115"/>
      <c r="G19" s="115"/>
      <c r="H19" s="115"/>
      <c r="I19" s="115"/>
    </row>
    <row r="998" ht="15">
      <c r="A998" s="95" t="s">
        <v>391</v>
      </c>
    </row>
  </sheetData>
  <sheetProtection/>
  <conditionalFormatting sqref="C82:I82">
    <cfRule type="cellIs" priority="3" dxfId="132" operator="notBetween">
      <formula>0.5</formula>
      <formula>-0.5</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1" customWidth="1"/>
    <col min="2" max="6" width="10.8515625" style="95" customWidth="1" collapsed="1"/>
    <col min="7" max="7" width="10.8515625" style="95" customWidth="1"/>
    <col min="8" max="9" width="10.8515625" style="117" customWidth="1"/>
    <col min="10" max="11" width="9.57421875" style="117" customWidth="1"/>
    <col min="12" max="255" width="12.57421875" style="117" customWidth="1"/>
  </cols>
  <sheetData>
    <row r="1" spans="1:9" ht="19.5">
      <c r="A1" s="93" t="str">
        <f>HLOOKUP(INDICE!$F$2,Nombres!$C$3:$D$636,85,FALSE)</f>
        <v>Tasa de mora</v>
      </c>
      <c r="B1" s="116"/>
      <c r="C1" s="116"/>
      <c r="D1" s="116"/>
      <c r="E1" s="116"/>
      <c r="F1" s="116"/>
      <c r="G1" s="94"/>
      <c r="H1" s="94"/>
      <c r="I1" s="94"/>
    </row>
    <row r="2" spans="1:9" ht="15">
      <c r="A2" s="96" t="str">
        <f>HLOOKUP(INDICE!$F$2,Nombres!$C$3:$D$636,84,FALSE)</f>
        <v>(Porcentaje)</v>
      </c>
      <c r="B2" s="97"/>
      <c r="C2" s="97"/>
      <c r="D2" s="97"/>
      <c r="E2" s="97"/>
      <c r="F2" s="97"/>
      <c r="G2" s="97"/>
      <c r="H2" s="97"/>
      <c r="I2" s="97"/>
    </row>
    <row r="3" spans="1:9" ht="15.75">
      <c r="A3" s="97"/>
      <c r="B3" s="118">
        <f>+España!B$32</f>
        <v>44286</v>
      </c>
      <c r="C3" s="118">
        <f>+España!C$32</f>
        <v>44377</v>
      </c>
      <c r="D3" s="118">
        <f>+España!D$32</f>
        <v>44469</v>
      </c>
      <c r="E3" s="118">
        <f>+España!E$32</f>
        <v>44561</v>
      </c>
      <c r="F3" s="118">
        <f>+España!F$32</f>
        <v>44651</v>
      </c>
      <c r="G3" s="118">
        <f>+España!G$32</f>
        <v>44742</v>
      </c>
      <c r="H3" s="118">
        <f>+España!H$32</f>
        <v>44834</v>
      </c>
      <c r="I3" s="118">
        <f>+España!I$32</f>
        <v>44926</v>
      </c>
    </row>
    <row r="4" spans="1:9" ht="15">
      <c r="A4" s="97"/>
      <c r="B4" s="100"/>
      <c r="C4" s="100"/>
      <c r="D4" s="97"/>
      <c r="E4" s="119"/>
      <c r="F4" s="100"/>
      <c r="G4" s="100"/>
      <c r="H4" s="97"/>
      <c r="I4" s="97"/>
    </row>
    <row r="5" spans="1:255" ht="15">
      <c r="A5" s="102" t="str">
        <f>HLOOKUP(INDICE!$F$2,Nombres!$C$3:$D$636,275,FALSE)</f>
        <v>Grupo BBVA  (*)</v>
      </c>
      <c r="B5" s="103">
        <v>4.27422612423203</v>
      </c>
      <c r="C5" s="103">
        <v>4.232742966059368</v>
      </c>
      <c r="D5" s="103">
        <v>3.9987137735190568</v>
      </c>
      <c r="E5" s="104">
        <v>4.107089575358145</v>
      </c>
      <c r="F5" s="103">
        <v>3.9492831438618925</v>
      </c>
      <c r="G5" s="287">
        <v>3.743050297461989</v>
      </c>
      <c r="H5" s="287">
        <v>3.537316345545786</v>
      </c>
      <c r="I5" s="287">
        <v>3.40830179092301</v>
      </c>
      <c r="J5" s="120"/>
      <c r="K5" s="12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7"/>
      <c r="B6" s="106"/>
      <c r="C6" s="106"/>
      <c r="D6" s="106"/>
      <c r="E6" s="107"/>
      <c r="F6" s="106"/>
      <c r="G6" s="106"/>
      <c r="H6" s="106"/>
      <c r="I6" s="106"/>
      <c r="J6" s="120"/>
      <c r="K6" s="12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row>
    <row r="7" spans="1:255" ht="15">
      <c r="A7" s="59" t="str">
        <f>HLOOKUP(INDICE!$F$2,Nombres!$C$3:$D$636,7,FALSE)</f>
        <v>España</v>
      </c>
      <c r="B7" s="109">
        <v>4.380902270503293</v>
      </c>
      <c r="C7" s="109">
        <v>4.16968343597887</v>
      </c>
      <c r="D7" s="109">
        <v>4.088178500614938</v>
      </c>
      <c r="E7" s="110">
        <v>4.220438485317629</v>
      </c>
      <c r="F7" s="109">
        <v>4.176313750938057</v>
      </c>
      <c r="G7" s="111">
        <v>4.036433443599574</v>
      </c>
      <c r="H7" s="111">
        <v>3.9078749431004645</v>
      </c>
      <c r="I7" s="111">
        <v>3.937791843271647</v>
      </c>
      <c r="J7" s="120"/>
      <c r="K7" s="1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7"/>
      <c r="B8" s="106"/>
      <c r="C8" s="106"/>
      <c r="D8" s="106"/>
      <c r="E8" s="107"/>
      <c r="F8" s="106"/>
      <c r="G8" s="106"/>
      <c r="H8" s="106"/>
      <c r="I8" s="106"/>
      <c r="J8" s="120"/>
      <c r="K8" s="123"/>
    </row>
    <row r="9" spans="1:255" ht="15">
      <c r="A9" s="59" t="str">
        <f>HLOOKUP(INDICE!$F$2,Nombres!$C$3:$D$636,11,FALSE)</f>
        <v>México</v>
      </c>
      <c r="B9" s="109">
        <v>2.958559833273872</v>
      </c>
      <c r="C9" s="109">
        <v>3.0526317112659664</v>
      </c>
      <c r="D9" s="109">
        <v>2.544928431659197</v>
      </c>
      <c r="E9" s="110">
        <v>3.1706244467500984</v>
      </c>
      <c r="F9" s="109">
        <v>2.955577253896324</v>
      </c>
      <c r="G9" s="111">
        <v>2.811362322672342</v>
      </c>
      <c r="H9" s="111">
        <v>2.5278173004610136</v>
      </c>
      <c r="I9" s="111">
        <v>2.4939029174163956</v>
      </c>
      <c r="J9" s="120"/>
      <c r="K9" s="12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7"/>
      <c r="B10" s="106"/>
      <c r="C10" s="106"/>
      <c r="D10" s="106"/>
      <c r="E10" s="107"/>
      <c r="F10" s="106"/>
      <c r="G10" s="106"/>
      <c r="H10" s="106"/>
      <c r="I10" s="106"/>
      <c r="J10" s="120"/>
      <c r="K10" s="123"/>
    </row>
    <row r="11" spans="1:13" ht="15">
      <c r="A11" s="59" t="str">
        <f>HLOOKUP(INDICE!$F$2,Nombres!$C$3:$D$636,12,FALSE)</f>
        <v>Turquía </v>
      </c>
      <c r="B11" s="109">
        <v>6.8811670507497285</v>
      </c>
      <c r="C11" s="109">
        <v>7.328713512031089</v>
      </c>
      <c r="D11" s="109">
        <v>6.513944904556201</v>
      </c>
      <c r="E11" s="110">
        <v>7.085073670851205</v>
      </c>
      <c r="F11" s="109">
        <v>6.698800791801732</v>
      </c>
      <c r="G11" s="111">
        <v>5.919127384056334</v>
      </c>
      <c r="H11" s="111">
        <v>5.599938647841903</v>
      </c>
      <c r="I11" s="111">
        <v>5.08234793442285</v>
      </c>
      <c r="J11" s="120"/>
      <c r="K11"/>
      <c r="L11"/>
      <c r="M11"/>
    </row>
    <row r="12" spans="1:11" ht="15">
      <c r="A12" s="97"/>
      <c r="B12" s="106"/>
      <c r="C12" s="106"/>
      <c r="D12" s="106"/>
      <c r="E12" s="107"/>
      <c r="F12" s="106"/>
      <c r="G12" s="106"/>
      <c r="H12" s="106"/>
      <c r="I12" s="106"/>
      <c r="J12" s="120"/>
      <c r="K12" s="123"/>
    </row>
    <row r="13" spans="1:255" ht="15">
      <c r="A13" s="59" t="str">
        <f>HLOOKUP(INDICE!$F$2,Nombres!$C$3:$D$636,13,FALSE)</f>
        <v>América del Sur </v>
      </c>
      <c r="B13" s="109">
        <v>4.611002342353146</v>
      </c>
      <c r="C13" s="109">
        <v>4.6586989564769326</v>
      </c>
      <c r="D13" s="109">
        <v>4.528299665215804</v>
      </c>
      <c r="E13" s="110">
        <v>4.466333578410599</v>
      </c>
      <c r="F13" s="109">
        <v>4.287585256763574</v>
      </c>
      <c r="G13" s="111">
        <v>4.161009028783344</v>
      </c>
      <c r="H13" s="111">
        <v>4.118069209537732</v>
      </c>
      <c r="I13" s="111">
        <v>4.094245275091368</v>
      </c>
      <c r="J13" s="12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7"/>
      <c r="B14" s="124"/>
      <c r="C14" s="124"/>
      <c r="D14" s="124"/>
      <c r="E14" s="288"/>
      <c r="F14" s="124"/>
      <c r="G14" s="289"/>
      <c r="H14" s="289"/>
      <c r="I14" s="289"/>
      <c r="J14" s="120"/>
      <c r="K14" s="123"/>
      <c r="L14" s="122"/>
      <c r="M14" s="122"/>
    </row>
    <row r="15" spans="1:255" ht="15">
      <c r="A15" s="59" t="str">
        <f>HLOOKUP(INDICE!$F$2,Nombres!$C$3:$D$636,263,FALSE)</f>
        <v>Resto de Negocios</v>
      </c>
      <c r="B15" s="109">
        <v>0.99138920565066</v>
      </c>
      <c r="C15" s="109">
        <v>0.9901574954356509</v>
      </c>
      <c r="D15" s="109">
        <v>0.9058887137172632</v>
      </c>
      <c r="E15" s="110">
        <v>0.6799395783259952</v>
      </c>
      <c r="F15" s="109">
        <v>0.5653319413051815</v>
      </c>
      <c r="G15" s="111">
        <v>0.548759796545279</v>
      </c>
      <c r="H15" s="111">
        <v>0.38241011703057787</v>
      </c>
      <c r="I15" s="111">
        <v>0.37083506306028896</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5"/>
      <c r="B16" s="124"/>
      <c r="C16" s="124"/>
      <c r="D16" s="290"/>
      <c r="E16" s="290"/>
      <c r="F16" s="124"/>
      <c r="G16" s="124"/>
      <c r="H16" s="290"/>
      <c r="I16" s="290"/>
      <c r="J16" s="123"/>
      <c r="K16" s="123"/>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row>
    <row r="17" spans="1:11" ht="15">
      <c r="A17" s="97"/>
      <c r="B17" s="124"/>
      <c r="C17" s="124"/>
      <c r="D17" s="126"/>
      <c r="E17" s="126"/>
      <c r="F17" s="124"/>
      <c r="G17" s="124"/>
      <c r="H17" s="126"/>
      <c r="I17" s="126"/>
      <c r="J17" s="123"/>
      <c r="K17" s="123"/>
    </row>
    <row r="18" spans="1:255" ht="18">
      <c r="A18" s="93" t="str">
        <f>HLOOKUP(INDICE!$F$2,Nombres!$C$3:$D$636,86,FALSE)</f>
        <v>Tasa de cobertura</v>
      </c>
      <c r="B18" s="127"/>
      <c r="C18" s="127"/>
      <c r="D18" s="128"/>
      <c r="E18" s="128"/>
      <c r="F18" s="127"/>
      <c r="G18" s="127"/>
      <c r="H18" s="128"/>
      <c r="I18" s="128"/>
      <c r="J18" s="123"/>
      <c r="K18" s="123"/>
      <c r="L18" s="129"/>
      <c r="M18" s="129"/>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row>
    <row r="19" spans="1:11" ht="15">
      <c r="A19" s="96" t="str">
        <f>HLOOKUP(INDICE!$F$2,Nombres!$C$3:$D$636,84,FALSE)</f>
        <v>(Porcentaje)</v>
      </c>
      <c r="B19" s="113"/>
      <c r="C19" s="113"/>
      <c r="D19" s="126"/>
      <c r="E19" s="126"/>
      <c r="F19" s="113"/>
      <c r="G19" s="113"/>
      <c r="H19" s="126"/>
      <c r="I19" s="126"/>
      <c r="J19" s="123"/>
      <c r="K19" s="123"/>
    </row>
    <row r="20" spans="1:255" ht="15.75">
      <c r="A20" s="97"/>
      <c r="B20" s="118">
        <f>+B$3</f>
        <v>44286</v>
      </c>
      <c r="C20" s="118">
        <f aca="true" t="shared" si="0" ref="C20:I20">+C$3</f>
        <v>44377</v>
      </c>
      <c r="D20" s="118">
        <f t="shared" si="0"/>
        <v>44469</v>
      </c>
      <c r="E20" s="118">
        <f t="shared" si="0"/>
        <v>44561</v>
      </c>
      <c r="F20" s="118">
        <f t="shared" si="0"/>
        <v>44651</v>
      </c>
      <c r="G20" s="118">
        <f t="shared" si="0"/>
        <v>44742</v>
      </c>
      <c r="H20" s="118">
        <f t="shared" si="0"/>
        <v>44834</v>
      </c>
      <c r="I20" s="118">
        <f t="shared" si="0"/>
        <v>44926</v>
      </c>
      <c r="J20" s="123"/>
      <c r="K20" s="123"/>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row>
    <row r="21" spans="1:11" ht="15">
      <c r="A21" s="97"/>
      <c r="B21" s="130"/>
      <c r="C21" s="130"/>
      <c r="D21" s="126"/>
      <c r="E21" s="126"/>
      <c r="F21" s="130"/>
      <c r="G21" s="130"/>
      <c r="H21" s="126"/>
      <c r="I21" s="126"/>
      <c r="J21" s="123"/>
      <c r="K21" s="123"/>
    </row>
    <row r="22" spans="1:13" ht="15">
      <c r="A22" s="102" t="str">
        <f>HLOOKUP(INDICE!$F$2,Nombres!$C$3:$D$636,275,FALSE)</f>
        <v>Grupo BBVA  (*)</v>
      </c>
      <c r="B22" s="131">
        <v>80.77851569113308</v>
      </c>
      <c r="C22" s="131">
        <v>76.75835787445213</v>
      </c>
      <c r="D22" s="131">
        <v>80.02618491458286</v>
      </c>
      <c r="E22" s="132">
        <v>74.6968160531888</v>
      </c>
      <c r="F22" s="131">
        <v>75.90959260574569</v>
      </c>
      <c r="G22" s="238">
        <v>78.44317836158264</v>
      </c>
      <c r="H22" s="238">
        <v>82.9049048348102</v>
      </c>
      <c r="I22" s="238">
        <v>81.34031740533463</v>
      </c>
      <c r="J22" s="133"/>
      <c r="K22"/>
      <c r="L22"/>
      <c r="M22"/>
    </row>
    <row r="23" spans="1:13" ht="15">
      <c r="A23" s="97"/>
      <c r="B23" s="134"/>
      <c r="C23" s="134"/>
      <c r="D23" s="134"/>
      <c r="E23" s="135"/>
      <c r="F23" s="134"/>
      <c r="G23" s="134"/>
      <c r="H23" s="134"/>
      <c r="I23" s="134"/>
      <c r="J23" s="133"/>
      <c r="K23" s="123"/>
      <c r="L23" s="122"/>
      <c r="M23" s="122"/>
    </row>
    <row r="24" spans="1:255" ht="15">
      <c r="A24" s="59" t="str">
        <f>HLOOKUP(INDICE!$F$2,Nombres!$C$3:$D$636,7,FALSE)</f>
        <v>España</v>
      </c>
      <c r="B24" s="136">
        <v>66.3841270862289</v>
      </c>
      <c r="C24" s="136">
        <v>64.34893598275687</v>
      </c>
      <c r="D24" s="136">
        <v>65.47185615916179</v>
      </c>
      <c r="E24" s="137">
        <v>61.68326008630195</v>
      </c>
      <c r="F24" s="136">
        <v>61.43107080176502</v>
      </c>
      <c r="G24" s="239">
        <v>61.47458773765031</v>
      </c>
      <c r="H24" s="239">
        <v>64.02578142791198</v>
      </c>
      <c r="I24" s="239">
        <v>60.932596217374446</v>
      </c>
      <c r="J24" s="133"/>
      <c r="K24" s="138"/>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7"/>
      <c r="B25" s="134"/>
      <c r="C25" s="134"/>
      <c r="D25" s="134"/>
      <c r="E25" s="135"/>
      <c r="F25" s="134"/>
      <c r="G25" s="134"/>
      <c r="H25" s="134"/>
      <c r="I25" s="134"/>
      <c r="J25" s="133"/>
      <c r="K25" s="123"/>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row>
    <row r="26" spans="1:255" ht="15">
      <c r="A26" s="59" t="str">
        <f>HLOOKUP(INDICE!$F$2,Nombres!$C$3:$D$636,11,FALSE)</f>
        <v>México</v>
      </c>
      <c r="B26" s="136">
        <v>128.89708113150996</v>
      </c>
      <c r="C26" s="136">
        <v>117.77392341256967</v>
      </c>
      <c r="D26" s="136">
        <v>131.01964036253145</v>
      </c>
      <c r="E26" s="137">
        <v>106.1816014558723</v>
      </c>
      <c r="F26" s="136">
        <v>115.32998289409578</v>
      </c>
      <c r="G26" s="239">
        <v>118.86552892861486</v>
      </c>
      <c r="H26" s="239">
        <v>133.31832481136846</v>
      </c>
      <c r="I26" s="239">
        <v>128.8645225885075</v>
      </c>
      <c r="J26" s="13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7"/>
      <c r="B27" s="134"/>
      <c r="C27" s="134"/>
      <c r="D27" s="134"/>
      <c r="E27" s="135"/>
      <c r="F27" s="134"/>
      <c r="G27" s="134"/>
      <c r="H27" s="134"/>
      <c r="I27" s="134"/>
      <c r="J27" s="133"/>
      <c r="K27"/>
      <c r="L27"/>
      <c r="M27"/>
    </row>
    <row r="28" spans="1:255" ht="15">
      <c r="A28" s="59" t="str">
        <f>HLOOKUP(INDICE!$F$2,Nombres!$C$3:$D$636,12,FALSE)</f>
        <v>Turquía </v>
      </c>
      <c r="B28" s="136">
        <v>78.01133138864287</v>
      </c>
      <c r="C28" s="136">
        <v>69.21982164884652</v>
      </c>
      <c r="D28" s="136">
        <v>77.84596768260919</v>
      </c>
      <c r="E28" s="137">
        <v>74.73210430726786</v>
      </c>
      <c r="F28" s="136">
        <v>74.76965437494731</v>
      </c>
      <c r="G28" s="239">
        <v>82.60315255904412</v>
      </c>
      <c r="H28" s="239">
        <v>86.05853473922438</v>
      </c>
      <c r="I28" s="239">
        <v>90.42479667675309</v>
      </c>
      <c r="J28" s="13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7"/>
      <c r="B29" s="134"/>
      <c r="C29" s="134"/>
      <c r="D29" s="134"/>
      <c r="E29" s="135"/>
      <c r="F29" s="134"/>
      <c r="G29" s="134"/>
      <c r="H29" s="134"/>
      <c r="I29" s="134"/>
      <c r="J29" s="133"/>
      <c r="K29" s="123"/>
    </row>
    <row r="30" spans="1:255" ht="15">
      <c r="A30" s="59" t="str">
        <f>HLOOKUP(INDICE!$F$2,Nombres!$C$3:$D$636,13,FALSE)</f>
        <v>América del Sur </v>
      </c>
      <c r="B30" s="136">
        <v>109.14212896783424</v>
      </c>
      <c r="C30" s="136">
        <v>108.25779753594978</v>
      </c>
      <c r="D30" s="136">
        <v>108.29188948692838</v>
      </c>
      <c r="E30" s="137">
        <v>98.86004240086193</v>
      </c>
      <c r="F30" s="136">
        <v>99.13889189453238</v>
      </c>
      <c r="G30" s="239">
        <v>99.95403110476879</v>
      </c>
      <c r="H30" s="239">
        <v>99.68469214441657</v>
      </c>
      <c r="I30" s="239">
        <v>100.74038921512967</v>
      </c>
      <c r="J30" s="13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7"/>
      <c r="B31" s="139"/>
      <c r="C31" s="139"/>
      <c r="D31" s="139"/>
      <c r="E31" s="140"/>
      <c r="F31" s="139"/>
      <c r="G31" s="240"/>
      <c r="H31" s="240"/>
      <c r="I31" s="240"/>
      <c r="J31" s="133"/>
      <c r="K31" s="123"/>
      <c r="L31" s="122"/>
      <c r="M31" s="12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6">
        <v>100.61760816585308</v>
      </c>
      <c r="C32" s="136">
        <v>95.46031980166646</v>
      </c>
      <c r="D32" s="136">
        <v>97.89675149867956</v>
      </c>
      <c r="E32" s="137">
        <v>115.80473169016041</v>
      </c>
      <c r="F32" s="136">
        <v>116.20250793137077</v>
      </c>
      <c r="G32" s="239">
        <v>120.38337582944483</v>
      </c>
      <c r="H32" s="239">
        <v>158.1811853476769</v>
      </c>
      <c r="I32" s="239">
        <v>130.66737621004722</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5"/>
      <c r="B33" s="141"/>
      <c r="C33" s="141"/>
      <c r="D33" s="126"/>
      <c r="E33" s="126"/>
      <c r="F33" s="141"/>
      <c r="G33" s="141"/>
      <c r="H33" s="126"/>
      <c r="I33" s="126"/>
      <c r="J33" s="123"/>
      <c r="K33" s="123"/>
      <c r="L33" s="122"/>
      <c r="M33" s="122"/>
    </row>
    <row r="34" spans="1:255" ht="15">
      <c r="A34" s="97"/>
      <c r="B34" s="141"/>
      <c r="C34" s="141"/>
      <c r="D34" s="126"/>
      <c r="E34" s="126"/>
      <c r="F34" s="141"/>
      <c r="G34" s="141"/>
      <c r="H34" s="126"/>
      <c r="I34" s="126"/>
      <c r="J34" s="123"/>
      <c r="K34" s="12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3" t="str">
        <f>HLOOKUP(INDICE!$F$2,Nombres!$C$3:$D$636,87,FALSE)</f>
        <v>Coste del riesgo acumulado</v>
      </c>
      <c r="B35" s="127"/>
      <c r="C35" s="127"/>
      <c r="D35" s="128"/>
      <c r="E35" s="128"/>
      <c r="F35" s="127"/>
      <c r="G35" s="127"/>
      <c r="H35" s="128"/>
      <c r="I35" s="128"/>
      <c r="J35" s="123"/>
      <c r="K35" s="123"/>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row>
    <row r="36" spans="1:11" ht="15">
      <c r="A36" s="96" t="str">
        <f>HLOOKUP(INDICE!$F$2,Nombres!$C$3:$D$636,84,FALSE)</f>
        <v>(Porcentaje)</v>
      </c>
      <c r="B36" s="141"/>
      <c r="C36" s="141"/>
      <c r="D36" s="126"/>
      <c r="E36" s="126"/>
      <c r="F36" s="141"/>
      <c r="G36" s="141"/>
      <c r="H36" s="126"/>
      <c r="I36" s="126"/>
      <c r="J36" s="123"/>
      <c r="K36" s="123"/>
    </row>
    <row r="37" spans="1:255" ht="15.75">
      <c r="A37" s="97"/>
      <c r="B37" s="118">
        <f>+B$3</f>
        <v>44286</v>
      </c>
      <c r="C37" s="118">
        <f aca="true" t="shared" si="1" ref="C37:I37">+C$3</f>
        <v>44377</v>
      </c>
      <c r="D37" s="118">
        <f t="shared" si="1"/>
        <v>44469</v>
      </c>
      <c r="E37" s="118">
        <f t="shared" si="1"/>
        <v>44561</v>
      </c>
      <c r="F37" s="118">
        <f t="shared" si="1"/>
        <v>44651</v>
      </c>
      <c r="G37" s="118">
        <f t="shared" si="1"/>
        <v>44742</v>
      </c>
      <c r="H37" s="118">
        <f t="shared" si="1"/>
        <v>44834</v>
      </c>
      <c r="I37" s="118">
        <f t="shared" si="1"/>
        <v>44926</v>
      </c>
      <c r="J37" s="123"/>
      <c r="K37" s="123"/>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row>
    <row r="38" spans="1:11" ht="15">
      <c r="A38" s="97"/>
      <c r="B38" s="130"/>
      <c r="C38" s="130"/>
      <c r="D38" s="126"/>
      <c r="E38" s="126"/>
      <c r="F38" s="130"/>
      <c r="G38" s="130"/>
      <c r="H38" s="126"/>
      <c r="I38" s="126"/>
      <c r="J38" s="123"/>
      <c r="K38" s="123"/>
    </row>
    <row r="39" spans="1:13" ht="15">
      <c r="A39" s="102" t="str">
        <f>HLOOKUP(INDICE!$F$2,Nombres!$C$3:$D$636,275,FALSE)</f>
        <v>Grupo BBVA  (*)</v>
      </c>
      <c r="B39" s="142">
        <v>1.173090618069368</v>
      </c>
      <c r="C39" s="142">
        <v>1.0014400841330078</v>
      </c>
      <c r="D39" s="142">
        <v>0.9163961296285004</v>
      </c>
      <c r="E39" s="143">
        <v>0.9310695316393152</v>
      </c>
      <c r="F39" s="142">
        <v>0.8145182342447328</v>
      </c>
      <c r="G39" s="142">
        <v>0.8059654043077781</v>
      </c>
      <c r="H39" s="241">
        <v>0.8626033484746713</v>
      </c>
      <c r="I39" s="241">
        <v>0.9118385508654396</v>
      </c>
      <c r="J39" s="105"/>
      <c r="K39"/>
      <c r="L39"/>
      <c r="M39"/>
    </row>
    <row r="40" spans="1:13" ht="15">
      <c r="A40" s="97"/>
      <c r="B40" s="144"/>
      <c r="C40" s="144"/>
      <c r="D40" s="144"/>
      <c r="E40" s="145"/>
      <c r="F40" s="144"/>
      <c r="G40" s="144"/>
      <c r="H40" s="144"/>
      <c r="I40" s="144"/>
      <c r="J40" s="123"/>
      <c r="K40" s="123"/>
      <c r="L40" s="122"/>
      <c r="M40" s="122"/>
    </row>
    <row r="41" spans="1:13" ht="15">
      <c r="A41" s="59" t="str">
        <f>HLOOKUP(INDICE!$F$2,Nombres!$C$3:$D$636,7,FALSE)</f>
        <v>España</v>
      </c>
      <c r="B41" s="146">
        <v>0.44644168473303464</v>
      </c>
      <c r="C41" s="146">
        <v>0.4145101490226199</v>
      </c>
      <c r="D41" s="146">
        <v>0.3233561998948687</v>
      </c>
      <c r="E41" s="147">
        <v>0.29762126920719995</v>
      </c>
      <c r="F41" s="146">
        <v>0.1664413985262337</v>
      </c>
      <c r="G41" s="242">
        <v>0.20056410130935318</v>
      </c>
      <c r="H41" s="242">
        <v>0.23627395498987935</v>
      </c>
      <c r="I41" s="242">
        <v>0.28440984348624787</v>
      </c>
      <c r="J41" s="105"/>
      <c r="K41"/>
      <c r="L41"/>
      <c r="M41"/>
    </row>
    <row r="42" spans="1:13" ht="15">
      <c r="A42" s="97"/>
      <c r="B42" s="144"/>
      <c r="C42" s="144"/>
      <c r="D42" s="144"/>
      <c r="E42" s="145"/>
      <c r="F42" s="144"/>
      <c r="G42" s="144"/>
      <c r="H42" s="144"/>
      <c r="I42" s="144"/>
      <c r="J42" s="105"/>
      <c r="K42"/>
      <c r="L42"/>
      <c r="M42"/>
    </row>
    <row r="43" spans="1:255" ht="15">
      <c r="A43" s="59" t="str">
        <f>HLOOKUP(INDICE!$F$2,Nombres!$C$3:$D$636,11,FALSE)</f>
        <v>México</v>
      </c>
      <c r="B43" s="146">
        <v>3.5535721044635267</v>
      </c>
      <c r="C43" s="146">
        <v>2.8335225953658982</v>
      </c>
      <c r="D43" s="146">
        <v>2.6978843393028074</v>
      </c>
      <c r="E43" s="147">
        <v>2.6717550543842155</v>
      </c>
      <c r="F43" s="146">
        <v>2.835222652884783</v>
      </c>
      <c r="G43" s="242">
        <v>2.5700427857299766</v>
      </c>
      <c r="H43" s="242">
        <v>2.5747780686926194</v>
      </c>
      <c r="I43" s="242">
        <v>2.4711137871443354</v>
      </c>
      <c r="J43" s="10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7"/>
      <c r="B44" s="144"/>
      <c r="C44" s="144"/>
      <c r="D44" s="144"/>
      <c r="E44" s="145"/>
      <c r="F44" s="144"/>
      <c r="G44" s="144"/>
      <c r="H44" s="144"/>
      <c r="I44" s="144"/>
      <c r="J44" s="123"/>
      <c r="K44" s="123"/>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row>
    <row r="45" spans="1:255" ht="15">
      <c r="A45" s="59" t="str">
        <f>HLOOKUP(INDICE!$F$2,Nombres!$C$3:$D$636,12,FALSE)</f>
        <v>Turquía </v>
      </c>
      <c r="B45" s="146">
        <v>1.3446936546426136</v>
      </c>
      <c r="C45" s="146">
        <v>0.9737620758969258</v>
      </c>
      <c r="D45" s="146">
        <v>0.8755645034712647</v>
      </c>
      <c r="E45" s="147">
        <v>1.3282143658971564</v>
      </c>
      <c r="F45" s="146">
        <v>0.9923298524529925</v>
      </c>
      <c r="G45" s="242">
        <v>0.8826030774853713</v>
      </c>
      <c r="H45" s="242">
        <v>0.8922152967813575</v>
      </c>
      <c r="I45" s="242">
        <v>0.9367779079075232</v>
      </c>
      <c r="J45" s="10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7"/>
      <c r="B46" s="144"/>
      <c r="C46" s="144"/>
      <c r="D46" s="144"/>
      <c r="E46" s="145"/>
      <c r="F46" s="144"/>
      <c r="G46" s="144"/>
      <c r="H46" s="144"/>
      <c r="I46" s="144"/>
      <c r="J46" s="123"/>
      <c r="K46" s="123"/>
    </row>
    <row r="47" spans="1:255" ht="15">
      <c r="A47" s="59" t="str">
        <f>HLOOKUP(INDICE!$F$2,Nombres!$C$3:$D$636,13,FALSE)</f>
        <v>América del Sur </v>
      </c>
      <c r="B47" s="146">
        <v>1.8091344969893883</v>
      </c>
      <c r="C47" s="146">
        <v>1.928438254504768</v>
      </c>
      <c r="D47" s="146">
        <v>1.8729891230519553</v>
      </c>
      <c r="E47" s="147">
        <v>1.6530823816118405</v>
      </c>
      <c r="F47" s="146">
        <v>1.1705978901872152</v>
      </c>
      <c r="G47" s="242">
        <v>1.2432029035020893</v>
      </c>
      <c r="H47" s="242">
        <v>1.428787309963226</v>
      </c>
      <c r="I47" s="242">
        <v>1.6882220424032697</v>
      </c>
      <c r="J47" s="10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7"/>
      <c r="B48" s="148"/>
      <c r="C48" s="148"/>
      <c r="D48" s="148"/>
      <c r="E48" s="149"/>
      <c r="F48" s="148"/>
      <c r="G48" s="243"/>
      <c r="H48" s="243"/>
      <c r="I48" s="243"/>
      <c r="J48" s="123"/>
      <c r="K48" s="123"/>
      <c r="L48" s="122"/>
      <c r="M48" s="1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6">
        <v>-0.030020736011597684</v>
      </c>
      <c r="C49" s="146">
        <v>-0.12700043037823272</v>
      </c>
      <c r="D49" s="146">
        <v>-0.10708198820167114</v>
      </c>
      <c r="E49" s="147">
        <v>-0.10779579613874153</v>
      </c>
      <c r="F49" s="146">
        <v>-0.10382136162482422</v>
      </c>
      <c r="G49" s="242">
        <v>0.000887280529842365</v>
      </c>
      <c r="H49" s="242">
        <v>0.016140154405523275</v>
      </c>
      <c r="I49" s="242">
        <v>0.04107059930871794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5"/>
      <c r="B50" s="97"/>
      <c r="C50" s="141"/>
      <c r="D50" s="141"/>
      <c r="E50" s="141"/>
      <c r="F50" s="97"/>
      <c r="G50" s="244"/>
      <c r="H50" s="244"/>
      <c r="I50" s="244"/>
    </row>
    <row r="51" spans="1:255" ht="15">
      <c r="A51" s="114" t="str">
        <f>HLOOKUP(INDICE!$F$2,Nombres!$C$3:$D$636,278,FALSE)</f>
        <v>(*) Grupo BBVA no incluye el negocio vendido de EEUU vendido a PNC.</v>
      </c>
      <c r="B51" s="97"/>
      <c r="C51" s="97"/>
      <c r="D51" s="97"/>
      <c r="E51" s="97"/>
      <c r="F51" s="97"/>
      <c r="G51" s="97"/>
      <c r="H51" s="97"/>
      <c r="I51" s="97"/>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7"/>
      <c r="B52" s="97"/>
      <c r="C52" s="97"/>
      <c r="D52" s="97"/>
      <c r="E52" s="97"/>
      <c r="F52" s="97"/>
      <c r="G52" s="97"/>
      <c r="H52" s="97"/>
      <c r="I52" s="97"/>
    </row>
    <row r="53" spans="1:255" ht="15">
      <c r="A53" s="150"/>
      <c r="B53" s="115"/>
      <c r="C53" s="115"/>
      <c r="D53" s="115"/>
      <c r="E53" s="115"/>
      <c r="F53" s="115"/>
      <c r="G53" s="115"/>
      <c r="H53" s="150"/>
      <c r="I53" s="150"/>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row>
    <row r="994" ht="15">
      <c r="A994" s="151" t="s">
        <v>391</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8">
      <c r="A1" s="93" t="str">
        <f>HLOOKUP(INDICE!$F$2,Nombres!$C$3:$D$636,88,FALSE)</f>
        <v>Activos ponderados por riesgo. Desglose por áreas de negocio y principales países</v>
      </c>
      <c r="B1" s="152"/>
      <c r="C1" s="152"/>
      <c r="D1" s="153"/>
      <c r="E1" s="153"/>
      <c r="F1" s="153"/>
      <c r="G1" s="153"/>
      <c r="H1" s="153"/>
      <c r="I1" s="153"/>
    </row>
    <row r="2" spans="1:9" ht="15">
      <c r="A2" s="160" t="str">
        <f>HLOOKUP(INDICE!$F$2,Nombres!$C$3:$D$636,32,FALSE)</f>
        <v>(Millones de euros)</v>
      </c>
      <c r="B2" s="58"/>
      <c r="C2" s="58"/>
      <c r="D2" s="192"/>
      <c r="E2" s="192"/>
      <c r="F2" s="192"/>
      <c r="G2" s="192"/>
      <c r="H2" s="192"/>
      <c r="I2" s="192"/>
    </row>
    <row r="3" spans="1:9" ht="15">
      <c r="A3" s="193"/>
      <c r="B3" s="58"/>
      <c r="C3" s="58"/>
      <c r="D3" s="156"/>
      <c r="E3" s="156"/>
      <c r="F3" s="156"/>
      <c r="G3" s="156"/>
      <c r="H3" s="156"/>
      <c r="I3" s="156"/>
    </row>
    <row r="4" spans="1:9" ht="15.75" customHeight="1">
      <c r="A4" s="194"/>
      <c r="B4" s="303" t="str">
        <f>HLOOKUP(INDICE!$F$2,Nombres!$C$3:$D$636,222,FALSE)</f>
        <v>CRD IV fully loaded</v>
      </c>
      <c r="C4" s="303"/>
      <c r="D4" s="303"/>
      <c r="E4" s="303"/>
      <c r="F4" s="303"/>
      <c r="G4" s="303"/>
      <c r="H4" s="303"/>
      <c r="I4" s="303"/>
    </row>
    <row r="5" spans="1:11" ht="15.75">
      <c r="A5" s="194"/>
      <c r="B5" s="195">
        <f>+España!B32</f>
        <v>44286</v>
      </c>
      <c r="C5" s="195">
        <f>+España!C32</f>
        <v>44377</v>
      </c>
      <c r="D5" s="195">
        <f>+España!D32</f>
        <v>44469</v>
      </c>
      <c r="E5" s="195">
        <f>+España!E32</f>
        <v>44561</v>
      </c>
      <c r="F5" s="195">
        <f>+España!F32</f>
        <v>44651</v>
      </c>
      <c r="G5" s="195">
        <f>+España!G32</f>
        <v>44742</v>
      </c>
      <c r="H5" s="195">
        <f>+España!H32</f>
        <v>44834</v>
      </c>
      <c r="I5" s="195">
        <f>+España!I32</f>
        <v>44926</v>
      </c>
      <c r="K5" s="196"/>
    </row>
    <row r="6" spans="1:12" ht="15">
      <c r="A6" s="102" t="str">
        <f>HLOOKUP(INDICE!$F$2,Nombres!$C$3:$D$636,3,FALSE)</f>
        <v>Grupo BBVA</v>
      </c>
      <c r="B6" s="197">
        <v>354433.37399999006</v>
      </c>
      <c r="C6" s="197">
        <v>305543.34494778</v>
      </c>
      <c r="D6" s="197">
        <v>302541.67015776486</v>
      </c>
      <c r="E6" s="197">
        <v>307335.2409978001</v>
      </c>
      <c r="F6" s="197">
        <v>316131.47295895</v>
      </c>
      <c r="G6" s="197">
        <v>330641.8210000001</v>
      </c>
      <c r="H6" s="197">
        <v>341448.01499999</v>
      </c>
      <c r="I6" s="197">
        <v>336920.14499259234</v>
      </c>
      <c r="K6" s="198"/>
      <c r="L6" s="199"/>
    </row>
    <row r="7" spans="1:12" ht="15">
      <c r="A7" s="59" t="str">
        <f>HLOOKUP(INDICE!$F$2,Nombres!$C$3:$D$636,7,FALSE)</f>
        <v>España</v>
      </c>
      <c r="B7" s="44">
        <v>107872.02321967999</v>
      </c>
      <c r="C7" s="44">
        <v>111975.13196427</v>
      </c>
      <c r="D7" s="44">
        <v>108749.97331843001</v>
      </c>
      <c r="E7" s="44">
        <v>113797.44527904</v>
      </c>
      <c r="F7" s="44">
        <v>109623.29636667999</v>
      </c>
      <c r="G7" s="44">
        <v>108912.58709538999</v>
      </c>
      <c r="H7" s="44">
        <v>108732.79225467</v>
      </c>
      <c r="I7" s="44">
        <v>114474.12433892998</v>
      </c>
      <c r="K7" s="198"/>
      <c r="L7" s="199"/>
    </row>
    <row r="8" spans="1:12" ht="15">
      <c r="A8" s="59" t="str">
        <f>HLOOKUP(INDICE!$F$2,Nombres!$C$3:$D$636,11,FALSE)</f>
        <v>México</v>
      </c>
      <c r="B8" s="44">
        <v>61980.77996205</v>
      </c>
      <c r="C8" s="44">
        <v>62395.633376269994</v>
      </c>
      <c r="D8" s="44">
        <v>61240.10900000001</v>
      </c>
      <c r="E8" s="44">
        <v>64572.994997839996</v>
      </c>
      <c r="F8" s="44">
        <v>67626.26018723001</v>
      </c>
      <c r="G8" s="44">
        <v>73868.81118761</v>
      </c>
      <c r="H8" s="44">
        <v>80491.30159789001</v>
      </c>
      <c r="I8" s="44">
        <v>71738.04201058</v>
      </c>
      <c r="K8" s="198"/>
      <c r="L8" s="199"/>
    </row>
    <row r="9" spans="1:12" ht="15">
      <c r="A9" s="59" t="str">
        <f>HLOOKUP(INDICE!$F$2,Nombres!$C$3:$D$636,12,FALSE)</f>
        <v>Turquía </v>
      </c>
      <c r="B9" s="44">
        <v>53251.74</v>
      </c>
      <c r="C9" s="44">
        <v>53554.30000000001</v>
      </c>
      <c r="D9" s="44">
        <v>55233.178</v>
      </c>
      <c r="E9" s="44">
        <v>49718.483983800004</v>
      </c>
      <c r="F9" s="44">
        <v>49589.47993845</v>
      </c>
      <c r="G9" s="44">
        <v>51055.00159606</v>
      </c>
      <c r="H9" s="44">
        <v>53434.99958917</v>
      </c>
      <c r="I9" s="44">
        <v>56275.03498920001</v>
      </c>
      <c r="K9" s="198"/>
      <c r="L9" s="199"/>
    </row>
    <row r="10" spans="1:12" ht="15">
      <c r="A10" s="59" t="str">
        <f>HLOOKUP(INDICE!$F$2,Nombres!$C$3:$D$636,13,FALSE)</f>
        <v>América del Sur </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49641.27427763</v>
      </c>
      <c r="H10" s="44">
        <f t="shared" si="0"/>
        <v>51484.10021608</v>
      </c>
      <c r="I10" s="44">
        <f t="shared" si="0"/>
        <v>46833.80700066</v>
      </c>
      <c r="K10" s="198"/>
      <c r="L10" s="199"/>
    </row>
    <row r="11" spans="1:12" ht="15">
      <c r="A11" s="200" t="str">
        <f>HLOOKUP(INDICE!$F$2,Nombres!$C$3:$D$636,14,FALSE)</f>
        <v>Argentina</v>
      </c>
      <c r="B11" s="44">
        <v>5727.42467177</v>
      </c>
      <c r="C11" s="44">
        <v>5548.0146043</v>
      </c>
      <c r="D11" s="44">
        <v>6180.594252999999</v>
      </c>
      <c r="E11" s="44">
        <v>6775.30599561</v>
      </c>
      <c r="F11" s="44">
        <v>6766.69729061</v>
      </c>
      <c r="G11" s="44">
        <v>7343.945000000001</v>
      </c>
      <c r="H11" s="44">
        <v>7574.14834403</v>
      </c>
      <c r="I11" s="44">
        <v>8088.9169983599995</v>
      </c>
      <c r="K11" s="198"/>
      <c r="L11" s="199"/>
    </row>
    <row r="12" spans="1:12" ht="15">
      <c r="A12" s="200" t="str">
        <f>HLOOKUP(INDICE!$F$2,Nombres!$C$3:$D$636,15,FALSE)</f>
        <v>Chile</v>
      </c>
      <c r="B12" s="44">
        <v>1577.494</v>
      </c>
      <c r="C12" s="44">
        <v>1700.4819999999995</v>
      </c>
      <c r="D12" s="44">
        <v>1602.6979999999999</v>
      </c>
      <c r="E12" s="44">
        <v>1635.52199571</v>
      </c>
      <c r="F12" s="44">
        <v>1888.1159999999998</v>
      </c>
      <c r="G12" s="44">
        <v>1939.034</v>
      </c>
      <c r="H12" s="44">
        <v>2163.8099999999995</v>
      </c>
      <c r="I12" s="44">
        <v>2174.4330011999996</v>
      </c>
      <c r="K12" s="198"/>
      <c r="L12" s="199"/>
    </row>
    <row r="13" spans="1:12" ht="15">
      <c r="A13" s="200" t="str">
        <f>HLOOKUP(INDICE!$F$2,Nombres!$C$3:$D$636,16,FALSE)</f>
        <v>Colombia</v>
      </c>
      <c r="B13" s="44">
        <v>12609.25952864</v>
      </c>
      <c r="C13" s="44">
        <v>12951.161905739998</v>
      </c>
      <c r="D13" s="44">
        <v>13376.350999999999</v>
      </c>
      <c r="E13" s="44">
        <v>14262.200003910002</v>
      </c>
      <c r="F13" s="44">
        <v>15853.155228539998</v>
      </c>
      <c r="G13" s="44">
        <v>16834.32</v>
      </c>
      <c r="H13" s="44">
        <v>17133.731127479998</v>
      </c>
      <c r="I13" s="44">
        <v>15278.625000880002</v>
      </c>
      <c r="K13" s="198"/>
      <c r="L13" s="199"/>
    </row>
    <row r="14" spans="1:12" ht="15">
      <c r="A14" s="200" t="str">
        <f>HLOOKUP(INDICE!$F$2,Nombres!$C$3:$D$636,17,FALSE)</f>
        <v>Perú</v>
      </c>
      <c r="B14" s="44">
        <v>16675.773832410003</v>
      </c>
      <c r="C14" s="44">
        <v>16469.43935354</v>
      </c>
      <c r="D14" s="44">
        <v>17336.05</v>
      </c>
      <c r="E14" s="44">
        <v>18016.47699951</v>
      </c>
      <c r="F14" s="44">
        <v>19003.581019359997</v>
      </c>
      <c r="G14" s="44">
        <v>20344.217531450002</v>
      </c>
      <c r="H14" s="44">
        <v>21316.35688652</v>
      </c>
      <c r="I14" s="44">
        <v>17935.74500025</v>
      </c>
      <c r="K14" s="198"/>
      <c r="L14" s="199"/>
    </row>
    <row r="15" spans="1:12" ht="15">
      <c r="A15" s="200" t="str">
        <f>HLOOKUP(INDICE!$F$2,Nombres!$C$3:$D$636,89,FALSE)</f>
        <v>Resto de América del Sur</v>
      </c>
      <c r="B15" s="44">
        <v>2357.826</v>
      </c>
      <c r="C15" s="44">
        <v>2444.0969999999998</v>
      </c>
      <c r="D15" s="44">
        <v>2374.755</v>
      </c>
      <c r="E15" s="44">
        <v>2644.63899997</v>
      </c>
      <c r="F15" s="44">
        <v>2818.82975446</v>
      </c>
      <c r="G15" s="44">
        <v>3179.7577461799992</v>
      </c>
      <c r="H15" s="44">
        <v>3296.0538580499992</v>
      </c>
      <c r="I15" s="44">
        <v>3356.0869999699994</v>
      </c>
      <c r="K15" s="198"/>
      <c r="L15" s="199"/>
    </row>
    <row r="16" spans="1:12" ht="15">
      <c r="A16" s="280" t="str">
        <f>HLOOKUP(INDICE!$F$2,Nombres!$C$3:$D$636,263,FALSE)</f>
        <v>Resto de Negocios</v>
      </c>
      <c r="B16" s="44">
        <v>28436.27412497</v>
      </c>
      <c r="C16" s="44">
        <v>28369.32461407</v>
      </c>
      <c r="D16" s="44">
        <v>27041.584696980004</v>
      </c>
      <c r="E16" s="44">
        <v>29280.11150947</v>
      </c>
      <c r="F16" s="44">
        <v>31607.217831029997</v>
      </c>
      <c r="G16" s="44">
        <v>34389.19677855</v>
      </c>
      <c r="H16" s="44">
        <v>35558.64294882999</v>
      </c>
      <c r="I16" s="44">
        <v>35063.500461799995</v>
      </c>
      <c r="K16" s="198"/>
      <c r="L16" s="199"/>
    </row>
    <row r="17" spans="1:12" ht="15">
      <c r="A17" s="59" t="str">
        <f>HLOOKUP(INDICE!$F$2,Nombres!$C$3:$D$636,272,FALSE)</f>
        <v>Centro Corporativo (1)</v>
      </c>
      <c r="B17" s="44">
        <f>+B6-B7-B8-B9-B11-B12-B13-B14-B15-B16</f>
        <v>63944.77866047004</v>
      </c>
      <c r="C17" s="44">
        <f>+C6-C7-C8-C9-C11-C12-C13-C14-C15-C16</f>
        <v>10135.760129590024</v>
      </c>
      <c r="D17" s="44">
        <f aca="true" t="shared" si="1" ref="D17:I17">+D6-D7-D8-D9-D11-D12-D13-D14-D15-D16</f>
        <v>9406.376889354848</v>
      </c>
      <c r="E17" s="44">
        <f>+E6-E7-E8-E9-E11-E12-E13-E14-E15-E16</f>
        <v>6632.061232940076</v>
      </c>
      <c r="F17" s="44">
        <f t="shared" si="1"/>
        <v>11354.839342589967</v>
      </c>
      <c r="G17" s="44">
        <f t="shared" si="1"/>
        <v>12774.950064760123</v>
      </c>
      <c r="H17" s="44">
        <f t="shared" si="1"/>
        <v>11746.178393350005</v>
      </c>
      <c r="I17" s="44">
        <f t="shared" si="1"/>
        <v>12535.636191422374</v>
      </c>
      <c r="K17" s="198"/>
      <c r="L17" s="199"/>
    </row>
    <row r="18" spans="1:12" ht="15">
      <c r="A18" s="59"/>
      <c r="B18" s="44"/>
      <c r="C18" s="44"/>
      <c r="D18" s="44"/>
      <c r="E18" s="44"/>
      <c r="F18" s="44"/>
      <c r="G18" s="44"/>
      <c r="H18" s="44"/>
      <c r="I18" s="44"/>
      <c r="K18" s="198"/>
      <c r="L18" s="199"/>
    </row>
    <row r="19" spans="1:12" ht="15">
      <c r="A19" s="59"/>
      <c r="B19" s="44"/>
      <c r="C19" s="44"/>
      <c r="D19" s="44"/>
      <c r="E19" s="44"/>
      <c r="F19" s="44"/>
      <c r="G19" s="44"/>
      <c r="H19" s="44"/>
      <c r="I19" s="44"/>
      <c r="K19" s="198"/>
      <c r="L19" s="199"/>
    </row>
    <row r="20" spans="1:12" ht="15">
      <c r="A20" s="59" t="str">
        <f>HLOOKUP(INDICE!$F$2,Nombres!$C$3:$D$636,273,FALSE)</f>
        <v>(1) Incluye los APRs del negocio de EEUU vendido</v>
      </c>
      <c r="C20" s="44"/>
      <c r="D20" s="44"/>
      <c r="E20" s="44"/>
      <c r="F20" s="44"/>
      <c r="G20" s="44"/>
      <c r="H20" s="44"/>
      <c r="I20" s="44"/>
      <c r="K20" s="198"/>
      <c r="L20" s="199"/>
    </row>
    <row r="21" spans="1:12" ht="15">
      <c r="A21" s="59" t="str">
        <f>HLOOKUP(INDICE!$F$2,Nombres!$C$3:$D$636,320,FALSE)</f>
        <v>(*)El dato del trimestre en curso es provisional</v>
      </c>
      <c r="K21" s="198"/>
      <c r="L21" s="199"/>
    </row>
    <row r="22" spans="1:12" ht="15">
      <c r="A22" s="286"/>
      <c r="C22" s="44"/>
      <c r="D22" s="44"/>
      <c r="E22" s="44"/>
      <c r="F22" s="44"/>
      <c r="G22" s="44"/>
      <c r="H22" s="44"/>
      <c r="I22" s="56"/>
      <c r="K22" s="198"/>
      <c r="L22" s="199"/>
    </row>
    <row r="23" spans="1:12" ht="15">
      <c r="A23" s="275"/>
      <c r="B23" s="281">
        <v>0</v>
      </c>
      <c r="C23" s="281">
        <v>0</v>
      </c>
      <c r="D23" s="281">
        <v>0</v>
      </c>
      <c r="E23" s="281">
        <v>0</v>
      </c>
      <c r="F23" s="281">
        <v>0</v>
      </c>
      <c r="G23" s="281">
        <v>0</v>
      </c>
      <c r="H23" s="281">
        <v>0</v>
      </c>
      <c r="I23" s="281">
        <v>0</v>
      </c>
      <c r="K23" s="198"/>
      <c r="L23" s="199"/>
    </row>
    <row r="24" spans="1:12" ht="15">
      <c r="A24" s="59"/>
      <c r="B24" s="44"/>
      <c r="C24" s="44"/>
      <c r="D24" s="44"/>
      <c r="E24" s="44"/>
      <c r="F24" s="44"/>
      <c r="G24" s="44"/>
      <c r="H24" s="44"/>
      <c r="I24" s="44"/>
      <c r="K24" s="198"/>
      <c r="L24" s="199"/>
    </row>
    <row r="25" spans="1:6" ht="15">
      <c r="A25" s="156"/>
      <c r="B25" s="156"/>
      <c r="C25" s="156"/>
      <c r="D25" s="156"/>
      <c r="E25" s="156"/>
      <c r="F25" s="156"/>
    </row>
    <row r="26" spans="1:6" ht="15">
      <c r="A26" s="251"/>
      <c r="B26" s="201"/>
      <c r="C26" s="201"/>
      <c r="D26" s="201"/>
      <c r="E26" s="201"/>
      <c r="F26" s="201"/>
    </row>
    <row r="27" spans="2:6" ht="15">
      <c r="B27" s="105"/>
      <c r="F27" s="31"/>
    </row>
    <row r="1005" ht="15">
      <c r="A1005" t="s">
        <v>391</v>
      </c>
    </row>
  </sheetData>
  <sheetProtection/>
  <mergeCells count="1">
    <mergeCell ref="B4:I4"/>
  </mergeCells>
  <conditionalFormatting sqref="B23:I23">
    <cfRule type="cellIs" priority="1" dxfId="132"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8">
      <c r="A1" s="245" t="str">
        <f>HLOOKUP(INDICE!$F$2,Nombres!$C$3:$D$636,123,FALSE)</f>
        <v>Oficinas</v>
      </c>
      <c r="B1" s="152"/>
      <c r="C1" s="152"/>
      <c r="D1" s="153"/>
      <c r="E1" s="153"/>
      <c r="F1" s="153"/>
      <c r="G1" s="153"/>
      <c r="H1" s="153"/>
      <c r="I1" s="153"/>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4"/>
      <c r="B2" s="99">
        <f>+España!B32</f>
        <v>44286</v>
      </c>
      <c r="C2" s="99">
        <f>+España!C32</f>
        <v>44377</v>
      </c>
      <c r="D2" s="99">
        <f>+España!D32</f>
        <v>44469</v>
      </c>
      <c r="E2" s="99">
        <f>+España!E32</f>
        <v>44561</v>
      </c>
      <c r="F2" s="99">
        <f>+España!F32</f>
        <v>44651</v>
      </c>
      <c r="G2" s="99">
        <f>+España!G32</f>
        <v>44742</v>
      </c>
      <c r="H2" s="99">
        <f>+España!H32</f>
        <v>44834</v>
      </c>
      <c r="I2" s="99">
        <f>+España!I32</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6" t="str">
        <f>HLOOKUP(INDICE!$F$2,Nombres!$C$3:$D$636,7,FALSE)</f>
        <v>España</v>
      </c>
      <c r="B3" s="41">
        <v>2366</v>
      </c>
      <c r="C3" s="41">
        <v>2366</v>
      </c>
      <c r="D3" s="41">
        <v>2106</v>
      </c>
      <c r="E3" s="41">
        <v>1895</v>
      </c>
      <c r="F3" s="41">
        <v>1886</v>
      </c>
      <c r="G3" s="41">
        <v>1886</v>
      </c>
      <c r="H3" s="41">
        <v>1886</v>
      </c>
      <c r="I3" s="41">
        <v>1886</v>
      </c>
      <c r="J3" s="54"/>
      <c r="K3" s="31"/>
      <c r="L3" s="115"/>
      <c r="M3" s="115"/>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6" t="str">
        <f>HLOOKUP(INDICE!$F$2,Nombres!$C$3:$D$636,10,FALSE)</f>
        <v>EEUU</v>
      </c>
      <c r="B4" s="41">
        <v>639</v>
      </c>
      <c r="C4" s="41">
        <v>0</v>
      </c>
      <c r="D4" s="41">
        <v>0</v>
      </c>
      <c r="E4" s="41">
        <v>0</v>
      </c>
      <c r="F4" s="41">
        <v>0</v>
      </c>
      <c r="G4" s="41">
        <v>0</v>
      </c>
      <c r="H4" s="41">
        <v>0</v>
      </c>
      <c r="I4" s="41">
        <v>0</v>
      </c>
      <c r="J4" s="54"/>
      <c r="K4" s="31"/>
      <c r="L4" s="115"/>
      <c r="M4" s="11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6" t="str">
        <f>HLOOKUP(INDICE!$F$2,Nombres!$C$3:$D$636,11,FALSE)</f>
        <v>México</v>
      </c>
      <c r="B5" s="41">
        <v>1728</v>
      </c>
      <c r="C5" s="41">
        <v>1746</v>
      </c>
      <c r="D5" s="41">
        <v>1746</v>
      </c>
      <c r="E5" s="41">
        <v>1716</v>
      </c>
      <c r="F5" s="41">
        <v>1722</v>
      </c>
      <c r="G5" s="41">
        <v>1726</v>
      </c>
      <c r="H5" s="41">
        <v>1727</v>
      </c>
      <c r="I5" s="41">
        <v>1733</v>
      </c>
      <c r="J5" s="54"/>
      <c r="K5" s="31"/>
      <c r="L5" s="115"/>
      <c r="M5" s="11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6" t="str">
        <f>HLOOKUP(INDICE!$F$2,Nombres!$C$3:$D$636,12,FALSE)</f>
        <v>Turquía </v>
      </c>
      <c r="B6" s="41">
        <v>1021</v>
      </c>
      <c r="C6" s="41">
        <v>1009</v>
      </c>
      <c r="D6" s="41">
        <v>1007</v>
      </c>
      <c r="E6" s="41">
        <v>1006</v>
      </c>
      <c r="F6" s="41">
        <v>1003</v>
      </c>
      <c r="G6" s="41">
        <v>992</v>
      </c>
      <c r="H6" s="41">
        <v>984</v>
      </c>
      <c r="I6" s="41">
        <v>972</v>
      </c>
      <c r="J6" s="54"/>
      <c r="K6" s="31"/>
      <c r="L6" s="115"/>
      <c r="M6" s="115"/>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46" t="str">
        <f>HLOOKUP(INDICE!$F$2,Nombres!$C$3:$D$636,13,FALSE)</f>
        <v>América del Sur </v>
      </c>
      <c r="B7" s="41">
        <v>1470</v>
      </c>
      <c r="C7" s="41">
        <v>1464</v>
      </c>
      <c r="D7" s="41">
        <v>1453</v>
      </c>
      <c r="E7" s="41">
        <v>1434</v>
      </c>
      <c r="F7" s="41">
        <v>1428</v>
      </c>
      <c r="G7" s="41">
        <v>1427</v>
      </c>
      <c r="H7" s="41">
        <v>1422</v>
      </c>
      <c r="I7" s="41">
        <v>1418</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5" t="str">
        <f>HLOOKUP(INDICE!$F$2,Nombres!$C$3:$D$636,14,FALSE)</f>
        <v>Argentina</v>
      </c>
      <c r="B8" s="247">
        <v>248</v>
      </c>
      <c r="C8" s="247">
        <v>244</v>
      </c>
      <c r="D8" s="247">
        <v>244</v>
      </c>
      <c r="E8" s="247">
        <v>244</v>
      </c>
      <c r="F8" s="247">
        <v>243</v>
      </c>
      <c r="G8" s="247">
        <v>243</v>
      </c>
      <c r="H8" s="247">
        <v>243</v>
      </c>
      <c r="I8" s="247">
        <v>243</v>
      </c>
      <c r="J8" s="54"/>
      <c r="K8" s="31"/>
      <c r="L8" s="115"/>
      <c r="M8" s="115"/>
      <c r="N8" s="25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5" t="str">
        <f>HLOOKUP(INDICE!$F$2,Nombres!$C$3:$D$636,15,FALSE)</f>
        <v>Chile</v>
      </c>
      <c r="B9" s="44">
        <v>17</v>
      </c>
      <c r="C9" s="44">
        <v>17</v>
      </c>
      <c r="D9" s="44">
        <v>17</v>
      </c>
      <c r="E9" s="44">
        <v>11</v>
      </c>
      <c r="F9" s="44">
        <v>10</v>
      </c>
      <c r="G9" s="44">
        <v>11</v>
      </c>
      <c r="H9" s="44">
        <v>11</v>
      </c>
      <c r="I9" s="44">
        <v>10</v>
      </c>
      <c r="J9" s="54"/>
      <c r="K9" s="31"/>
      <c r="L9" s="115"/>
      <c r="M9" s="115"/>
      <c r="N9" s="25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48" t="str">
        <f>HLOOKUP(INDICE!$F$2,Nombres!$C$3:$D$636,16,FALSE)</f>
        <v>Colombia</v>
      </c>
      <c r="B10" s="44">
        <v>522</v>
      </c>
      <c r="C10" s="44">
        <v>520</v>
      </c>
      <c r="D10" s="44">
        <v>518</v>
      </c>
      <c r="E10" s="44">
        <v>517</v>
      </c>
      <c r="F10" s="44">
        <v>517</v>
      </c>
      <c r="G10" s="44">
        <v>517</v>
      </c>
      <c r="H10" s="44">
        <v>512</v>
      </c>
      <c r="I10" s="44">
        <v>513</v>
      </c>
      <c r="J10" s="54"/>
      <c r="K10" s="115"/>
      <c r="L10" s="115"/>
      <c r="M10" s="115"/>
      <c r="N10" s="25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48" t="str">
        <f>HLOOKUP(INDICE!$F$2,Nombres!$C$3:$D$636,17,FALSE)</f>
        <v>Perú</v>
      </c>
      <c r="B11" s="44">
        <v>325</v>
      </c>
      <c r="C11" s="44">
        <v>325</v>
      </c>
      <c r="D11" s="44">
        <v>316</v>
      </c>
      <c r="E11" s="44">
        <v>317</v>
      </c>
      <c r="F11" s="44">
        <v>315</v>
      </c>
      <c r="G11" s="44">
        <v>314</v>
      </c>
      <c r="H11" s="44">
        <v>314</v>
      </c>
      <c r="I11" s="44">
        <v>314</v>
      </c>
      <c r="J11" s="54"/>
      <c r="K11" s="115"/>
      <c r="L11" s="115"/>
      <c r="M11" s="115"/>
      <c r="N11" s="25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48" t="str">
        <f>HLOOKUP(INDICE!$F$2,Nombres!$C$3:$D$636,89,FALSE)</f>
        <v>Resto de América del Sur</v>
      </c>
      <c r="B12" s="44">
        <v>358</v>
      </c>
      <c r="C12" s="44">
        <v>358</v>
      </c>
      <c r="D12" s="44">
        <v>358</v>
      </c>
      <c r="E12" s="44">
        <v>345</v>
      </c>
      <c r="F12" s="44">
        <v>343</v>
      </c>
      <c r="G12" s="44">
        <v>342</v>
      </c>
      <c r="H12" s="44">
        <v>342</v>
      </c>
      <c r="I12" s="44">
        <v>338</v>
      </c>
      <c r="J12" s="54"/>
      <c r="K12" s="115"/>
      <c r="L12" s="115"/>
      <c r="M12" s="115"/>
      <c r="N12" s="25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6" t="str">
        <f>HLOOKUP(INDICE!$F$2,Nombres!$C$3:$D$636,279,FALSE)</f>
        <v>Resto de geografías</v>
      </c>
      <c r="B13" s="41">
        <v>30</v>
      </c>
      <c r="C13" s="41">
        <v>32</v>
      </c>
      <c r="D13" s="41">
        <v>32</v>
      </c>
      <c r="E13" s="41">
        <v>32</v>
      </c>
      <c r="F13" s="41">
        <v>32</v>
      </c>
      <c r="G13" s="41">
        <v>31</v>
      </c>
      <c r="H13" s="41">
        <v>31</v>
      </c>
      <c r="I13" s="41">
        <v>31</v>
      </c>
      <c r="J13" s="54"/>
      <c r="K13" s="115"/>
      <c r="L13" s="115"/>
      <c r="M13" s="115"/>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46" t="s">
        <v>5</v>
      </c>
      <c r="B14" s="41">
        <f aca="true" t="shared" si="0" ref="B14:I14">+SUM(B3:B6,B8:B13)</f>
        <v>7254</v>
      </c>
      <c r="C14" s="41">
        <f t="shared" si="0"/>
        <v>6617</v>
      </c>
      <c r="D14" s="41">
        <f t="shared" si="0"/>
        <v>6344</v>
      </c>
      <c r="E14" s="41">
        <f t="shared" si="0"/>
        <v>6083</v>
      </c>
      <c r="F14" s="41">
        <f t="shared" si="0"/>
        <v>6071</v>
      </c>
      <c r="G14" s="41">
        <f t="shared" si="0"/>
        <v>6062</v>
      </c>
      <c r="H14" s="41">
        <f t="shared" si="0"/>
        <v>6050</v>
      </c>
      <c r="I14" s="41">
        <f t="shared" si="0"/>
        <v>6040</v>
      </c>
      <c r="J14" s="54"/>
      <c r="K14" s="115"/>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6"/>
      <c r="B15" s="157">
        <v>0</v>
      </c>
      <c r="C15" s="157">
        <v>0</v>
      </c>
      <c r="D15" s="157">
        <v>0</v>
      </c>
      <c r="E15" s="157">
        <v>0</v>
      </c>
      <c r="F15" s="157">
        <v>0</v>
      </c>
      <c r="G15" s="157">
        <v>0</v>
      </c>
      <c r="H15" s="157">
        <v>0</v>
      </c>
      <c r="I15" s="157">
        <v>0</v>
      </c>
      <c r="J15" s="31"/>
      <c r="K15" s="115"/>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56"/>
      <c r="B16" s="157"/>
      <c r="C16" s="157"/>
      <c r="D16" s="157"/>
      <c r="E16" s="157"/>
      <c r="F16" s="157"/>
      <c r="G16" s="157"/>
      <c r="H16" s="157"/>
      <c r="I16" s="157"/>
      <c r="J16" s="31"/>
      <c r="K16" s="115"/>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45" t="str">
        <f>HLOOKUP(INDICE!$F$2,Nombres!$C$3:$D$636,124,FALSE)</f>
        <v>Empleados</v>
      </c>
      <c r="B17" s="152"/>
      <c r="C17" s="152"/>
      <c r="D17" s="153"/>
      <c r="E17" s="153"/>
      <c r="F17" s="153"/>
      <c r="G17" s="153"/>
      <c r="H17" s="153"/>
      <c r="I17" s="153"/>
      <c r="J17" s="158"/>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4"/>
      <c r="B18" s="99">
        <f aca="true" t="shared" si="1" ref="B18:I18">+B$2</f>
        <v>44286</v>
      </c>
      <c r="C18" s="99">
        <f t="shared" si="1"/>
        <v>44377</v>
      </c>
      <c r="D18" s="99">
        <f t="shared" si="1"/>
        <v>44469</v>
      </c>
      <c r="E18" s="99">
        <f t="shared" si="1"/>
        <v>44561</v>
      </c>
      <c r="F18" s="99">
        <f t="shared" si="1"/>
        <v>44651</v>
      </c>
      <c r="G18" s="99">
        <f t="shared" si="1"/>
        <v>44742</v>
      </c>
      <c r="H18" s="99">
        <f t="shared" si="1"/>
        <v>44834</v>
      </c>
      <c r="I18" s="99">
        <f t="shared" si="1"/>
        <v>44926</v>
      </c>
      <c r="J18" s="158"/>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6" t="str">
        <f>HLOOKUP(INDICE!$F$2,Nombres!$C$3:$D$636,7,FALSE)</f>
        <v>España</v>
      </c>
      <c r="B19" s="41">
        <v>28777</v>
      </c>
      <c r="C19" s="41">
        <v>28673</v>
      </c>
      <c r="D19" s="41">
        <v>27387</v>
      </c>
      <c r="E19" s="41">
        <v>24843</v>
      </c>
      <c r="F19" s="41">
        <v>24797</v>
      </c>
      <c r="G19" s="41">
        <v>24995</v>
      </c>
      <c r="H19" s="41">
        <v>25676</v>
      </c>
      <c r="I19" s="41">
        <v>25945</v>
      </c>
      <c r="J19" s="115"/>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6" t="str">
        <f>HLOOKUP(INDICE!$F$2,Nombres!$C$3:$D$636,10,FALSE)</f>
        <v>EEUU</v>
      </c>
      <c r="B20" s="41">
        <v>10532</v>
      </c>
      <c r="C20" s="41">
        <v>0</v>
      </c>
      <c r="D20" s="41">
        <v>0</v>
      </c>
      <c r="E20" s="41">
        <v>0</v>
      </c>
      <c r="F20" s="41">
        <v>0</v>
      </c>
      <c r="G20" s="41">
        <v>0</v>
      </c>
      <c r="H20" s="41">
        <v>0</v>
      </c>
      <c r="I20" s="41">
        <v>0</v>
      </c>
      <c r="J20" s="115"/>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6" t="str">
        <f>HLOOKUP(INDICE!$F$2,Nombres!$C$3:$D$636,11,FALSE)</f>
        <v>México</v>
      </c>
      <c r="B21" s="41">
        <v>37444</v>
      </c>
      <c r="C21" s="41">
        <v>37127</v>
      </c>
      <c r="D21" s="41">
        <v>40183</v>
      </c>
      <c r="E21" s="41">
        <v>40243</v>
      </c>
      <c r="F21" s="41">
        <v>41139</v>
      </c>
      <c r="G21" s="41">
        <v>41477</v>
      </c>
      <c r="H21" s="41">
        <v>42362</v>
      </c>
      <c r="I21" s="41">
        <v>43511</v>
      </c>
      <c r="J21" s="115"/>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46" t="str">
        <f>HLOOKUP(INDICE!$F$2,Nombres!$C$3:$D$636,12,FALSE)</f>
        <v>Turquía </v>
      </c>
      <c r="B22" s="41">
        <v>21838</v>
      </c>
      <c r="C22" s="41">
        <v>21834</v>
      </c>
      <c r="D22" s="41">
        <v>21651</v>
      </c>
      <c r="E22" s="41">
        <v>21523</v>
      </c>
      <c r="F22" s="41">
        <v>21680</v>
      </c>
      <c r="G22" s="41">
        <v>21917</v>
      </c>
      <c r="H22" s="41">
        <v>21916</v>
      </c>
      <c r="I22" s="41">
        <v>21684</v>
      </c>
      <c r="J22" s="115"/>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46" t="str">
        <f>HLOOKUP(INDICE!$F$2,Nombres!$C$3:$D$636,13,FALSE)</f>
        <v>América del Sur </v>
      </c>
      <c r="B23" s="41">
        <v>22432</v>
      </c>
      <c r="C23" s="41">
        <v>22418</v>
      </c>
      <c r="D23" s="41">
        <v>22607</v>
      </c>
      <c r="E23" s="41">
        <v>22519</v>
      </c>
      <c r="F23" s="41">
        <v>22472</v>
      </c>
      <c r="G23" s="41">
        <v>22771</v>
      </c>
      <c r="H23" s="41">
        <v>22994</v>
      </c>
      <c r="I23" s="41">
        <v>23149</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5" t="str">
        <f>HLOOKUP(INDICE!$F$2,Nombres!$C$3:$D$636,14,FALSE)</f>
        <v>Argentina</v>
      </c>
      <c r="B24" s="44">
        <v>6017</v>
      </c>
      <c r="C24" s="44">
        <v>5937</v>
      </c>
      <c r="D24" s="44">
        <v>5887</v>
      </c>
      <c r="E24" s="44">
        <v>5852</v>
      </c>
      <c r="F24" s="44">
        <v>5847</v>
      </c>
      <c r="G24" s="44">
        <v>5815</v>
      </c>
      <c r="H24" s="44">
        <v>5849</v>
      </c>
      <c r="I24" s="44">
        <v>5869</v>
      </c>
      <c r="J24" s="54"/>
      <c r="K24" s="44"/>
      <c r="L24" s="115"/>
      <c r="M24" s="54"/>
      <c r="N24" s="26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5" t="str">
        <f>HLOOKUP(INDICE!$F$2,Nombres!$C$3:$D$636,15,FALSE)</f>
        <v>Chile</v>
      </c>
      <c r="B25" s="44">
        <v>685</v>
      </c>
      <c r="C25" s="44">
        <v>694</v>
      </c>
      <c r="D25" s="44">
        <v>704</v>
      </c>
      <c r="E25" s="44">
        <v>714</v>
      </c>
      <c r="F25" s="44">
        <v>722</v>
      </c>
      <c r="G25" s="44">
        <v>747</v>
      </c>
      <c r="H25" s="44">
        <v>779</v>
      </c>
      <c r="I25" s="44">
        <v>767</v>
      </c>
      <c r="J25" s="54"/>
      <c r="K25" s="44"/>
      <c r="L25" s="115"/>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48" t="str">
        <f>HLOOKUP(INDICE!$F$2,Nombres!$C$3:$D$636,16,FALSE)</f>
        <v>Colombia</v>
      </c>
      <c r="B26" s="44">
        <v>6482</v>
      </c>
      <c r="C26" s="44">
        <v>6564</v>
      </c>
      <c r="D26" s="44">
        <v>6671</v>
      </c>
      <c r="E26" s="44">
        <v>6741</v>
      </c>
      <c r="F26" s="44">
        <v>6826</v>
      </c>
      <c r="G26" s="44">
        <v>6950</v>
      </c>
      <c r="H26" s="44">
        <v>6871</v>
      </c>
      <c r="I26" s="44">
        <v>6678</v>
      </c>
      <c r="J26" s="54"/>
      <c r="K26" s="44"/>
      <c r="L26" s="115"/>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48" t="str">
        <f>HLOOKUP(INDICE!$F$2,Nombres!$C$3:$D$636,17,FALSE)</f>
        <v>Perú</v>
      </c>
      <c r="B27" s="44">
        <v>6217</v>
      </c>
      <c r="C27" s="44">
        <v>6266</v>
      </c>
      <c r="D27" s="44">
        <v>6433</v>
      </c>
      <c r="E27" s="44">
        <v>6394</v>
      </c>
      <c r="F27" s="44">
        <v>6290</v>
      </c>
      <c r="G27" s="44">
        <v>6514</v>
      </c>
      <c r="H27" s="44">
        <v>6696</v>
      </c>
      <c r="I27" s="44">
        <v>6985</v>
      </c>
      <c r="J27" s="54"/>
      <c r="K27" s="44"/>
      <c r="L27" s="115"/>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48" t="str">
        <f>HLOOKUP(INDICE!$F$2,Nombres!$C$3:$D$636,89,FALSE)</f>
        <v>Resto de América del Sur</v>
      </c>
      <c r="B28" s="44">
        <v>3031</v>
      </c>
      <c r="C28" s="44">
        <v>2957</v>
      </c>
      <c r="D28" s="44">
        <v>2912</v>
      </c>
      <c r="E28" s="44">
        <v>2818</v>
      </c>
      <c r="F28" s="44">
        <v>2787</v>
      </c>
      <c r="G28" s="44">
        <v>2745</v>
      </c>
      <c r="H28" s="44">
        <v>2799</v>
      </c>
      <c r="I28" s="44">
        <v>2850</v>
      </c>
      <c r="J28" s="54"/>
      <c r="K28" s="44"/>
      <c r="L28" s="115"/>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46" t="str">
        <f>HLOOKUP(INDICE!$F$2,Nombres!$C$3:$D$636,279,FALSE)</f>
        <v>Resto de geografías</v>
      </c>
      <c r="B29" s="41">
        <v>998</v>
      </c>
      <c r="C29" s="41">
        <v>1270</v>
      </c>
      <c r="D29" s="41">
        <v>1289</v>
      </c>
      <c r="E29" s="41">
        <v>1304</v>
      </c>
      <c r="F29" s="41">
        <v>1314</v>
      </c>
      <c r="G29" s="41">
        <v>1305</v>
      </c>
      <c r="H29" s="41">
        <v>1363</v>
      </c>
      <c r="I29" s="41">
        <v>1386</v>
      </c>
      <c r="J29" s="115"/>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46" t="s">
        <v>5</v>
      </c>
      <c r="B30" s="41">
        <f aca="true" t="shared" si="2" ref="B30:I30">+SUM(B19:B22,B24:B29)</f>
        <v>122021</v>
      </c>
      <c r="C30" s="41">
        <f t="shared" si="2"/>
        <v>111322</v>
      </c>
      <c r="D30" s="41">
        <f t="shared" si="2"/>
        <v>113117</v>
      </c>
      <c r="E30" s="41">
        <f t="shared" si="2"/>
        <v>110432</v>
      </c>
      <c r="F30" s="41">
        <f t="shared" si="2"/>
        <v>111402</v>
      </c>
      <c r="G30" s="41">
        <f t="shared" si="2"/>
        <v>112465</v>
      </c>
      <c r="H30" s="41">
        <f t="shared" si="2"/>
        <v>114311</v>
      </c>
      <c r="I30" s="41">
        <f t="shared" si="2"/>
        <v>115675</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56"/>
      <c r="B31" s="157">
        <v>0</v>
      </c>
      <c r="C31" s="157">
        <v>0</v>
      </c>
      <c r="D31" s="157">
        <v>0</v>
      </c>
      <c r="E31" s="157">
        <v>0</v>
      </c>
      <c r="F31" s="157">
        <v>0</v>
      </c>
      <c r="G31" s="157">
        <v>0</v>
      </c>
      <c r="H31" s="157">
        <v>0</v>
      </c>
      <c r="I31" s="157">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56"/>
      <c r="B32" s="157"/>
      <c r="C32" s="157"/>
      <c r="D32" s="157"/>
      <c r="E32" s="157"/>
      <c r="F32" s="157"/>
      <c r="G32" s="157"/>
      <c r="H32" s="157"/>
      <c r="I32" s="157"/>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45" t="str">
        <f>HLOOKUP(INDICE!$F$2,Nombres!$C$3:$D$636,125,FALSE)</f>
        <v>Cajeros automáticos</v>
      </c>
      <c r="B33" s="152"/>
      <c r="C33" s="152"/>
      <c r="D33" s="153"/>
      <c r="E33" s="153"/>
      <c r="F33" s="153"/>
      <c r="G33" s="153"/>
      <c r="H33" s="153"/>
      <c r="I33" s="153"/>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1"/>
      <c r="B34" s="99">
        <f aca="true" t="shared" si="3" ref="B34:I34">+B$2</f>
        <v>44286</v>
      </c>
      <c r="C34" s="99">
        <f t="shared" si="3"/>
        <v>44377</v>
      </c>
      <c r="D34" s="99">
        <f t="shared" si="3"/>
        <v>44469</v>
      </c>
      <c r="E34" s="99">
        <f t="shared" si="3"/>
        <v>44561</v>
      </c>
      <c r="F34" s="99">
        <f t="shared" si="3"/>
        <v>44651</v>
      </c>
      <c r="G34" s="99">
        <f t="shared" si="3"/>
        <v>44742</v>
      </c>
      <c r="H34" s="99">
        <f t="shared" si="3"/>
        <v>44834</v>
      </c>
      <c r="I34" s="99">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6" t="str">
        <f>HLOOKUP(INDICE!$F$2,Nombres!$C$3:$D$636,7,FALSE)</f>
        <v>España</v>
      </c>
      <c r="B35" s="41">
        <v>5557</v>
      </c>
      <c r="C35" s="41">
        <v>5562</v>
      </c>
      <c r="D35" s="41">
        <v>5044</v>
      </c>
      <c r="E35" s="41">
        <v>4871</v>
      </c>
      <c r="F35" s="41">
        <v>4890</v>
      </c>
      <c r="G35" s="41">
        <v>4870</v>
      </c>
      <c r="H35" s="41">
        <v>4851</v>
      </c>
      <c r="I35" s="41">
        <v>4773</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6" t="str">
        <f>HLOOKUP(INDICE!$F$2,Nombres!$C$3:$D$636,10,FALSE)</f>
        <v>EEUU</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46" t="str">
        <f>HLOOKUP(INDICE!$F$2,Nombres!$C$3:$D$636,11,FALSE)</f>
        <v>México</v>
      </c>
      <c r="B37" s="41">
        <v>12957</v>
      </c>
      <c r="C37" s="41">
        <v>13014</v>
      </c>
      <c r="D37" s="41">
        <v>13139</v>
      </c>
      <c r="E37" s="41">
        <v>13400</v>
      </c>
      <c r="F37" s="41">
        <v>13558</v>
      </c>
      <c r="G37" s="41">
        <v>13672</v>
      </c>
      <c r="H37" s="41">
        <v>13783</v>
      </c>
      <c r="I37" s="41">
        <v>14019</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46" t="str">
        <f>HLOOKUP(INDICE!$F$2,Nombres!$C$3:$D$636,12,FALSE)</f>
        <v>Turquía </v>
      </c>
      <c r="B38" s="41">
        <v>5532</v>
      </c>
      <c r="C38" s="41">
        <v>5505</v>
      </c>
      <c r="D38" s="41">
        <v>5535</v>
      </c>
      <c r="E38" s="41">
        <v>5611</v>
      </c>
      <c r="F38" s="41">
        <v>5606</v>
      </c>
      <c r="G38" s="41">
        <v>5632</v>
      </c>
      <c r="H38" s="41">
        <v>5651</v>
      </c>
      <c r="I38" s="41">
        <v>5659</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6" t="str">
        <f>HLOOKUP(INDICE!$F$2,Nombres!$C$3:$D$636,13,FALSE)</f>
        <v>América del Sur </v>
      </c>
      <c r="B39" s="41">
        <v>5307</v>
      </c>
      <c r="C39" s="41">
        <v>5144</v>
      </c>
      <c r="D39" s="41">
        <v>5179</v>
      </c>
      <c r="E39" s="41">
        <v>5243</v>
      </c>
      <c r="F39" s="41">
        <v>5302</v>
      </c>
      <c r="G39" s="41">
        <v>5307</v>
      </c>
      <c r="H39" s="41">
        <v>5314</v>
      </c>
      <c r="I39" s="41">
        <v>5334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5" t="str">
        <f>HLOOKUP(INDICE!$F$2,Nombres!$C$3:$D$636,14,FALSE)</f>
        <v>Argentina</v>
      </c>
      <c r="B40" s="44">
        <v>1714</v>
      </c>
      <c r="C40" s="44">
        <v>1703</v>
      </c>
      <c r="D40" s="44">
        <v>1704</v>
      </c>
      <c r="E40" s="44">
        <v>1707</v>
      </c>
      <c r="F40" s="44">
        <v>1708</v>
      </c>
      <c r="G40" s="44">
        <v>1707</v>
      </c>
      <c r="H40" s="44">
        <v>1704</v>
      </c>
      <c r="I40" s="44">
        <v>1703</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5" t="str">
        <f>HLOOKUP(INDICE!$F$2,Nombres!$C$3:$D$636,15,FALSE)</f>
        <v>Chile</v>
      </c>
      <c r="B41" s="44">
        <v>0</v>
      </c>
      <c r="C41" s="44">
        <v>0</v>
      </c>
      <c r="D41" s="44">
        <v>0</v>
      </c>
      <c r="E41" s="44" t="s">
        <v>520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48" t="str">
        <f>HLOOKUP(INDICE!$F$2,Nombres!$C$3:$D$636,16,FALSE)</f>
        <v>Colombia</v>
      </c>
      <c r="B42" s="44">
        <v>1326</v>
      </c>
      <c r="C42" s="44">
        <v>1329</v>
      </c>
      <c r="D42" s="44">
        <v>1368</v>
      </c>
      <c r="E42" s="44">
        <v>1415</v>
      </c>
      <c r="F42" s="44">
        <v>1451</v>
      </c>
      <c r="G42" s="44">
        <v>1457</v>
      </c>
      <c r="H42" s="44">
        <v>1485</v>
      </c>
      <c r="I42" s="44">
        <v>1495</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48" t="str">
        <f>HLOOKUP(INDICE!$F$2,Nombres!$C$3:$D$636,17,FALSE)</f>
        <v>Perú</v>
      </c>
      <c r="B43" s="44">
        <v>1927</v>
      </c>
      <c r="C43" s="44">
        <v>1893</v>
      </c>
      <c r="D43" s="44">
        <v>1889</v>
      </c>
      <c r="E43" s="44">
        <v>1903</v>
      </c>
      <c r="F43" s="44">
        <v>1916</v>
      </c>
      <c r="G43" s="44">
        <v>1916</v>
      </c>
      <c r="H43" s="44">
        <v>1898</v>
      </c>
      <c r="I43" s="44">
        <v>1909</v>
      </c>
      <c r="J43" s="31"/>
      <c r="K43" s="31"/>
      <c r="L43" s="158"/>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48" t="str">
        <f>HLOOKUP(INDICE!$F$2,Nombres!$C$3:$D$636,89,FALSE)</f>
        <v>Resto de América del Sur</v>
      </c>
      <c r="B44" s="44">
        <v>340</v>
      </c>
      <c r="C44" s="44">
        <v>219</v>
      </c>
      <c r="D44" s="44">
        <v>218</v>
      </c>
      <c r="E44" s="44">
        <v>218</v>
      </c>
      <c r="F44" s="44">
        <v>227</v>
      </c>
      <c r="G44" s="44">
        <v>227</v>
      </c>
      <c r="H44" s="44">
        <v>227</v>
      </c>
      <c r="I44" s="44">
        <v>227</v>
      </c>
      <c r="J44" s="31"/>
      <c r="K44" s="31"/>
      <c r="L44" s="158"/>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6" t="str">
        <f>HLOOKUP(INDICE!$F$2,Nombres!$C$3:$D$636,279,FALSE)</f>
        <v>Resto de geografías</v>
      </c>
      <c r="B45" s="41">
        <v>23</v>
      </c>
      <c r="C45" s="41">
        <v>23</v>
      </c>
      <c r="D45" s="41">
        <v>23</v>
      </c>
      <c r="E45" s="41">
        <v>23</v>
      </c>
      <c r="F45" s="41">
        <v>23</v>
      </c>
      <c r="G45" s="41">
        <v>23</v>
      </c>
      <c r="H45" s="41">
        <v>22</v>
      </c>
      <c r="I45" s="41">
        <v>22</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6" t="s">
        <v>5</v>
      </c>
      <c r="B46" s="41">
        <f aca="true" t="shared" si="4" ref="B46:I46">+SUM(B35:B38,B40:B45)</f>
        <v>30747</v>
      </c>
      <c r="C46" s="41">
        <f t="shared" si="4"/>
        <v>29248</v>
      </c>
      <c r="D46" s="41">
        <f t="shared" si="4"/>
        <v>28920</v>
      </c>
      <c r="E46" s="41">
        <f t="shared" si="4"/>
        <v>29148</v>
      </c>
      <c r="F46" s="41">
        <f t="shared" si="4"/>
        <v>29379</v>
      </c>
      <c r="G46" s="41">
        <f t="shared" si="4"/>
        <v>29504</v>
      </c>
      <c r="H46" s="41">
        <f t="shared" si="4"/>
        <v>29621</v>
      </c>
      <c r="I46" s="41">
        <f t="shared" si="4"/>
        <v>29807</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7"/>
      <c r="B47" s="157">
        <v>0</v>
      </c>
      <c r="C47" s="157">
        <v>0</v>
      </c>
      <c r="D47" s="157">
        <v>0</v>
      </c>
      <c r="E47" s="157">
        <v>0</v>
      </c>
      <c r="F47" s="157">
        <v>0</v>
      </c>
      <c r="G47" s="157">
        <v>0</v>
      </c>
      <c r="H47" s="157">
        <v>0</v>
      </c>
      <c r="I47" s="157">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49"/>
      <c r="B48" s="97"/>
      <c r="C48" s="97"/>
      <c r="D48" s="97"/>
      <c r="E48" s="97"/>
      <c r="F48" s="97"/>
      <c r="G48" s="97"/>
      <c r="H48" s="97"/>
      <c r="I48" s="97"/>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49"/>
      <c r="B49" s="97"/>
      <c r="C49" s="97"/>
      <c r="D49" s="97"/>
      <c r="E49" s="97"/>
      <c r="F49" s="97"/>
      <c r="G49" s="97"/>
      <c r="H49" s="97"/>
      <c r="I49" s="97"/>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7"/>
      <c r="B50" s="97"/>
      <c r="C50" s="97"/>
      <c r="D50" s="97"/>
      <c r="E50" s="97"/>
      <c r="F50" s="97"/>
      <c r="G50" s="97"/>
      <c r="H50" s="97"/>
      <c r="I50" s="97"/>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7"/>
      <c r="B51" s="97"/>
      <c r="C51" s="97"/>
      <c r="D51" s="97"/>
      <c r="E51" s="97"/>
      <c r="F51" s="97"/>
      <c r="G51" s="97"/>
      <c r="H51" s="97"/>
      <c r="I51" s="97"/>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7"/>
      <c r="B52" s="97"/>
      <c r="C52" s="97"/>
      <c r="D52" s="97"/>
      <c r="E52" s="97"/>
      <c r="F52" s="97"/>
      <c r="G52" s="97"/>
      <c r="H52" s="97"/>
      <c r="I52" s="97"/>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7"/>
      <c r="B53" s="97"/>
      <c r="C53" s="97"/>
      <c r="D53" s="97"/>
      <c r="E53" s="97"/>
      <c r="F53" s="97"/>
      <c r="G53" s="97"/>
      <c r="H53" s="97"/>
      <c r="I53" s="97"/>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7"/>
      <c r="B54" s="97"/>
      <c r="C54" s="97"/>
      <c r="D54" s="97"/>
      <c r="E54" s="97"/>
      <c r="F54" s="97"/>
      <c r="G54" s="97"/>
      <c r="H54" s="97"/>
      <c r="I54" s="9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7"/>
      <c r="B55" s="97"/>
      <c r="C55" s="97"/>
      <c r="D55" s="97"/>
      <c r="E55" s="97"/>
      <c r="F55" s="97"/>
      <c r="G55" s="97"/>
      <c r="H55" s="97"/>
      <c r="I55" s="97"/>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7"/>
      <c r="B56" s="97"/>
      <c r="C56" s="97"/>
      <c r="D56" s="97"/>
      <c r="E56" s="97"/>
      <c r="F56" s="97"/>
      <c r="G56" s="97"/>
      <c r="H56" s="97"/>
      <c r="I56" s="97"/>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7"/>
      <c r="B57" s="97"/>
      <c r="C57" s="97"/>
      <c r="D57" s="97"/>
      <c r="E57" s="97"/>
      <c r="F57" s="97"/>
      <c r="G57" s="97"/>
      <c r="H57" s="97"/>
      <c r="I57" s="97"/>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7"/>
      <c r="B58" s="97"/>
      <c r="C58" s="97"/>
      <c r="D58" s="97"/>
      <c r="E58" s="97"/>
      <c r="F58" s="97"/>
      <c r="G58" s="97"/>
      <c r="H58" s="97"/>
      <c r="I58" s="97"/>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7"/>
      <c r="B59" s="97"/>
      <c r="C59" s="97"/>
      <c r="D59" s="97"/>
      <c r="E59" s="97"/>
      <c r="F59" s="97"/>
      <c r="G59" s="97"/>
      <c r="H59" s="97"/>
      <c r="I59" s="97"/>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7"/>
      <c r="B60" s="97"/>
      <c r="C60" s="97"/>
      <c r="D60" s="97"/>
      <c r="E60" s="97"/>
      <c r="F60" s="97"/>
      <c r="G60" s="97"/>
      <c r="H60" s="97"/>
      <c r="I60" s="97"/>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391</v>
      </c>
    </row>
  </sheetData>
  <sheetProtection/>
  <conditionalFormatting sqref="B15:B16">
    <cfRule type="cellIs" priority="6" dxfId="18" operator="notEqual">
      <formula>0</formula>
    </cfRule>
  </conditionalFormatting>
  <conditionalFormatting sqref="C15:C16">
    <cfRule type="cellIs" priority="5" dxfId="18" operator="notEqual">
      <formula>0</formula>
    </cfRule>
  </conditionalFormatting>
  <conditionalFormatting sqref="D15:D16">
    <cfRule type="cellIs" priority="4" dxfId="18" operator="notEqual">
      <formula>0</formula>
    </cfRule>
  </conditionalFormatting>
  <conditionalFormatting sqref="E15:I16">
    <cfRule type="cellIs" priority="3" dxfId="18" operator="notEqual">
      <formula>0</formula>
    </cfRule>
  </conditionalFormatting>
  <conditionalFormatting sqref="B31:I32">
    <cfRule type="cellIs" priority="2" dxfId="18" operator="notEqual">
      <formula>0</formula>
    </cfRule>
  </conditionalFormatting>
  <conditionalFormatting sqref="B47:I47">
    <cfRule type="cellIs" priority="1" dxfId="18"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H7" sqref="H7"/>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2021-2022</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36"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299"/>
      <c r="D37" s="299"/>
      <c r="E37" s="299"/>
      <c r="F37" s="299"/>
      <c r="G37" s="299"/>
      <c r="H37" s="299"/>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2"/>
    </row>
    <row r="1003" ht="23.25" customHeight="1">
      <c r="A1003" s="1" t="s">
        <v>391</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7" customWidth="1"/>
    <col min="2" max="9" width="10.7109375" style="177" customWidth="1"/>
    <col min="10" max="13" width="11.57421875" style="177" customWidth="1"/>
    <col min="14" max="255" width="11.421875" style="177" customWidth="1"/>
  </cols>
  <sheetData>
    <row r="1" spans="1:9" ht="19.5">
      <c r="A1" s="93" t="str">
        <f>HLOOKUP(INDICE!$F$2,Nombres!$C$3:$D$636,171,FALSE)</f>
        <v>Diferenciales de la clientela (*)</v>
      </c>
      <c r="B1" s="176"/>
      <c r="C1" s="176"/>
      <c r="D1" s="176"/>
      <c r="E1" s="176"/>
      <c r="F1" s="176"/>
      <c r="G1" s="250"/>
      <c r="H1" s="250"/>
      <c r="I1" s="250"/>
    </row>
    <row r="2" spans="1:9" ht="19.5">
      <c r="A2" s="178" t="str">
        <f>HLOOKUP(INDICE!$F$2,Nombres!$C$3:$D$636,172,FALSE)</f>
        <v>(Porcentaje)</v>
      </c>
      <c r="B2" s="179"/>
      <c r="C2" s="179"/>
      <c r="D2" s="179"/>
      <c r="E2" s="179"/>
      <c r="F2" s="179"/>
      <c r="G2" s="180"/>
      <c r="H2" s="180"/>
      <c r="I2" s="180"/>
    </row>
    <row r="3" spans="1:9" ht="15.75">
      <c r="A3" s="180"/>
      <c r="B3" s="304">
        <f>+España!B6</f>
        <v>2021</v>
      </c>
      <c r="C3" s="304"/>
      <c r="D3" s="304"/>
      <c r="E3" s="304"/>
      <c r="F3" s="304">
        <f>+España!F6</f>
        <v>2022</v>
      </c>
      <c r="G3" s="304"/>
      <c r="H3" s="304"/>
      <c r="I3" s="304"/>
    </row>
    <row r="4" spans="1:9" ht="15.75">
      <c r="A4" s="141"/>
      <c r="B4" s="181" t="str">
        <f>HLOOKUP(INDICE!$F$2,Nombres!$C$3:$D$636,167,FALSE)</f>
        <v>1er Trim.</v>
      </c>
      <c r="C4" s="181" t="str">
        <f>HLOOKUP(INDICE!$F$2,Nombres!$C$3:$D$636,168,FALSE)</f>
        <v>2º Trim.</v>
      </c>
      <c r="D4" s="181" t="str">
        <f>HLOOKUP(INDICE!$F$2,Nombres!$C$3:$D$636,169,FALSE)</f>
        <v>3er Trim.</v>
      </c>
      <c r="E4" s="181" t="str">
        <f>HLOOKUP(INDICE!$F$2,Nombres!$C$3:$D$636,170,FALSE)</f>
        <v>4º Trim.</v>
      </c>
      <c r="F4" s="181" t="str">
        <f>HLOOKUP(INDICE!$F$2,Nombres!$C$3:$D$636,167,FALSE)</f>
        <v>1er Trim.</v>
      </c>
      <c r="G4" s="181" t="str">
        <f>HLOOKUP(INDICE!$F$2,Nombres!$C$3:$D$636,168,FALSE)</f>
        <v>2º Trim.</v>
      </c>
      <c r="H4" s="181" t="str">
        <f>HLOOKUP(INDICE!$F$2,Nombres!$C$3:$D$636,169,FALSE)</f>
        <v>3er Trim.</v>
      </c>
      <c r="I4" s="181" t="str">
        <f>HLOOKUP(INDICE!$F$2,Nombres!$C$3:$D$636,170,FALSE)</f>
        <v>4º Trim.</v>
      </c>
    </row>
    <row r="5" spans="1:9" ht="15">
      <c r="A5" s="141"/>
      <c r="B5" s="100"/>
      <c r="C5" s="100"/>
      <c r="D5" s="100"/>
      <c r="E5" s="100"/>
      <c r="F5" s="100"/>
      <c r="G5" s="180"/>
      <c r="H5" s="180"/>
      <c r="I5" s="180"/>
    </row>
    <row r="6" spans="1:30" ht="15">
      <c r="A6" s="182" t="str">
        <f>HLOOKUP(INDICE!$F$2,Nombres!$C$3:$D$636,173,FALSE)</f>
        <v>Rentabilidad de los prestamos</v>
      </c>
      <c r="B6" s="183">
        <v>0.017671795676112517</v>
      </c>
      <c r="C6" s="183">
        <v>0.017491607684414313</v>
      </c>
      <c r="D6" s="183">
        <v>0.017416715373765327</v>
      </c>
      <c r="E6" s="183">
        <v>0.017264739259598025</v>
      </c>
      <c r="F6" s="183">
        <v>0.017100471610330813</v>
      </c>
      <c r="G6" s="183">
        <v>0.0174293725158536</v>
      </c>
      <c r="H6" s="183">
        <v>0.01930581484305085</v>
      </c>
      <c r="I6" s="183">
        <v>0.02415878095690275</v>
      </c>
      <c r="J6" s="291"/>
      <c r="K6" s="283"/>
      <c r="L6" s="283"/>
      <c r="M6" s="283"/>
      <c r="O6" s="184"/>
      <c r="P6" s="184"/>
      <c r="Q6" s="184"/>
      <c r="R6" s="184"/>
      <c r="W6" s="184"/>
      <c r="X6" s="184"/>
      <c r="Y6" s="184"/>
      <c r="Z6" s="184"/>
      <c r="AA6" s="184"/>
      <c r="AB6" s="184"/>
      <c r="AC6" s="184"/>
      <c r="AD6" s="184"/>
    </row>
    <row r="7" spans="1:30" ht="15">
      <c r="A7" s="182" t="str">
        <f>HLOOKUP(INDICE!$F$2,Nombres!$C$3:$D$636,174,FALSE)</f>
        <v>Coste de los depositos</v>
      </c>
      <c r="B7" s="183">
        <v>-2.8855582289337086E-06</v>
      </c>
      <c r="C7" s="183">
        <v>6.313180380963709E-05</v>
      </c>
      <c r="D7" s="183">
        <v>5.955099791106753E-05</v>
      </c>
      <c r="E7" s="183">
        <v>4.1103154803061946E-05</v>
      </c>
      <c r="F7" s="183">
        <v>-4.121262380617316E-05</v>
      </c>
      <c r="G7" s="183">
        <v>-0.000272600466156169</v>
      </c>
      <c r="H7" s="183">
        <v>-0.0007976495198733596</v>
      </c>
      <c r="I7" s="183">
        <v>-0.0020647080722731425</v>
      </c>
      <c r="J7" s="291"/>
      <c r="K7" s="283"/>
      <c r="L7" s="283"/>
      <c r="M7" s="283"/>
      <c r="O7" s="184"/>
      <c r="P7" s="184"/>
      <c r="Q7" s="184"/>
      <c r="R7" s="184"/>
      <c r="W7" s="184"/>
      <c r="X7" s="184"/>
      <c r="Y7" s="184"/>
      <c r="Z7" s="184"/>
      <c r="AA7" s="184"/>
      <c r="AB7" s="184"/>
      <c r="AC7" s="184"/>
      <c r="AD7" s="184"/>
    </row>
    <row r="8" spans="1:30" ht="15">
      <c r="A8" s="185" t="str">
        <f>HLOOKUP(INDICE!$F$2,Nombres!$C$3:$D$636,175,FALSE)</f>
        <v>Actividad bancaria en España</v>
      </c>
      <c r="B8" s="186">
        <v>0.017668910117883584</v>
      </c>
      <c r="C8" s="186">
        <v>0.01755473948822395</v>
      </c>
      <c r="D8" s="186">
        <v>0.017476266371676395</v>
      </c>
      <c r="E8" s="186">
        <v>0.017305842414401088</v>
      </c>
      <c r="F8" s="186">
        <v>0.01705925898652464</v>
      </c>
      <c r="G8" s="186">
        <v>0.01715677204969743</v>
      </c>
      <c r="H8" s="186">
        <v>0.01850816532317749</v>
      </c>
      <c r="I8" s="186">
        <v>0.022094072884629605</v>
      </c>
      <c r="J8" s="291"/>
      <c r="K8" s="283"/>
      <c r="L8" s="283"/>
      <c r="M8" s="283"/>
      <c r="O8" s="184"/>
      <c r="P8" s="184"/>
      <c r="Q8" s="184"/>
      <c r="R8" s="184"/>
      <c r="W8" s="184"/>
      <c r="X8" s="184"/>
      <c r="Y8" s="184"/>
      <c r="Z8" s="184"/>
      <c r="AA8" s="184"/>
      <c r="AB8" s="184"/>
      <c r="AC8" s="184"/>
      <c r="AD8" s="184"/>
    </row>
    <row r="9" spans="1:30" ht="15">
      <c r="A9" s="141"/>
      <c r="B9" s="187"/>
      <c r="C9" s="187"/>
      <c r="D9" s="187"/>
      <c r="E9" s="187"/>
      <c r="F9" s="187"/>
      <c r="G9" s="187"/>
      <c r="H9" s="187"/>
      <c r="I9" s="187"/>
      <c r="O9" s="184"/>
      <c r="P9" s="184"/>
      <c r="Q9" s="184"/>
      <c r="R9" s="184"/>
      <c r="W9" s="184"/>
      <c r="X9" s="184"/>
      <c r="Y9" s="184"/>
      <c r="Z9" s="184"/>
      <c r="AA9" s="184"/>
      <c r="AB9" s="184"/>
      <c r="AC9" s="184"/>
      <c r="AD9" s="184"/>
    </row>
    <row r="10" spans="1:30" ht="15">
      <c r="A10" s="182" t="str">
        <f>HLOOKUP(INDICE!$F$2,Nombres!$C$3:$D$636,173,FALSE)</f>
        <v>Rentabilidad de los prestamos</v>
      </c>
      <c r="B10" s="183">
        <v>0.12202723800358595</v>
      </c>
      <c r="C10" s="183">
        <v>0.12105006870837849</v>
      </c>
      <c r="D10" s="183">
        <v>0.12313056053581566</v>
      </c>
      <c r="E10" s="183">
        <v>0.12486746569572679</v>
      </c>
      <c r="F10" s="183">
        <v>0.12791434793621811</v>
      </c>
      <c r="G10" s="183">
        <v>0.1330929827154512</v>
      </c>
      <c r="H10" s="183">
        <v>0.13943192250933265</v>
      </c>
      <c r="I10" s="183">
        <v>0.14564164157963333</v>
      </c>
      <c r="J10" s="291"/>
      <c r="K10" s="283"/>
      <c r="L10" s="283"/>
      <c r="M10" s="283"/>
      <c r="O10" s="184"/>
      <c r="P10" s="184"/>
      <c r="Q10" s="184"/>
      <c r="R10" s="184"/>
      <c r="W10" s="184"/>
      <c r="X10" s="184"/>
      <c r="Y10" s="184"/>
      <c r="Z10" s="184"/>
      <c r="AA10" s="184"/>
      <c r="AB10" s="184"/>
      <c r="AC10" s="184"/>
      <c r="AD10" s="184"/>
    </row>
    <row r="11" spans="1:30" ht="15">
      <c r="A11" s="182" t="str">
        <f>HLOOKUP(INDICE!$F$2,Nombres!$C$3:$D$636,174,FALSE)</f>
        <v>Coste de los depositos</v>
      </c>
      <c r="B11" s="183">
        <v>-0.01206963717892306</v>
      </c>
      <c r="C11" s="183">
        <v>-0.011008080465674414</v>
      </c>
      <c r="D11" s="183">
        <v>-0.011480515447492708</v>
      </c>
      <c r="E11" s="183">
        <v>-0.0125804918305472</v>
      </c>
      <c r="F11" s="183">
        <v>-0.01424762298179531</v>
      </c>
      <c r="G11" s="183">
        <v>-0.016749668729310278</v>
      </c>
      <c r="H11" s="183">
        <v>-0.020255336759463217</v>
      </c>
      <c r="I11" s="183">
        <v>-0.024024176866180122</v>
      </c>
      <c r="J11" s="291"/>
      <c r="K11" s="283"/>
      <c r="L11" s="283"/>
      <c r="M11" s="283"/>
      <c r="O11" s="184"/>
      <c r="P11" s="184"/>
      <c r="Q11" s="184"/>
      <c r="R11" s="184"/>
      <c r="W11" s="184"/>
      <c r="X11" s="184"/>
      <c r="Y11" s="184"/>
      <c r="Z11" s="184"/>
      <c r="AA11" s="184"/>
      <c r="AB11" s="184"/>
      <c r="AC11" s="184"/>
      <c r="AD11" s="184"/>
    </row>
    <row r="12" spans="1:30" ht="15">
      <c r="A12" s="185" t="str">
        <f>HLOOKUP(INDICE!$F$2,Nombres!$C$3:$D$636,177,FALSE)</f>
        <v>México pesos mexicanos</v>
      </c>
      <c r="B12" s="186">
        <v>0.10995760082466288</v>
      </c>
      <c r="C12" s="186">
        <v>0.11004198824270407</v>
      </c>
      <c r="D12" s="186">
        <v>0.11165004508832295</v>
      </c>
      <c r="E12" s="186">
        <v>0.11228697386517959</v>
      </c>
      <c r="F12" s="186">
        <v>0.1136667249544228</v>
      </c>
      <c r="G12" s="186">
        <v>0.11634331398614092</v>
      </c>
      <c r="H12" s="186">
        <v>0.11917658574986943</v>
      </c>
      <c r="I12" s="186">
        <v>0.12161746471345321</v>
      </c>
      <c r="J12" s="291"/>
      <c r="K12" s="283"/>
      <c r="L12" s="283"/>
      <c r="M12" s="283"/>
      <c r="O12" s="184"/>
      <c r="P12" s="184"/>
      <c r="Q12" s="184"/>
      <c r="R12" s="184"/>
      <c r="W12" s="184"/>
      <c r="X12" s="184"/>
      <c r="Y12" s="184"/>
      <c r="Z12" s="184"/>
      <c r="AA12" s="184"/>
      <c r="AB12" s="184"/>
      <c r="AC12" s="184"/>
      <c r="AD12" s="184"/>
    </row>
    <row r="13" spans="1:30" ht="15">
      <c r="A13" s="141"/>
      <c r="B13" s="187"/>
      <c r="C13" s="187"/>
      <c r="D13" s="187"/>
      <c r="E13" s="187"/>
      <c r="F13" s="187"/>
      <c r="G13" s="187"/>
      <c r="H13" s="187"/>
      <c r="I13" s="187"/>
      <c r="O13" s="184"/>
      <c r="P13" s="184"/>
      <c r="Q13" s="184"/>
      <c r="R13" s="184"/>
      <c r="W13" s="184"/>
      <c r="X13" s="184"/>
      <c r="Y13" s="184"/>
      <c r="Z13" s="184"/>
      <c r="AA13" s="184"/>
      <c r="AB13" s="184"/>
      <c r="AC13" s="184"/>
      <c r="AD13" s="184"/>
    </row>
    <row r="14" spans="1:30" ht="15">
      <c r="A14" s="182" t="str">
        <f>HLOOKUP(INDICE!$F$2,Nombres!$C$3:$D$636,173,FALSE)</f>
        <v>Rentabilidad de los prestamos</v>
      </c>
      <c r="B14" s="187">
        <v>0.030174382296457917</v>
      </c>
      <c r="C14" s="187">
        <v>0.029770912407578586</v>
      </c>
      <c r="D14" s="187">
        <v>0.02950139897040329</v>
      </c>
      <c r="E14" s="187">
        <v>0.02897582242199459</v>
      </c>
      <c r="F14" s="187">
        <v>0.02964671805327852</v>
      </c>
      <c r="G14" s="187">
        <v>0.033828643923429984</v>
      </c>
      <c r="H14" s="187">
        <v>0.043159377584270804</v>
      </c>
      <c r="I14" s="187">
        <v>0.05495092569225726</v>
      </c>
      <c r="O14" s="184"/>
      <c r="P14" s="184"/>
      <c r="Q14" s="184"/>
      <c r="R14" s="184"/>
      <c r="W14" s="184"/>
      <c r="X14" s="184"/>
      <c r="Y14" s="184"/>
      <c r="Z14" s="184"/>
      <c r="AA14" s="184"/>
      <c r="AB14" s="184"/>
      <c r="AC14" s="184"/>
      <c r="AD14" s="184"/>
    </row>
    <row r="15" spans="1:30" ht="15">
      <c r="A15" s="182" t="str">
        <f>HLOOKUP(INDICE!$F$2,Nombres!$C$3:$D$636,174,FALSE)</f>
        <v>Coste de los depositos</v>
      </c>
      <c r="B15" s="187">
        <v>-0.0002822828636173589</v>
      </c>
      <c r="C15" s="187">
        <v>-0.000212496075746828</v>
      </c>
      <c r="D15" s="187">
        <v>-0.00018936801327365524</v>
      </c>
      <c r="E15" s="187">
        <v>-0.0001902538254438967</v>
      </c>
      <c r="F15" s="187">
        <v>-0.0002230968022216293</v>
      </c>
      <c r="G15" s="187">
        <v>-0.00045790858676113456</v>
      </c>
      <c r="H15" s="187">
        <v>-0.0011847510341060005</v>
      </c>
      <c r="I15" s="187">
        <v>-0.001940562447972334</v>
      </c>
      <c r="O15" s="184"/>
      <c r="P15" s="184"/>
      <c r="Q15" s="184"/>
      <c r="R15" s="184"/>
      <c r="W15" s="184"/>
      <c r="X15" s="184"/>
      <c r="Y15" s="184"/>
      <c r="Z15" s="184"/>
      <c r="AA15" s="184"/>
      <c r="AB15" s="184"/>
      <c r="AC15" s="184"/>
      <c r="AD15" s="184"/>
    </row>
    <row r="16" spans="1:30" ht="15">
      <c r="A16" s="185" t="str">
        <f>HLOOKUP(INDICE!$F$2,Nombres!$C$3:$D$636,178,FALSE)</f>
        <v>México moneda extranjera</v>
      </c>
      <c r="B16" s="188">
        <v>0.029892099432840557</v>
      </c>
      <c r="C16" s="188">
        <v>0.029558416331831757</v>
      </c>
      <c r="D16" s="188">
        <v>0.029312030957129635</v>
      </c>
      <c r="E16" s="188">
        <v>0.028785568596550695</v>
      </c>
      <c r="F16" s="188">
        <v>0.02942362125105689</v>
      </c>
      <c r="G16" s="188">
        <v>0.03337073533666885</v>
      </c>
      <c r="H16" s="188">
        <v>0.041974626550164804</v>
      </c>
      <c r="I16" s="188">
        <v>0.05301036324428493</v>
      </c>
      <c r="O16" s="184"/>
      <c r="P16" s="184"/>
      <c r="Q16" s="184"/>
      <c r="R16" s="184"/>
      <c r="W16" s="184"/>
      <c r="X16" s="184"/>
      <c r="Y16" s="184"/>
      <c r="Z16" s="184"/>
      <c r="AA16" s="184"/>
      <c r="AB16" s="184"/>
      <c r="AC16" s="184"/>
      <c r="AD16" s="184"/>
    </row>
    <row r="17" spans="1:30" ht="15">
      <c r="A17" s="141"/>
      <c r="B17" s="187"/>
      <c r="C17" s="187"/>
      <c r="D17" s="187"/>
      <c r="E17" s="187"/>
      <c r="F17" s="187"/>
      <c r="G17" s="187"/>
      <c r="H17" s="187"/>
      <c r="I17" s="187"/>
      <c r="O17" s="184"/>
      <c r="P17" s="184"/>
      <c r="Q17" s="184"/>
      <c r="R17" s="184"/>
      <c r="W17" s="184"/>
      <c r="X17" s="184"/>
      <c r="Y17" s="184"/>
      <c r="Z17" s="184"/>
      <c r="AA17" s="184"/>
      <c r="AB17" s="184"/>
      <c r="AC17" s="184"/>
      <c r="AD17" s="184"/>
    </row>
    <row r="18" spans="1:30" ht="15">
      <c r="A18" s="182" t="str">
        <f>HLOOKUP(INDICE!$F$2,Nombres!$C$3:$D$636,173,FALSE)</f>
        <v>Rentabilidad de los prestamos</v>
      </c>
      <c r="B18" s="183">
        <v>0.14296907634056272</v>
      </c>
      <c r="C18" s="183">
        <v>0.1556028031922443</v>
      </c>
      <c r="D18" s="183">
        <v>0.1626449959832971</v>
      </c>
      <c r="E18" s="183">
        <v>0.16480238585276782</v>
      </c>
      <c r="F18" s="183">
        <v>0.17752588226577382</v>
      </c>
      <c r="G18" s="183">
        <v>0.18604372616273018</v>
      </c>
      <c r="H18" s="183">
        <v>0.20919401221665745</v>
      </c>
      <c r="I18" s="183">
        <v>0.1867422390999467</v>
      </c>
      <c r="J18" s="291"/>
      <c r="K18" s="283"/>
      <c r="L18" s="283"/>
      <c r="M18" s="283"/>
      <c r="O18" s="184"/>
      <c r="P18" s="184"/>
      <c r="Q18" s="184"/>
      <c r="R18" s="184"/>
      <c r="W18" s="184"/>
      <c r="X18" s="184"/>
      <c r="Y18" s="184"/>
      <c r="Z18" s="184"/>
      <c r="AA18" s="184"/>
      <c r="AB18" s="184"/>
      <c r="AC18" s="184"/>
      <c r="AD18" s="184"/>
    </row>
    <row r="19" spans="1:30" ht="15">
      <c r="A19" s="182" t="str">
        <f>HLOOKUP(INDICE!$F$2,Nombres!$C$3:$D$636,174,FALSE)</f>
        <v>Coste de los depositos</v>
      </c>
      <c r="B19" s="183">
        <v>-0.11751316698854768</v>
      </c>
      <c r="C19" s="183">
        <v>-0.12680247724077123</v>
      </c>
      <c r="D19" s="183">
        <v>-0.12832951194832729</v>
      </c>
      <c r="E19" s="183">
        <v>-0.11589034648448437</v>
      </c>
      <c r="F19" s="183">
        <v>-0.12530942865274364</v>
      </c>
      <c r="G19" s="183">
        <v>-0.11952532280685943</v>
      </c>
      <c r="H19" s="183">
        <v>-0.11919949601023076</v>
      </c>
      <c r="I19" s="183">
        <v>-0.11489173751727455</v>
      </c>
      <c r="J19" s="291"/>
      <c r="K19" s="283"/>
      <c r="L19" s="283"/>
      <c r="M19" s="283"/>
      <c r="O19" s="184"/>
      <c r="P19" s="184"/>
      <c r="Q19" s="184"/>
      <c r="R19" s="184"/>
      <c r="W19" s="184"/>
      <c r="X19" s="184"/>
      <c r="Y19" s="184"/>
      <c r="Z19" s="184"/>
      <c r="AA19" s="184"/>
      <c r="AB19" s="184"/>
      <c r="AC19" s="184"/>
      <c r="AD19" s="184"/>
    </row>
    <row r="20" spans="1:30" ht="15">
      <c r="A20" s="185" t="str">
        <f>HLOOKUP(INDICE!$F$2,Nombres!$C$3:$D$636,179,FALSE)</f>
        <v>Turquía liras turcas</v>
      </c>
      <c r="B20" s="186">
        <v>0.02545590935201504</v>
      </c>
      <c r="C20" s="186">
        <v>0.028800325951473055</v>
      </c>
      <c r="D20" s="186">
        <v>0.03431548403496981</v>
      </c>
      <c r="E20" s="186">
        <v>0.04891203936828345</v>
      </c>
      <c r="F20" s="186">
        <v>0.05221645361303018</v>
      </c>
      <c r="G20" s="186">
        <v>0.06651840335587075</v>
      </c>
      <c r="H20" s="186">
        <v>0.08999451620642669</v>
      </c>
      <c r="I20" s="186">
        <v>0.07185050158267214</v>
      </c>
      <c r="J20" s="291"/>
      <c r="K20" s="283"/>
      <c r="L20" s="283"/>
      <c r="M20" s="283"/>
      <c r="O20" s="184"/>
      <c r="P20" s="184"/>
      <c r="Q20" s="184"/>
      <c r="R20" s="184"/>
      <c r="W20" s="184"/>
      <c r="X20" s="184"/>
      <c r="Y20" s="184"/>
      <c r="Z20" s="184"/>
      <c r="AA20" s="184"/>
      <c r="AB20" s="184"/>
      <c r="AC20" s="184"/>
      <c r="AD20" s="184"/>
    </row>
    <row r="21" spans="1:30" ht="15">
      <c r="A21" s="185"/>
      <c r="B21" s="186"/>
      <c r="C21" s="186"/>
      <c r="D21" s="186"/>
      <c r="E21" s="186"/>
      <c r="F21" s="186"/>
      <c r="G21" s="186"/>
      <c r="H21" s="186"/>
      <c r="I21" s="186"/>
      <c r="J21" s="291"/>
      <c r="K21" s="283"/>
      <c r="L21" s="283"/>
      <c r="M21" s="283"/>
      <c r="O21" s="184"/>
      <c r="P21" s="184"/>
      <c r="Q21" s="184"/>
      <c r="R21" s="184"/>
      <c r="W21" s="184"/>
      <c r="X21" s="184"/>
      <c r="Y21" s="184"/>
      <c r="Z21" s="184"/>
      <c r="AA21" s="184"/>
      <c r="AB21" s="184"/>
      <c r="AC21" s="184"/>
      <c r="AD21" s="184"/>
    </row>
    <row r="22" spans="1:30" ht="15">
      <c r="A22" s="182" t="str">
        <f>HLOOKUP(INDICE!$F$2,Nombres!$C$3:$D$636,173,FALSE)</f>
        <v>Rentabilidad de los prestamos</v>
      </c>
      <c r="B22" s="189">
        <v>0.05017027201428375</v>
      </c>
      <c r="C22" s="189">
        <v>0.05039928855800079</v>
      </c>
      <c r="D22" s="189">
        <v>0.048929059926155205</v>
      </c>
      <c r="E22" s="189">
        <v>0.04865460905160399</v>
      </c>
      <c r="F22" s="189">
        <v>0.051878005521567495</v>
      </c>
      <c r="G22" s="189">
        <v>0.06017340203625279</v>
      </c>
      <c r="H22" s="189">
        <v>0.0710309839601613</v>
      </c>
      <c r="I22" s="189">
        <v>0.07979526521593448</v>
      </c>
      <c r="J22" s="291"/>
      <c r="K22" s="283"/>
      <c r="L22" s="283"/>
      <c r="M22" s="283"/>
      <c r="O22" s="184"/>
      <c r="P22" s="184"/>
      <c r="Q22" s="184"/>
      <c r="R22" s="184"/>
      <c r="W22" s="184"/>
      <c r="X22" s="184"/>
      <c r="Y22" s="184"/>
      <c r="Z22" s="184"/>
      <c r="AA22" s="184"/>
      <c r="AB22" s="184"/>
      <c r="AC22" s="184"/>
      <c r="AD22" s="184"/>
    </row>
    <row r="23" spans="1:30" ht="15">
      <c r="A23" s="182" t="str">
        <f>HLOOKUP(INDICE!$F$2,Nombres!$C$3:$D$636,174,FALSE)</f>
        <v>Coste de los depositos</v>
      </c>
      <c r="B23" s="189">
        <v>-0.003909204429493572</v>
      </c>
      <c r="C23" s="189">
        <v>-0.0034245561499075816</v>
      </c>
      <c r="D23" s="189">
        <v>-0.0023701396601340163</v>
      </c>
      <c r="E23" s="189">
        <v>-0.0021495394083072676</v>
      </c>
      <c r="F23" s="189">
        <v>-0.0020077497649421522</v>
      </c>
      <c r="G23" s="189">
        <v>-0.0030379782769070812</v>
      </c>
      <c r="H23" s="189">
        <v>-0.005924188647877249</v>
      </c>
      <c r="I23" s="189">
        <v>-0.004923538097256944</v>
      </c>
      <c r="J23" s="291"/>
      <c r="K23" s="283"/>
      <c r="L23" s="283"/>
      <c r="M23" s="283"/>
      <c r="O23" s="184"/>
      <c r="P23" s="184"/>
      <c r="Q23" s="184"/>
      <c r="R23" s="184"/>
      <c r="W23" s="184"/>
      <c r="X23" s="184"/>
      <c r="Y23" s="184"/>
      <c r="Z23" s="184"/>
      <c r="AA23" s="184"/>
      <c r="AB23" s="184"/>
      <c r="AC23" s="184"/>
      <c r="AD23" s="184"/>
    </row>
    <row r="24" spans="1:30" ht="15">
      <c r="A24" s="185" t="str">
        <f>HLOOKUP(INDICE!$F$2,Nombres!$C$3:$D$636,180,FALSE)</f>
        <v>Turquía moneda extranjera</v>
      </c>
      <c r="B24" s="186">
        <v>0.04626106758479018</v>
      </c>
      <c r="C24" s="186">
        <v>0.04697473240809321</v>
      </c>
      <c r="D24" s="186">
        <v>0.04655892026602119</v>
      </c>
      <c r="E24" s="186">
        <v>0.046505069643296724</v>
      </c>
      <c r="F24" s="186">
        <v>0.04987025575662534</v>
      </c>
      <c r="G24" s="186">
        <v>0.05713542375934571</v>
      </c>
      <c r="H24" s="186">
        <v>0.06510679531228405</v>
      </c>
      <c r="I24" s="186">
        <v>0.07487172711867754</v>
      </c>
      <c r="J24" s="291"/>
      <c r="K24" s="283"/>
      <c r="L24" s="283"/>
      <c r="M24" s="283"/>
      <c r="O24" s="184"/>
      <c r="P24" s="184"/>
      <c r="Q24" s="184"/>
      <c r="R24" s="184"/>
      <c r="W24" s="184"/>
      <c r="X24" s="184"/>
      <c r="Y24" s="184"/>
      <c r="Z24" s="184"/>
      <c r="AA24" s="184"/>
      <c r="AB24" s="184"/>
      <c r="AC24" s="184"/>
      <c r="AD24" s="184"/>
    </row>
    <row r="25" spans="1:30" ht="15">
      <c r="A25" s="141"/>
      <c r="B25" s="187"/>
      <c r="C25" s="187"/>
      <c r="D25" s="187"/>
      <c r="E25" s="187"/>
      <c r="F25" s="187"/>
      <c r="G25" s="187"/>
      <c r="H25" s="187"/>
      <c r="I25" s="187"/>
      <c r="O25" s="184"/>
      <c r="P25" s="184"/>
      <c r="Q25" s="184"/>
      <c r="R25" s="184"/>
      <c r="W25" s="184"/>
      <c r="X25" s="184"/>
      <c r="Y25" s="184"/>
      <c r="Z25" s="184"/>
      <c r="AA25" s="184"/>
      <c r="AB25" s="184"/>
      <c r="AC25" s="184"/>
      <c r="AD25" s="184"/>
    </row>
    <row r="26" spans="1:30" ht="15">
      <c r="A26" s="182" t="str">
        <f>HLOOKUP(INDICE!$F$2,Nombres!$C$3:$D$636,173,FALSE)</f>
        <v>Rentabilidad de los prestamos</v>
      </c>
      <c r="B26" s="183">
        <v>0.27287944816889914</v>
      </c>
      <c r="C26" s="183">
        <v>0.2545189075122043</v>
      </c>
      <c r="D26" s="183">
        <v>0.2646468795186635</v>
      </c>
      <c r="E26" s="183">
        <v>0.2743612191968006</v>
      </c>
      <c r="F26" s="183">
        <v>0.2973933995524442</v>
      </c>
      <c r="G26" s="183">
        <v>0.33132658218614175</v>
      </c>
      <c r="H26" s="183">
        <v>0.3898487710954352</v>
      </c>
      <c r="I26" s="183">
        <v>0.45825587723950134</v>
      </c>
      <c r="J26" s="291"/>
      <c r="K26" s="283"/>
      <c r="L26" s="283"/>
      <c r="M26" s="283"/>
      <c r="O26" s="184"/>
      <c r="P26" s="184"/>
      <c r="Q26" s="184"/>
      <c r="R26" s="184"/>
      <c r="W26" s="184"/>
      <c r="X26" s="184"/>
      <c r="Y26" s="184"/>
      <c r="Z26" s="184"/>
      <c r="AA26" s="184"/>
      <c r="AB26" s="184"/>
      <c r="AC26" s="184"/>
      <c r="AD26" s="184"/>
    </row>
    <row r="27" spans="1:30" ht="15">
      <c r="A27" s="182" t="str">
        <f>HLOOKUP(INDICE!$F$2,Nombres!$C$3:$D$636,174,FALSE)</f>
        <v>Coste de los depositos</v>
      </c>
      <c r="B27" s="183">
        <v>-0.11808404827847262</v>
      </c>
      <c r="C27" s="183">
        <v>-0.13245229274081424</v>
      </c>
      <c r="D27" s="183">
        <v>-0.1372979585825155</v>
      </c>
      <c r="E27" s="183">
        <v>-0.1276625198599774</v>
      </c>
      <c r="F27" s="183">
        <v>-0.14988952400084696</v>
      </c>
      <c r="G27" s="183">
        <v>-0.19459625926706398</v>
      </c>
      <c r="H27" s="183">
        <v>-0.25283613980743225</v>
      </c>
      <c r="I27" s="183">
        <v>-0.30693616527794026</v>
      </c>
      <c r="J27" s="291"/>
      <c r="K27" s="283"/>
      <c r="L27" s="283"/>
      <c r="M27" s="283"/>
      <c r="O27" s="184"/>
      <c r="P27" s="184"/>
      <c r="Q27" s="184"/>
      <c r="R27" s="184"/>
      <c r="W27" s="184"/>
      <c r="X27" s="184"/>
      <c r="Y27" s="184"/>
      <c r="Z27" s="184"/>
      <c r="AA27" s="184"/>
      <c r="AB27" s="184"/>
      <c r="AC27" s="184"/>
      <c r="AD27" s="184"/>
    </row>
    <row r="28" spans="1:30" ht="15">
      <c r="A28" s="185" t="str">
        <f>HLOOKUP(INDICE!$F$2,Nombres!$C$3:$D$636,181,FALSE)</f>
        <v>Argentina</v>
      </c>
      <c r="B28" s="190">
        <v>0.1547953998904265</v>
      </c>
      <c r="C28" s="190">
        <v>0.12206661477139005</v>
      </c>
      <c r="D28" s="190">
        <v>0.127348920936148</v>
      </c>
      <c r="E28" s="190">
        <v>0.14669869933682322</v>
      </c>
      <c r="F28" s="190">
        <v>0.14750387555159725</v>
      </c>
      <c r="G28" s="190">
        <v>0.13673032291907777</v>
      </c>
      <c r="H28" s="190">
        <v>0.13701263128800295</v>
      </c>
      <c r="I28" s="190">
        <v>0.15131971196156108</v>
      </c>
      <c r="J28" s="291"/>
      <c r="K28" s="283"/>
      <c r="L28" s="283"/>
      <c r="M28" s="283"/>
      <c r="O28" s="184"/>
      <c r="P28" s="184"/>
      <c r="Q28" s="184"/>
      <c r="R28" s="184"/>
      <c r="W28" s="184"/>
      <c r="X28" s="184"/>
      <c r="Y28" s="184"/>
      <c r="Z28" s="184"/>
      <c r="AA28" s="184"/>
      <c r="AB28" s="184"/>
      <c r="AC28" s="184"/>
      <c r="AD28" s="184"/>
    </row>
    <row r="29" spans="1:30" ht="15">
      <c r="A29" s="141"/>
      <c r="B29" s="187"/>
      <c r="C29" s="187"/>
      <c r="D29" s="187"/>
      <c r="E29" s="187"/>
      <c r="F29" s="187"/>
      <c r="G29" s="187"/>
      <c r="H29" s="187"/>
      <c r="I29" s="187"/>
      <c r="O29" s="184"/>
      <c r="P29" s="184"/>
      <c r="Q29" s="184"/>
      <c r="R29" s="184"/>
      <c r="W29" s="184"/>
      <c r="X29" s="184"/>
      <c r="Y29" s="184"/>
      <c r="Z29" s="184"/>
      <c r="AA29" s="184"/>
      <c r="AB29" s="184"/>
      <c r="AC29" s="184"/>
      <c r="AD29" s="184"/>
    </row>
    <row r="30" spans="1:30" ht="15">
      <c r="A30" s="182" t="str">
        <f>HLOOKUP(INDICE!$F$2,Nombres!$C$3:$D$636,173,FALSE)</f>
        <v>Rentabilidad de los prestamos</v>
      </c>
      <c r="B30" s="183">
        <v>0.0907840059161003</v>
      </c>
      <c r="C30" s="183">
        <v>0.08721585256993951</v>
      </c>
      <c r="D30" s="183">
        <v>0.0862644469234545</v>
      </c>
      <c r="E30" s="183">
        <v>0.08565940458006299</v>
      </c>
      <c r="F30" s="183">
        <v>0.08900064858658696</v>
      </c>
      <c r="G30" s="183">
        <v>0.09630849130574694</v>
      </c>
      <c r="H30" s="183">
        <v>0.10607812340548976</v>
      </c>
      <c r="I30" s="183">
        <v>0.11859395232300568</v>
      </c>
      <c r="J30" s="291"/>
      <c r="K30" s="283"/>
      <c r="L30" s="283"/>
      <c r="M30" s="283"/>
      <c r="O30" s="184"/>
      <c r="P30" s="184"/>
      <c r="Q30" s="184"/>
      <c r="R30" s="184"/>
      <c r="W30" s="184"/>
      <c r="X30" s="184"/>
      <c r="Y30" s="184"/>
      <c r="Z30" s="184"/>
      <c r="AA30" s="184"/>
      <c r="AB30" s="184"/>
      <c r="AC30" s="184"/>
      <c r="AD30" s="184"/>
    </row>
    <row r="31" spans="1:30" ht="15">
      <c r="A31" s="182" t="str">
        <f>HLOOKUP(INDICE!$F$2,Nombres!$C$3:$D$636,174,FALSE)</f>
        <v>Coste de los depositos</v>
      </c>
      <c r="B31" s="183">
        <v>-0.025658619101376113</v>
      </c>
      <c r="C31" s="183">
        <v>-0.024167549353759893</v>
      </c>
      <c r="D31" s="183">
        <v>-0.024142178980391872</v>
      </c>
      <c r="E31" s="183">
        <v>-0.02448387872201383</v>
      </c>
      <c r="F31" s="183">
        <v>-0.027742387054646944</v>
      </c>
      <c r="G31" s="183">
        <v>-0.038729047049828116</v>
      </c>
      <c r="H31" s="183">
        <v>-0.05369069967905554</v>
      </c>
      <c r="I31" s="183">
        <v>-0.0706086014466819</v>
      </c>
      <c r="J31" s="291"/>
      <c r="K31" s="283"/>
      <c r="L31" s="283"/>
      <c r="M31" s="283"/>
      <c r="O31" s="184"/>
      <c r="P31" s="184"/>
      <c r="Q31" s="184"/>
      <c r="R31" s="184"/>
      <c r="W31" s="184"/>
      <c r="X31" s="184"/>
      <c r="Y31" s="184"/>
      <c r="Z31" s="184"/>
      <c r="AA31" s="184"/>
      <c r="AB31" s="184"/>
      <c r="AC31" s="184"/>
      <c r="AD31" s="184"/>
    </row>
    <row r="32" spans="1:30" ht="15">
      <c r="A32" s="185" t="str">
        <f>HLOOKUP(INDICE!$F$2,Nombres!$C$3:$D$636,182,FALSE)</f>
        <v>Colombia</v>
      </c>
      <c r="B32" s="186">
        <v>0.06512538681472418</v>
      </c>
      <c r="C32" s="186">
        <v>0.06304830321617962</v>
      </c>
      <c r="D32" s="186">
        <v>0.06212226794306263</v>
      </c>
      <c r="E32" s="186">
        <v>0.06117552585804916</v>
      </c>
      <c r="F32" s="186">
        <v>0.061258261531940014</v>
      </c>
      <c r="G32" s="186">
        <v>0.05757944425591882</v>
      </c>
      <c r="H32" s="186">
        <v>0.05238742372643422</v>
      </c>
      <c r="I32" s="186">
        <v>0.047985350876323773</v>
      </c>
      <c r="J32" s="291"/>
      <c r="K32" s="283"/>
      <c r="L32" s="283"/>
      <c r="M32" s="283"/>
      <c r="O32" s="184"/>
      <c r="P32" s="184"/>
      <c r="Q32" s="184"/>
      <c r="R32" s="184"/>
      <c r="W32" s="184"/>
      <c r="X32" s="184"/>
      <c r="Y32" s="184"/>
      <c r="Z32" s="184"/>
      <c r="AA32" s="184"/>
      <c r="AB32" s="184"/>
      <c r="AC32" s="184"/>
      <c r="AD32" s="184"/>
    </row>
    <row r="33" spans="1:30" ht="15">
      <c r="A33" s="141"/>
      <c r="B33" s="187"/>
      <c r="C33" s="187"/>
      <c r="D33" s="187"/>
      <c r="E33" s="187"/>
      <c r="F33" s="187"/>
      <c r="G33" s="187"/>
      <c r="H33" s="187"/>
      <c r="I33" s="187"/>
      <c r="O33" s="184"/>
      <c r="P33" s="184"/>
      <c r="Q33" s="184"/>
      <c r="R33" s="184"/>
      <c r="W33" s="184"/>
      <c r="X33" s="184"/>
      <c r="Y33" s="184"/>
      <c r="Z33" s="184"/>
      <c r="AA33" s="184"/>
      <c r="AB33" s="184"/>
      <c r="AC33" s="184"/>
      <c r="AD33" s="184"/>
    </row>
    <row r="34" spans="1:30" ht="15">
      <c r="A34" s="182" t="str">
        <f>HLOOKUP(INDICE!$F$2,Nombres!$C$3:$D$636,173,FALSE)</f>
        <v>Rentabilidad de los prestamos</v>
      </c>
      <c r="B34" s="183">
        <v>0.05374959984534193</v>
      </c>
      <c r="C34" s="183">
        <v>0.051655784908604035</v>
      </c>
      <c r="D34" s="183">
        <v>0.054590015457192394</v>
      </c>
      <c r="E34" s="183">
        <v>0.05664259862586235</v>
      </c>
      <c r="F34" s="183">
        <v>0.05709508322320697</v>
      </c>
      <c r="G34" s="183">
        <v>0.06476962967352312</v>
      </c>
      <c r="H34" s="183">
        <v>0.07120892765189817</v>
      </c>
      <c r="I34" s="183">
        <v>0.0785218535938365</v>
      </c>
      <c r="J34" s="291"/>
      <c r="K34" s="283"/>
      <c r="L34" s="283"/>
      <c r="M34" s="283"/>
      <c r="O34" s="184"/>
      <c r="P34" s="184"/>
      <c r="Q34" s="184"/>
      <c r="R34" s="184"/>
      <c r="W34" s="184"/>
      <c r="X34" s="184"/>
      <c r="Y34" s="184"/>
      <c r="Z34" s="184"/>
      <c r="AA34" s="184"/>
      <c r="AB34" s="184"/>
      <c r="AC34" s="184"/>
      <c r="AD34" s="184"/>
    </row>
    <row r="35" spans="1:30" ht="15">
      <c r="A35" s="182" t="str">
        <f>HLOOKUP(INDICE!$F$2,Nombres!$C$3:$D$636,174,FALSE)</f>
        <v>Coste de los depositos</v>
      </c>
      <c r="B35" s="183">
        <v>-0.0032830542140836853</v>
      </c>
      <c r="C35" s="183">
        <v>-0.0025482861281171123</v>
      </c>
      <c r="D35" s="183">
        <v>-0.0023624693349372783</v>
      </c>
      <c r="E35" s="183">
        <v>-0.002570644383853652</v>
      </c>
      <c r="F35" s="183">
        <v>-0.0038206178808957826</v>
      </c>
      <c r="G35" s="183">
        <v>-0.00757246120615373</v>
      </c>
      <c r="H35" s="183">
        <v>-0.012329661745719983</v>
      </c>
      <c r="I35" s="183">
        <v>-0.016907766678212612</v>
      </c>
      <c r="J35" s="291"/>
      <c r="K35" s="283"/>
      <c r="L35" s="283"/>
      <c r="M35" s="283"/>
      <c r="O35" s="184"/>
      <c r="P35" s="184"/>
      <c r="Q35" s="184"/>
      <c r="R35" s="184"/>
      <c r="W35" s="184"/>
      <c r="X35" s="184"/>
      <c r="Y35" s="184"/>
      <c r="Z35" s="184"/>
      <c r="AA35" s="184"/>
      <c r="AB35" s="184"/>
      <c r="AC35" s="184"/>
      <c r="AD35" s="184"/>
    </row>
    <row r="36" spans="1:30" ht="15">
      <c r="A36" s="185" t="str">
        <f>HLOOKUP(INDICE!$F$2,Nombres!$C$3:$D$636,183,FALSE)</f>
        <v>Perú</v>
      </c>
      <c r="B36" s="186">
        <v>0.05046654563125824</v>
      </c>
      <c r="C36" s="186">
        <v>0.049107498780486925</v>
      </c>
      <c r="D36" s="186">
        <v>0.052227546122255115</v>
      </c>
      <c r="E36" s="186">
        <v>0.054071954242008696</v>
      </c>
      <c r="F36" s="186">
        <v>0.053274465342311186</v>
      </c>
      <c r="G36" s="186">
        <v>0.05719716846736939</v>
      </c>
      <c r="H36" s="186">
        <v>0.05887926590617818</v>
      </c>
      <c r="I36" s="186">
        <v>0.06161408691562388</v>
      </c>
      <c r="J36" s="291"/>
      <c r="K36" s="283"/>
      <c r="L36" s="283"/>
      <c r="M36" s="283"/>
      <c r="O36" s="184"/>
      <c r="P36" s="184"/>
      <c r="Q36" s="184"/>
      <c r="R36" s="184"/>
      <c r="W36" s="184"/>
      <c r="X36" s="184"/>
      <c r="Y36" s="184"/>
      <c r="Z36" s="184"/>
      <c r="AA36" s="184"/>
      <c r="AB36" s="184"/>
      <c r="AC36" s="184"/>
      <c r="AD36" s="184"/>
    </row>
    <row r="37" spans="1:30" ht="15">
      <c r="A37" s="141"/>
      <c r="B37" s="187"/>
      <c r="C37" s="187"/>
      <c r="D37" s="187"/>
      <c r="E37" s="187"/>
      <c r="F37" s="187"/>
      <c r="G37" s="187"/>
      <c r="H37" s="187"/>
      <c r="I37" s="187"/>
      <c r="O37" s="184"/>
      <c r="P37" s="184"/>
      <c r="Q37" s="184"/>
      <c r="R37" s="184"/>
      <c r="W37" s="184"/>
      <c r="X37" s="184"/>
      <c r="Y37" s="184"/>
      <c r="Z37" s="184"/>
      <c r="AA37" s="184"/>
      <c r="AB37" s="184"/>
      <c r="AC37" s="184"/>
      <c r="AD37" s="184"/>
    </row>
    <row r="38" spans="1:30" ht="15">
      <c r="A38" s="191" t="str">
        <f>HLOOKUP(INDICE!$F$2,Nombres!$C$3:$D$636,184,FALSE)</f>
        <v>(*) Diferencia entre el rendimiento de los préstamos y el coste de los depósitos de los clientes.</v>
      </c>
      <c r="B38" s="180"/>
      <c r="C38" s="180"/>
      <c r="D38" s="180"/>
      <c r="E38" s="180"/>
      <c r="F38" s="305"/>
      <c r="G38" s="305"/>
      <c r="H38" s="180"/>
      <c r="I38" s="180"/>
      <c r="O38" s="184"/>
      <c r="P38" s="184"/>
      <c r="Q38" s="184"/>
      <c r="R38" s="184"/>
      <c r="W38" s="184"/>
      <c r="X38" s="184"/>
      <c r="Y38" s="184"/>
      <c r="Z38" s="184"/>
      <c r="AA38" s="184"/>
      <c r="AB38" s="184"/>
      <c r="AC38" s="184"/>
      <c r="AD38" s="184"/>
    </row>
    <row r="39" spans="1:30" ht="15">
      <c r="A39" s="191"/>
      <c r="B39" s="180"/>
      <c r="C39" s="180"/>
      <c r="D39" s="180"/>
      <c r="E39" s="180"/>
      <c r="F39" s="180"/>
      <c r="G39" s="271"/>
      <c r="H39" s="180"/>
      <c r="I39" s="180"/>
      <c r="O39" s="184"/>
      <c r="P39" s="184"/>
      <c r="Q39" s="184"/>
      <c r="R39" s="184"/>
      <c r="W39" s="184"/>
      <c r="X39" s="184"/>
      <c r="Y39" s="184"/>
      <c r="Z39" s="184"/>
      <c r="AA39" s="184"/>
      <c r="AB39" s="184"/>
      <c r="AC39" s="184"/>
      <c r="AD39" s="184"/>
    </row>
    <row r="40" spans="1:30" ht="15">
      <c r="A40" s="191"/>
      <c r="O40" s="184"/>
      <c r="P40" s="184"/>
      <c r="Q40" s="184"/>
      <c r="R40" s="184"/>
      <c r="W40" s="184"/>
      <c r="X40" s="184"/>
      <c r="Y40" s="184"/>
      <c r="Z40" s="184"/>
      <c r="AA40" s="184"/>
      <c r="AB40" s="184"/>
      <c r="AC40" s="184"/>
      <c r="AD40" s="184"/>
    </row>
    <row r="41" spans="15:18" ht="15">
      <c r="O41" s="184"/>
      <c r="P41" s="184"/>
      <c r="Q41" s="184"/>
      <c r="R41" s="184"/>
    </row>
    <row r="996" ht="15">
      <c r="A996" t="s">
        <v>391</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3" t="str">
        <f>HLOOKUP(INDICE!$F$2,Nombres!$C$3:$D$636,161,FALSE)</f>
        <v>Tipos de cambio</v>
      </c>
      <c r="B1" s="93"/>
      <c r="C1" s="94"/>
      <c r="D1" s="94"/>
      <c r="E1" s="94"/>
      <c r="F1" s="94"/>
      <c r="G1" s="94"/>
      <c r="H1" s="94"/>
      <c r="I1" s="94"/>
      <c r="J1" s="115"/>
      <c r="K1" s="95"/>
      <c r="L1" s="95"/>
      <c r="M1" s="95"/>
      <c r="N1" s="159"/>
      <c r="O1" s="159"/>
      <c r="P1" s="159"/>
      <c r="Q1" s="159"/>
      <c r="R1" s="159"/>
      <c r="S1" s="159"/>
      <c r="T1" s="159"/>
      <c r="U1" s="159"/>
      <c r="V1" s="159"/>
      <c r="W1" s="159"/>
    </row>
    <row r="2" spans="1:13" ht="15">
      <c r="A2" s="160" t="str">
        <f>HLOOKUP(INDICE!$F$2,Nombres!$C$3:$D$636,162,FALSE)</f>
        <v>(Expresados en divisa/euro)</v>
      </c>
      <c r="B2" s="160"/>
      <c r="C2" s="161"/>
      <c r="D2" s="161"/>
      <c r="E2" s="161"/>
      <c r="F2" s="161"/>
      <c r="G2" s="161"/>
      <c r="H2" s="161"/>
      <c r="I2" s="161"/>
      <c r="J2" s="115"/>
      <c r="K2" s="95"/>
      <c r="L2" s="95"/>
      <c r="M2" s="95"/>
    </row>
    <row r="3" spans="1:9" ht="19.5">
      <c r="A3" s="162"/>
      <c r="B3" s="162"/>
      <c r="C3" s="306" t="str">
        <f>HLOOKUP(INDICE!$F$2,Nombres!$C$3:$D$636,163,FALSE)</f>
        <v>Cambios finales (*)</v>
      </c>
      <c r="D3" s="306"/>
      <c r="E3" s="306"/>
      <c r="F3" s="163"/>
      <c r="G3" s="164"/>
      <c r="H3" s="306" t="str">
        <f>HLOOKUP(INDICE!$F$2,Nombres!$C$3:$D$636,164,FALSE)</f>
        <v>Cambios medios (**)</v>
      </c>
      <c r="I3" s="306"/>
    </row>
    <row r="4" spans="1:9" ht="15.75">
      <c r="A4" s="98"/>
      <c r="B4" s="98"/>
      <c r="C4" s="75"/>
      <c r="D4" s="165" t="str">
        <f>HLOOKUP(INDICE!$F$2,Nombres!$C$3:$D$636,165,FALSE)</f>
        <v>∆% sobre</v>
      </c>
      <c r="E4" s="165" t="str">
        <f>HLOOKUP(INDICE!$F$2,Nombres!$C$3:$D$636,165,FALSE)</f>
        <v>∆% sobre</v>
      </c>
      <c r="F4" s="163"/>
      <c r="G4" s="164"/>
      <c r="H4" s="166"/>
      <c r="I4" s="165" t="str">
        <f>HLOOKUP(INDICE!$F$2,Nombres!$C$3:$D$636,165,FALSE)</f>
        <v>∆% sobre</v>
      </c>
    </row>
    <row r="5" spans="1:9" ht="15.75">
      <c r="A5" s="98"/>
      <c r="B5" s="98"/>
      <c r="C5" s="167">
        <v>44926</v>
      </c>
      <c r="D5" s="167">
        <f>DATE(YEAR(C5),MONTH(C5)-12,DAY(C5))</f>
        <v>44561</v>
      </c>
      <c r="E5" s="167">
        <v>44834</v>
      </c>
      <c r="F5" s="168"/>
      <c r="G5" s="169"/>
      <c r="H5" s="167">
        <f>+C5</f>
        <v>44926</v>
      </c>
      <c r="I5" s="170">
        <f>+D5</f>
        <v>44561</v>
      </c>
    </row>
    <row r="6" spans="1:9" ht="15">
      <c r="A6" s="59" t="str">
        <f>HLOOKUP(INDICE!$F$2,Nombres!$C$3:$D$636,152,FALSE)</f>
        <v>Peso mexicano</v>
      </c>
      <c r="B6" s="59"/>
      <c r="C6" s="171">
        <v>20.855999999982316</v>
      </c>
      <c r="D6" s="172">
        <v>0.10969505177302707</v>
      </c>
      <c r="E6" s="172">
        <v>-0.058338128107386145</v>
      </c>
      <c r="F6" s="173"/>
      <c r="G6" s="58"/>
      <c r="H6" s="171">
        <v>21.18890599999652</v>
      </c>
      <c r="I6" s="172">
        <v>0.1319206852938486</v>
      </c>
    </row>
    <row r="7" spans="1:9" ht="15">
      <c r="A7" s="59" t="str">
        <f>HLOOKUP(INDICE!$F$2,Nombres!$C$3:$D$636,153,FALSE)</f>
        <v>Dólar estadounidense</v>
      </c>
      <c r="B7" s="59"/>
      <c r="C7" s="171">
        <v>1.0666000000003848</v>
      </c>
      <c r="D7" s="172">
        <v>0.061878867428555084</v>
      </c>
      <c r="E7" s="172">
        <v>-0.08606787924272141</v>
      </c>
      <c r="F7" s="141"/>
      <c r="G7" s="58"/>
      <c r="H7" s="171">
        <v>1.053211999999649</v>
      </c>
      <c r="I7" s="172">
        <v>0.12295910035212487</v>
      </c>
    </row>
    <row r="8" spans="1:9" ht="15">
      <c r="A8" s="59" t="str">
        <f>HLOOKUP(INDICE!$F$2,Nombres!$C$3:$D$636,154,FALSE)</f>
        <v>Peso argentino</v>
      </c>
      <c r="B8" s="269" t="s">
        <v>420</v>
      </c>
      <c r="C8" s="270">
        <v>188.5144039843555</v>
      </c>
      <c r="D8" s="172">
        <v>-0.38267502355293737</v>
      </c>
      <c r="E8" s="172">
        <v>-0.23940383884943595</v>
      </c>
      <c r="F8" s="141"/>
      <c r="G8" s="58"/>
      <c r="H8" s="266" t="s">
        <v>413</v>
      </c>
      <c r="I8" s="266" t="s">
        <v>413</v>
      </c>
    </row>
    <row r="9" spans="1:9" ht="15">
      <c r="A9" s="59" t="str">
        <f>HLOOKUP(INDICE!$F$2,Nombres!$C$3:$D$636,155,FALSE)</f>
        <v>Peso chileno</v>
      </c>
      <c r="B9" s="59"/>
      <c r="C9" s="171">
        <v>916.753366248</v>
      </c>
      <c r="D9" s="172">
        <v>0.04356954592169626</v>
      </c>
      <c r="E9" s="172">
        <v>0.027164812718634357</v>
      </c>
      <c r="F9" s="141"/>
      <c r="G9" s="58"/>
      <c r="H9" s="171">
        <v>917.6934964032829</v>
      </c>
      <c r="I9" s="172">
        <v>-0.02170154717839501</v>
      </c>
    </row>
    <row r="10" spans="1:9" ht="15">
      <c r="A10" s="59" t="str">
        <f>HLOOKUP(INDICE!$F$2,Nombres!$C$3:$D$636,156,FALSE)</f>
        <v>Peso colombiano</v>
      </c>
      <c r="B10" s="59"/>
      <c r="C10" s="171">
        <v>5130.559318236501</v>
      </c>
      <c r="D10" s="172">
        <v>-0.12113640135671533</v>
      </c>
      <c r="E10" s="172">
        <v>-0.13891223900674932</v>
      </c>
      <c r="F10" s="141"/>
      <c r="G10" s="58"/>
      <c r="H10" s="171">
        <v>4469.078781327444</v>
      </c>
      <c r="I10" s="172">
        <v>-0.009334745478516648</v>
      </c>
    </row>
    <row r="11" spans="1:9" ht="15">
      <c r="A11" s="59" t="str">
        <f>HLOOKUP(INDICE!$F$2,Nombres!$C$3:$D$636,157,FALSE)</f>
        <v>Sol peruano</v>
      </c>
      <c r="B11" s="59"/>
      <c r="C11" s="171">
        <v>4.057239999998606</v>
      </c>
      <c r="D11" s="172">
        <v>0.11022838185526451</v>
      </c>
      <c r="E11" s="172">
        <v>-0.0460643195874858</v>
      </c>
      <c r="F11" s="141"/>
      <c r="G11" s="58"/>
      <c r="H11" s="171">
        <v>4.030922999998304</v>
      </c>
      <c r="I11" s="172">
        <v>0.13788975875012288</v>
      </c>
    </row>
    <row r="12" spans="1:9" ht="15">
      <c r="A12" s="59" t="str">
        <f>HLOOKUP(INDICE!$F$2,Nombres!$C$3:$D$636,158,FALSE)</f>
        <v>Lira turca</v>
      </c>
      <c r="B12" s="269" t="s">
        <v>420</v>
      </c>
      <c r="C12" s="171">
        <v>19.964899999998945</v>
      </c>
      <c r="D12" s="172">
        <v>-0.2369859102748545</v>
      </c>
      <c r="E12" s="172">
        <v>-0.09420533034966072</v>
      </c>
      <c r="F12" s="141"/>
      <c r="G12" s="58"/>
      <c r="H12" s="266" t="s">
        <v>413</v>
      </c>
      <c r="I12" s="266" t="s">
        <v>413</v>
      </c>
    </row>
    <row r="13" spans="1:9" ht="15">
      <c r="A13" s="97"/>
      <c r="B13" s="97"/>
      <c r="D13" s="174"/>
      <c r="E13" s="174"/>
      <c r="F13" s="174"/>
      <c r="G13" s="174"/>
      <c r="H13" s="97"/>
      <c r="I13" s="97"/>
    </row>
    <row r="14" spans="1:9" ht="15">
      <c r="A14" s="97"/>
      <c r="B14" s="97"/>
      <c r="C14" s="175"/>
      <c r="D14" s="174"/>
      <c r="E14" s="174"/>
      <c r="F14" s="174"/>
      <c r="G14" s="174"/>
      <c r="H14" s="97"/>
      <c r="I14" s="97"/>
    </row>
    <row r="15" spans="1:9" ht="15">
      <c r="A15" s="114" t="str">
        <f>HLOOKUP(INDICE!$F$2,Nombres!$C$3:$D$636,159,FALSE)</f>
        <v>(*) Utilizados en el cálculo de euros constantes de los datos de balance y actividad</v>
      </c>
      <c r="B15" s="114"/>
      <c r="C15" s="125"/>
      <c r="D15" s="125"/>
      <c r="E15" s="125"/>
      <c r="F15" s="174"/>
      <c r="G15" s="174"/>
      <c r="H15" s="97"/>
      <c r="I15" s="97"/>
    </row>
    <row r="16" spans="1:9" ht="15">
      <c r="A16" s="114" t="str">
        <f>HLOOKUP(INDICE!$F$2,Nombres!$C$3:$D$636,160,FALSE)</f>
        <v>(**) Utilizados en el cálculo de euros constantes de los datos de resultados</v>
      </c>
      <c r="B16" s="114"/>
      <c r="C16" s="125"/>
      <c r="D16" s="125"/>
      <c r="E16" s="125"/>
      <c r="F16" s="174"/>
      <c r="G16" s="174"/>
      <c r="H16" s="97"/>
      <c r="I16" s="97"/>
    </row>
    <row r="17" ht="15">
      <c r="A17" s="114"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4"/>
    </row>
    <row r="25" spans="3:5" ht="15">
      <c r="C25" s="292"/>
      <c r="D25" s="292"/>
      <c r="E25" s="292"/>
    </row>
    <row r="27" ht="15">
      <c r="E27" s="292"/>
    </row>
    <row r="1000" ht="15">
      <c r="A1000" t="s">
        <v>391</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5" customWidth="1"/>
    <col min="2" max="2" width="13.57421875" style="205" bestFit="1" customWidth="1"/>
    <col min="3" max="4" width="11.421875" style="205" customWidth="1"/>
    <col min="5" max="5" width="11.7109375" style="205" bestFit="1" customWidth="1"/>
    <col min="6" max="9" width="11.421875" style="205" customWidth="1"/>
    <col min="10" max="10" width="4.7109375" style="204" customWidth="1"/>
    <col min="11" max="11" width="11.421875" style="205" customWidth="1"/>
    <col min="12" max="12" width="11.7109375" style="205" bestFit="1" customWidth="1"/>
    <col min="13" max="16384" width="11.421875" style="205" customWidth="1"/>
  </cols>
  <sheetData>
    <row r="1" spans="1:12" ht="18">
      <c r="A1" s="202" t="str">
        <f>HLOOKUP(INDICE!$F$2,Nombres!$C$3:$D$636,113,FALSE)</f>
        <v>Desglose del crédito no dudoso en gestión</v>
      </c>
      <c r="B1" s="203"/>
      <c r="C1" s="203"/>
      <c r="D1" s="203"/>
      <c r="E1" s="203"/>
      <c r="F1" s="203"/>
      <c r="G1" s="203"/>
      <c r="H1" s="203"/>
      <c r="I1" s="203"/>
      <c r="L1" s="206"/>
    </row>
    <row r="2" spans="1:12" ht="15.75">
      <c r="A2" s="207" t="str">
        <f>HLOOKUP(INDICE!$F$2,Nombres!$C$3:$D$636,73,FALSE)</f>
        <v>(Millones de euros constantes)</v>
      </c>
      <c r="B2" s="206"/>
      <c r="C2" s="206"/>
      <c r="D2" s="206"/>
      <c r="E2" s="206"/>
      <c r="F2" s="206"/>
      <c r="L2" s="206"/>
    </row>
    <row r="3" spans="1:12" ht="15.75">
      <c r="A3" s="208"/>
      <c r="B3" s="206"/>
      <c r="C3" s="206"/>
      <c r="D3" s="206"/>
      <c r="E3" s="206"/>
      <c r="F3" s="206"/>
      <c r="L3" s="206"/>
    </row>
    <row r="4" spans="1:9" ht="15.75" customHeight="1">
      <c r="A4" s="209"/>
      <c r="B4" s="307" t="str">
        <f>HLOOKUP(INDICE!$F$2,Nombres!$C$3:$D$636,7,FALSE)</f>
        <v>España</v>
      </c>
      <c r="C4" s="307"/>
      <c r="D4" s="307"/>
      <c r="E4" s="307"/>
      <c r="F4" s="307"/>
      <c r="G4" s="307"/>
      <c r="H4" s="307"/>
      <c r="I4" s="307"/>
    </row>
    <row r="5" spans="1:12" ht="15.75">
      <c r="A5" s="210"/>
      <c r="B5" s="118">
        <f>+España!B32</f>
        <v>44286</v>
      </c>
      <c r="C5" s="118">
        <f>+España!C32</f>
        <v>44377</v>
      </c>
      <c r="D5" s="118">
        <f>+España!D32</f>
        <v>44469</v>
      </c>
      <c r="E5" s="118">
        <f>+España!E32</f>
        <v>44561</v>
      </c>
      <c r="F5" s="118">
        <f>+España!F32</f>
        <v>44651</v>
      </c>
      <c r="G5" s="118">
        <f>+España!G32</f>
        <v>44742</v>
      </c>
      <c r="H5" s="118">
        <f>+España!H32</f>
        <v>44834</v>
      </c>
      <c r="I5" s="118">
        <f>+España!I32</f>
        <v>44926</v>
      </c>
      <c r="L5" s="118"/>
    </row>
    <row r="6" spans="1:14" ht="15">
      <c r="A6" s="211" t="str">
        <f>HLOOKUP(INDICE!$F$2,Nombres!$C$3:$D$636,209,FALSE)</f>
        <v>Hipotecario</v>
      </c>
      <c r="B6" s="212">
        <v>69627.90255</v>
      </c>
      <c r="C6" s="212">
        <v>69670.178127</v>
      </c>
      <c r="D6" s="212">
        <v>69522.5832</v>
      </c>
      <c r="E6" s="212">
        <v>69478.950925</v>
      </c>
      <c r="F6" s="212">
        <v>69407.809482</v>
      </c>
      <c r="G6" s="212">
        <v>68619.457928</v>
      </c>
      <c r="H6" s="212">
        <v>67591.858029</v>
      </c>
      <c r="I6" s="212">
        <v>67379.29695100001</v>
      </c>
      <c r="L6" s="212"/>
      <c r="N6" s="261"/>
    </row>
    <row r="7" spans="1:14" ht="15">
      <c r="A7" s="211" t="str">
        <f>HLOOKUP(INDICE!$F$2,Nombres!$C$3:$D$636,210,FALSE)</f>
        <v>Consumo  y tarjetas de Credito</v>
      </c>
      <c r="B7" s="212">
        <v>13943.287111</v>
      </c>
      <c r="C7" s="212">
        <v>14549.699296</v>
      </c>
      <c r="D7" s="212">
        <v>14789.349513000001</v>
      </c>
      <c r="E7" s="212">
        <v>15178.645015000002</v>
      </c>
      <c r="F7" s="212">
        <v>15277.776342000001</v>
      </c>
      <c r="G7" s="212">
        <v>15794.411383000002</v>
      </c>
      <c r="H7" s="212">
        <v>16008.690613</v>
      </c>
      <c r="I7" s="212">
        <v>16553.757134</v>
      </c>
      <c r="J7" s="293"/>
      <c r="L7" s="212"/>
      <c r="N7" s="261"/>
    </row>
    <row r="8" spans="1:14" ht="15">
      <c r="A8" s="211" t="str">
        <f>HLOOKUP(INDICE!$F$2,Nombres!$C$3:$D$636,211,FALSE)</f>
        <v>Negocios retail</v>
      </c>
      <c r="B8" s="212">
        <v>15357.717637</v>
      </c>
      <c r="C8" s="212">
        <v>15370.643759999999</v>
      </c>
      <c r="D8" s="212">
        <v>15362.27056</v>
      </c>
      <c r="E8" s="212">
        <v>15518.812504999998</v>
      </c>
      <c r="F8" s="212">
        <v>15713.614394000004</v>
      </c>
      <c r="G8" s="212">
        <v>15950.685474999998</v>
      </c>
      <c r="H8" s="212">
        <v>15883.079531999998</v>
      </c>
      <c r="I8" s="212">
        <v>15701.536307000002</v>
      </c>
      <c r="J8" s="293"/>
      <c r="L8" s="212"/>
      <c r="N8" s="261"/>
    </row>
    <row r="9" spans="1:14" ht="15">
      <c r="A9" s="211" t="str">
        <f>HLOOKUP(INDICE!$F$2,Nombres!$C$3:$D$636,212,FALSE)</f>
        <v>Empresas medianas</v>
      </c>
      <c r="B9" s="212">
        <v>18358.452911</v>
      </c>
      <c r="C9" s="212">
        <v>18984.634033</v>
      </c>
      <c r="D9" s="212">
        <v>19328.344112</v>
      </c>
      <c r="E9" s="212">
        <v>20049.488617999996</v>
      </c>
      <c r="F9" s="212">
        <v>20906.228528</v>
      </c>
      <c r="G9" s="212">
        <v>21582.222315000003</v>
      </c>
      <c r="H9" s="212">
        <v>21958.593169</v>
      </c>
      <c r="I9" s="212">
        <v>22260.690765000003</v>
      </c>
      <c r="J9" s="293"/>
      <c r="L9" s="212"/>
      <c r="N9" s="261"/>
    </row>
    <row r="10" spans="1:14" ht="15">
      <c r="A10" s="211" t="str">
        <f>HLOOKUP(INDICE!$F$2,Nombres!$C$3:$D$636,213,FALSE)</f>
        <v>Corporativa + CIB</v>
      </c>
      <c r="B10" s="212">
        <v>23286.409966</v>
      </c>
      <c r="C10" s="212">
        <v>22899.869162</v>
      </c>
      <c r="D10" s="212">
        <v>22789.49358037</v>
      </c>
      <c r="E10" s="212">
        <v>24100.984218</v>
      </c>
      <c r="F10" s="212">
        <v>24253.373602000003</v>
      </c>
      <c r="G10" s="212">
        <v>25102.938454000003</v>
      </c>
      <c r="H10" s="212">
        <v>27163.054120999997</v>
      </c>
      <c r="I10" s="212">
        <v>26119.772457</v>
      </c>
      <c r="L10" s="212"/>
      <c r="N10" s="261"/>
    </row>
    <row r="11" spans="1:14" ht="15">
      <c r="A11" s="211" t="str">
        <f>HLOOKUP(INDICE!$F$2,Nombres!$C$3:$D$636,214,FALSE)</f>
        <v>Sector público</v>
      </c>
      <c r="B11" s="212">
        <v>13792.066191999998</v>
      </c>
      <c r="C11" s="212">
        <v>15820.083642999998</v>
      </c>
      <c r="D11" s="212">
        <v>13945.046287</v>
      </c>
      <c r="E11" s="212">
        <v>13631.872726999998</v>
      </c>
      <c r="F11" s="212">
        <v>13377.211038999998</v>
      </c>
      <c r="G11" s="212">
        <v>14964.181887000002</v>
      </c>
      <c r="H11" s="212">
        <v>13062.874635</v>
      </c>
      <c r="I11" s="212">
        <v>13060.760140999999</v>
      </c>
      <c r="L11" s="212"/>
      <c r="N11" s="261"/>
    </row>
    <row r="12" spans="1:14" ht="15.75" customHeight="1">
      <c r="A12" s="211" t="str">
        <f>HLOOKUP(INDICE!$F$2,Nombres!$C$3:$D$636,215,FALSE)</f>
        <v>Otros</v>
      </c>
      <c r="B12" s="212">
        <v>9123.19071299998</v>
      </c>
      <c r="C12" s="212">
        <v>9938.73175499999</v>
      </c>
      <c r="D12" s="212">
        <v>10129.211839999994</v>
      </c>
      <c r="E12" s="212">
        <v>10275.935511999998</v>
      </c>
      <c r="F12" s="212">
        <v>10158.67316299998</v>
      </c>
      <c r="G12" s="212">
        <v>11253.91275800001</v>
      </c>
      <c r="H12" s="212">
        <v>11791.97322500001</v>
      </c>
      <c r="I12" s="212">
        <v>10192.572981000016</v>
      </c>
      <c r="L12" s="212"/>
      <c r="N12" s="261"/>
    </row>
    <row r="13" spans="1:14" ht="15">
      <c r="A13" s="213" t="str">
        <f>HLOOKUP(INDICE!$F$2,Nombres!$C$3:$D$636,112,FALSE)</f>
        <v>Crédito no dudoso en gestión (*)</v>
      </c>
      <c r="B13" s="214">
        <v>163489.02707999997</v>
      </c>
      <c r="C13" s="214">
        <v>167233.83977599998</v>
      </c>
      <c r="D13" s="214">
        <v>165866.29909237</v>
      </c>
      <c r="E13" s="214">
        <v>168234.68951999999</v>
      </c>
      <c r="F13" s="214">
        <v>169094.68654999995</v>
      </c>
      <c r="G13" s="214">
        <v>173267.81020000004</v>
      </c>
      <c r="H13" s="214">
        <v>173460.12332400004</v>
      </c>
      <c r="I13" s="214">
        <v>171268.38673600004</v>
      </c>
      <c r="L13" s="213"/>
      <c r="N13" s="261"/>
    </row>
    <row r="14" spans="1:14" ht="15.75">
      <c r="A14" s="206"/>
      <c r="B14" s="215">
        <f>+SUM(B6:B12)-B13</f>
        <v>0</v>
      </c>
      <c r="C14" s="215">
        <f aca="true" t="shared" si="0" ref="C14:I14">+SUM(C6:C12)-C13</f>
        <v>0</v>
      </c>
      <c r="D14" s="215">
        <f t="shared" si="0"/>
        <v>0</v>
      </c>
      <c r="E14" s="215">
        <f t="shared" si="0"/>
        <v>0</v>
      </c>
      <c r="F14" s="215">
        <f t="shared" si="0"/>
        <v>0</v>
      </c>
      <c r="G14" s="215">
        <f t="shared" si="0"/>
        <v>0</v>
      </c>
      <c r="H14" s="215">
        <f t="shared" si="0"/>
        <v>0</v>
      </c>
      <c r="I14" s="215">
        <f t="shared" si="0"/>
        <v>0</v>
      </c>
      <c r="L14" s="216"/>
      <c r="N14" s="261"/>
    </row>
    <row r="15" spans="1:14" ht="15">
      <c r="A15" s="294"/>
      <c r="B15" s="212"/>
      <c r="C15" s="212"/>
      <c r="D15" s="212"/>
      <c r="E15" s="212"/>
      <c r="F15" s="212"/>
      <c r="G15" s="212"/>
      <c r="H15" s="212"/>
      <c r="I15" s="212"/>
      <c r="L15" s="212"/>
      <c r="N15" s="261"/>
    </row>
    <row r="16" spans="1:12" ht="15.75">
      <c r="A16" s="206"/>
      <c r="B16" s="217"/>
      <c r="C16" s="217"/>
      <c r="D16" s="217"/>
      <c r="E16" s="217"/>
      <c r="F16" s="217"/>
      <c r="L16" s="217"/>
    </row>
    <row r="17" spans="1:12" ht="15.75">
      <c r="A17" s="209"/>
      <c r="B17" s="307" t="str">
        <f>HLOOKUP(INDICE!$F$2,Nombres!$C$3:$D$636,204,FALSE)</f>
        <v>Mexico (***)</v>
      </c>
      <c r="C17" s="307"/>
      <c r="D17" s="307"/>
      <c r="E17" s="307"/>
      <c r="F17" s="307"/>
      <c r="G17" s="307"/>
      <c r="H17" s="307"/>
      <c r="I17" s="307"/>
      <c r="L17" s="220"/>
    </row>
    <row r="18" spans="1:12" ht="15.75">
      <c r="A18" s="210"/>
      <c r="B18" s="118">
        <f>+B$5</f>
        <v>44286</v>
      </c>
      <c r="C18" s="118">
        <f aca="true" t="shared" si="1" ref="C18:I18">+C$5</f>
        <v>44377</v>
      </c>
      <c r="D18" s="118">
        <f t="shared" si="1"/>
        <v>44469</v>
      </c>
      <c r="E18" s="118">
        <f t="shared" si="1"/>
        <v>44561</v>
      </c>
      <c r="F18" s="118">
        <f t="shared" si="1"/>
        <v>44651</v>
      </c>
      <c r="G18" s="118">
        <f t="shared" si="1"/>
        <v>44742</v>
      </c>
      <c r="H18" s="118">
        <f t="shared" si="1"/>
        <v>44834</v>
      </c>
      <c r="I18" s="118">
        <f t="shared" si="1"/>
        <v>44926</v>
      </c>
      <c r="L18" s="53"/>
    </row>
    <row r="19" spans="1:14" ht="15">
      <c r="A19" s="211" t="str">
        <f>HLOOKUP(INDICE!$F$2,Nombres!$C$3:$D$636,105,FALSE)</f>
        <v>Hipotecario</v>
      </c>
      <c r="B19" s="212">
        <v>12103.505096042532</v>
      </c>
      <c r="C19" s="212">
        <v>12368.591829419951</v>
      </c>
      <c r="D19" s="212">
        <v>12680.253043752276</v>
      </c>
      <c r="E19" s="212">
        <v>13068.037974694626</v>
      </c>
      <c r="F19" s="212">
        <v>13417.353511462767</v>
      </c>
      <c r="G19" s="212">
        <v>13858.74329628222</v>
      </c>
      <c r="H19" s="212">
        <v>14233.68647598448</v>
      </c>
      <c r="I19" s="212">
        <v>14533.166833203692</v>
      </c>
      <c r="L19" s="212"/>
      <c r="N19" s="261"/>
    </row>
    <row r="20" spans="1:14" ht="15">
      <c r="A20" s="211" t="str">
        <f>HLOOKUP(INDICE!$F$2,Nombres!$C$3:$D$636,106,FALSE)</f>
        <v>Consumo</v>
      </c>
      <c r="B20" s="212">
        <v>8548.868676854194</v>
      </c>
      <c r="C20" s="212">
        <v>8649.189195022209</v>
      </c>
      <c r="D20" s="212">
        <v>8840.57515215844</v>
      </c>
      <c r="E20" s="212">
        <v>8920.598388960383</v>
      </c>
      <c r="F20" s="212">
        <v>9277.680219380252</v>
      </c>
      <c r="G20" s="212">
        <v>9657.51580531345</v>
      </c>
      <c r="H20" s="212">
        <v>10103.805733186227</v>
      </c>
      <c r="I20" s="212">
        <v>10351.482611717936</v>
      </c>
      <c r="L20" s="212"/>
      <c r="N20" s="261"/>
    </row>
    <row r="21" spans="1:14" ht="15.75" customHeight="1">
      <c r="A21" s="211" t="str">
        <f>HLOOKUP(INDICE!$F$2,Nombres!$C$3:$D$636,107,FALSE)</f>
        <v>Tarjetas de Crédito</v>
      </c>
      <c r="B21" s="212">
        <v>4863.726315480721</v>
      </c>
      <c r="C21" s="212">
        <v>5099.37478882864</v>
      </c>
      <c r="D21" s="212">
        <v>5294.643573567487</v>
      </c>
      <c r="E21" s="212">
        <v>5678.365937864423</v>
      </c>
      <c r="F21" s="212">
        <v>5717.440100233075</v>
      </c>
      <c r="G21" s="212">
        <v>6024.038090959266</v>
      </c>
      <c r="H21" s="212">
        <v>6291.738624226655</v>
      </c>
      <c r="I21" s="212">
        <v>6855.43191556057</v>
      </c>
      <c r="L21" s="212"/>
      <c r="N21" s="261"/>
    </row>
    <row r="22" spans="1:14" ht="15">
      <c r="A22" s="211" t="str">
        <f>HLOOKUP(INDICE!$F$2,Nombres!$C$3:$D$636,110,FALSE)</f>
        <v>Pymes</v>
      </c>
      <c r="B22" s="212">
        <v>3404.4332818108273</v>
      </c>
      <c r="C22" s="212">
        <v>3589.5929185795258</v>
      </c>
      <c r="D22" s="212">
        <v>3752.6317036650926</v>
      </c>
      <c r="E22" s="212">
        <v>3810.2704257799855</v>
      </c>
      <c r="F22" s="212">
        <v>4076.587230165527</v>
      </c>
      <c r="G22" s="212">
        <v>4230.4957101244345</v>
      </c>
      <c r="H22" s="212">
        <v>4445.57942991644</v>
      </c>
      <c r="I22" s="212">
        <v>4558.7384291780045</v>
      </c>
      <c r="L22" s="212"/>
      <c r="N22" s="261"/>
    </row>
    <row r="23" spans="1:14" ht="15">
      <c r="A23" s="211" t="str">
        <f>HLOOKUP(INDICE!$F$2,Nombres!$C$3:$D$636,216,FALSE)</f>
        <v>Resto Minorista</v>
      </c>
      <c r="B23" s="212">
        <v>82.48187079312635</v>
      </c>
      <c r="C23" s="212">
        <v>82.44603420461682</v>
      </c>
      <c r="D23" s="212">
        <v>82.40498033474326</v>
      </c>
      <c r="E23" s="212">
        <v>82.47027234375999</v>
      </c>
      <c r="F23" s="212">
        <v>82.41264917920411</v>
      </c>
      <c r="G23" s="212">
        <v>82.47205609328945</v>
      </c>
      <c r="H23" s="212">
        <v>82.40066909177368</v>
      </c>
      <c r="I23" s="212">
        <v>85.67226993726494</v>
      </c>
      <c r="L23" s="212"/>
      <c r="N23" s="261"/>
    </row>
    <row r="24" spans="1:14" ht="15">
      <c r="A24" s="211" t="str">
        <f>HLOOKUP(INDICE!$F$2,Nombres!$C$3:$D$636,217,FALSE)</f>
        <v>Resto Empresas</v>
      </c>
      <c r="B24" s="212">
        <v>24870.06498331843</v>
      </c>
      <c r="C24" s="212">
        <v>24371.686984832053</v>
      </c>
      <c r="D24" s="212">
        <v>24179.693744510252</v>
      </c>
      <c r="E24" s="212">
        <v>24968.35443040092</v>
      </c>
      <c r="F24" s="212">
        <v>26294.739222585053</v>
      </c>
      <c r="G24" s="212">
        <v>28026.03925323266</v>
      </c>
      <c r="H24" s="212">
        <v>28775.663275994597</v>
      </c>
      <c r="I24" s="212">
        <v>29282.424426667247</v>
      </c>
      <c r="L24" s="212"/>
      <c r="N24" s="261"/>
    </row>
    <row r="25" spans="1:14" ht="15">
      <c r="A25" s="211" t="str">
        <f>HLOOKUP(INDICE!$F$2,Nombres!$C$3:$D$636,108,FALSE)</f>
        <v>Sector público</v>
      </c>
      <c r="B25" s="212">
        <v>5356.595080420001</v>
      </c>
      <c r="C25" s="212">
        <v>5429.446028614392</v>
      </c>
      <c r="D25" s="212">
        <v>5535.883937221547</v>
      </c>
      <c r="E25" s="212">
        <v>5653.0974300009575</v>
      </c>
      <c r="F25" s="212">
        <v>5609.123600207606</v>
      </c>
      <c r="G25" s="212">
        <v>5613.996276248306</v>
      </c>
      <c r="H25" s="212">
        <v>5577.456731579496</v>
      </c>
      <c r="I25" s="212">
        <v>6158.840570577294</v>
      </c>
      <c r="L25" s="212"/>
      <c r="N25" s="261"/>
    </row>
    <row r="26" spans="1:14" ht="15">
      <c r="A26" s="213" t="str">
        <f>HLOOKUP(INDICE!$F$2,Nombres!$C$3:$D$636,112,FALSE)</f>
        <v>Crédito no dudoso en gestión (*)</v>
      </c>
      <c r="B26" s="214">
        <v>59229.67530471983</v>
      </c>
      <c r="C26" s="214">
        <v>59590.32777950139</v>
      </c>
      <c r="D26" s="214">
        <v>60366.086135209836</v>
      </c>
      <c r="E26" s="214">
        <v>62181.19486004505</v>
      </c>
      <c r="F26" s="214">
        <v>64475.336533213485</v>
      </c>
      <c r="G26" s="214">
        <v>67493.30048825362</v>
      </c>
      <c r="H26" s="214">
        <v>69510.33093997967</v>
      </c>
      <c r="I26" s="214">
        <v>71825.757056842</v>
      </c>
      <c r="J26" s="285"/>
      <c r="L26" s="218"/>
      <c r="N26" s="261"/>
    </row>
    <row r="27" spans="1:14" ht="15.75">
      <c r="A27" s="221" t="str">
        <f>HLOOKUP(INDICE!$F$2,Nombres!$C$3:$D$636,205,FALSE)</f>
        <v>Criterio Local Contable(***) </v>
      </c>
      <c r="B27" s="215">
        <f>+SUM(B19:B25)-B26</f>
        <v>0</v>
      </c>
      <c r="C27" s="215">
        <f aca="true" t="shared" si="2" ref="C27:I27">+SUM(C19:C25)-C26</f>
        <v>0</v>
      </c>
      <c r="D27" s="215">
        <f t="shared" si="2"/>
        <v>0</v>
      </c>
      <c r="E27" s="215">
        <f t="shared" si="2"/>
        <v>0</v>
      </c>
      <c r="F27" s="215">
        <f t="shared" si="2"/>
        <v>0</v>
      </c>
      <c r="G27" s="215">
        <f t="shared" si="2"/>
        <v>0</v>
      </c>
      <c r="H27" s="215">
        <f t="shared" si="2"/>
        <v>0</v>
      </c>
      <c r="I27" s="215">
        <f t="shared" si="2"/>
        <v>0</v>
      </c>
      <c r="L27" s="219"/>
      <c r="N27" s="261"/>
    </row>
    <row r="28" spans="1:14" ht="15">
      <c r="A28" s="294"/>
      <c r="B28" s="212"/>
      <c r="C28" s="212"/>
      <c r="D28" s="212"/>
      <c r="E28" s="212"/>
      <c r="F28" s="212"/>
      <c r="G28" s="212"/>
      <c r="H28" s="212"/>
      <c r="I28" s="212"/>
      <c r="L28" s="212"/>
      <c r="N28" s="261"/>
    </row>
    <row r="29" spans="2:12" ht="15.75">
      <c r="B29" s="217"/>
      <c r="C29" s="217"/>
      <c r="D29" s="217"/>
      <c r="E29" s="217"/>
      <c r="F29" s="217"/>
      <c r="L29" s="217"/>
    </row>
    <row r="30" spans="1:13" ht="15.75" customHeight="1">
      <c r="A30" s="209"/>
      <c r="B30" s="307" t="str">
        <f>HLOOKUP(INDICE!$F$2,Nombres!$C$3:$D$636,12,FALSE)</f>
        <v>Turquía </v>
      </c>
      <c r="C30" s="307"/>
      <c r="D30" s="307"/>
      <c r="E30" s="307"/>
      <c r="F30" s="307"/>
      <c r="G30" s="307"/>
      <c r="H30" s="307"/>
      <c r="I30" s="307"/>
      <c r="L30" s="222"/>
      <c r="M30" s="222"/>
    </row>
    <row r="31" spans="1:13" ht="15.75">
      <c r="A31" s="210"/>
      <c r="B31" s="118">
        <f>+B$5</f>
        <v>44286</v>
      </c>
      <c r="C31" s="118">
        <f aca="true" t="shared" si="3" ref="C31:I31">+C$5</f>
        <v>44377</v>
      </c>
      <c r="D31" s="118">
        <f t="shared" si="3"/>
        <v>44469</v>
      </c>
      <c r="E31" s="118">
        <f t="shared" si="3"/>
        <v>44561</v>
      </c>
      <c r="F31" s="118">
        <f t="shared" si="3"/>
        <v>44651</v>
      </c>
      <c r="G31" s="118">
        <f t="shared" si="3"/>
        <v>44742</v>
      </c>
      <c r="H31" s="118">
        <f t="shared" si="3"/>
        <v>44834</v>
      </c>
      <c r="I31" s="118">
        <f t="shared" si="3"/>
        <v>44926</v>
      </c>
      <c r="L31" s="53"/>
      <c r="M31" s="222"/>
    </row>
    <row r="32" spans="1:14" ht="15">
      <c r="A32" s="211" t="str">
        <f>HLOOKUP(INDICE!$F$2,Nombres!$C$3:$D$636,105,FALSE)</f>
        <v>Hipotecario</v>
      </c>
      <c r="B32" s="212">
        <v>1126.3107842977638</v>
      </c>
      <c r="C32" s="212">
        <v>1158.1470800309537</v>
      </c>
      <c r="D32" s="212">
        <v>1232.8490888250103</v>
      </c>
      <c r="E32" s="212">
        <v>1275.4182188222653</v>
      </c>
      <c r="F32" s="212">
        <v>1264.7366373673874</v>
      </c>
      <c r="G32" s="212">
        <v>1263.5254495034935</v>
      </c>
      <c r="H32" s="212">
        <v>1208.4887118405952</v>
      </c>
      <c r="I32" s="212">
        <v>1122.0385587300002</v>
      </c>
      <c r="L32" s="212"/>
      <c r="M32" s="222"/>
      <c r="N32" s="261"/>
    </row>
    <row r="33" spans="1:14" ht="15">
      <c r="A33" s="211" t="str">
        <f>HLOOKUP(INDICE!$F$2,Nombres!$C$3:$D$636,106,FALSE)</f>
        <v>Consumo</v>
      </c>
      <c r="B33" s="212">
        <v>2837.6513257874603</v>
      </c>
      <c r="C33" s="212">
        <v>3078.131861158042</v>
      </c>
      <c r="D33" s="212">
        <v>3362.308896674864</v>
      </c>
      <c r="E33" s="212">
        <v>3765.576922699622</v>
      </c>
      <c r="F33" s="212">
        <v>3942.0405989950923</v>
      </c>
      <c r="G33" s="212">
        <v>4481.243454992347</v>
      </c>
      <c r="H33" s="212">
        <v>4837.5825539998405</v>
      </c>
      <c r="I33" s="212">
        <v>5746.1546898000015</v>
      </c>
      <c r="L33" s="212"/>
      <c r="M33" s="222"/>
      <c r="N33" s="261"/>
    </row>
    <row r="34" spans="1:14" ht="15">
      <c r="A34" s="211" t="str">
        <f>HLOOKUP(INDICE!$F$2,Nombres!$C$3:$D$636,107,FALSE)</f>
        <v>Tarjetas de Crédito</v>
      </c>
      <c r="B34" s="212">
        <v>1598.9738528640955</v>
      </c>
      <c r="C34" s="212">
        <v>1689.8619428128025</v>
      </c>
      <c r="D34" s="212">
        <v>1904.975445668538</v>
      </c>
      <c r="E34" s="212">
        <v>2147.3948075306816</v>
      </c>
      <c r="F34" s="212">
        <v>2396.592037940624</v>
      </c>
      <c r="G34" s="212">
        <v>2888.6325766847713</v>
      </c>
      <c r="H34" s="212">
        <v>3709.6467435608483</v>
      </c>
      <c r="I34" s="212">
        <v>4824.558</v>
      </c>
      <c r="L34" s="212"/>
      <c r="M34" s="222"/>
      <c r="N34" s="261"/>
    </row>
    <row r="35" spans="1:14" ht="15">
      <c r="A35" s="211" t="str">
        <f>HLOOKUP(INDICE!$F$2,Nombres!$C$3:$D$636,108,FALSE)</f>
        <v>Sector público</v>
      </c>
      <c r="B35" s="212">
        <v>80.00015527261948</v>
      </c>
      <c r="C35" s="212">
        <v>79.67035116644638</v>
      </c>
      <c r="D35" s="212">
        <v>70.92029828873463</v>
      </c>
      <c r="E35" s="212">
        <v>177.3725443397765</v>
      </c>
      <c r="F35" s="212">
        <v>227.52681105879157</v>
      </c>
      <c r="G35" s="212">
        <v>571.5967611182737</v>
      </c>
      <c r="H35" s="212">
        <v>561.277478638172</v>
      </c>
      <c r="I35" s="212">
        <v>582.527</v>
      </c>
      <c r="L35" s="212"/>
      <c r="M35" s="222"/>
      <c r="N35" s="261"/>
    </row>
    <row r="36" spans="1:14" ht="15">
      <c r="A36" s="211" t="str">
        <f>HLOOKUP(INDICE!$F$2,Nombres!$C$3:$D$636,109,FALSE)</f>
        <v>Sociedades financieras y sociedades no financieras</v>
      </c>
      <c r="B36" s="212">
        <v>11622.160456618221</v>
      </c>
      <c r="C36" s="212">
        <v>12169.88006383483</v>
      </c>
      <c r="D36" s="212">
        <v>12750.858190847708</v>
      </c>
      <c r="E36" s="212">
        <v>15679.096413282596</v>
      </c>
      <c r="F36" s="212">
        <v>18719.456494574522</v>
      </c>
      <c r="G36" s="212">
        <v>20821.731330776987</v>
      </c>
      <c r="H36" s="212">
        <v>22119.439709859456</v>
      </c>
      <c r="I36" s="212">
        <v>23890.005</v>
      </c>
      <c r="L36" s="211"/>
      <c r="M36" s="222"/>
      <c r="N36" s="261"/>
    </row>
    <row r="37" spans="1:14" ht="15">
      <c r="A37" s="211" t="str">
        <f>HLOOKUP(INDICE!$F$2,Nombres!$C$3:$D$636,111,FALSE)</f>
        <v>Otros</v>
      </c>
      <c r="B37" s="212">
        <v>331.98719094431374</v>
      </c>
      <c r="C37" s="212">
        <v>347.407385522972</v>
      </c>
      <c r="D37" s="212">
        <v>368.1719560391743</v>
      </c>
      <c r="E37" s="212">
        <v>310.68572896452935</v>
      </c>
      <c r="F37" s="212">
        <v>345.6176326069178</v>
      </c>
      <c r="G37" s="212">
        <v>472.146688396997</v>
      </c>
      <c r="H37" s="212">
        <v>638.2341582815563</v>
      </c>
      <c r="I37" s="212">
        <v>1025.760751470001</v>
      </c>
      <c r="L37" s="211"/>
      <c r="M37" s="222"/>
      <c r="N37" s="261"/>
    </row>
    <row r="38" spans="1:14" ht="15">
      <c r="A38" s="213" t="str">
        <f>HLOOKUP(INDICE!$F$2,Nombres!$C$3:$D$636,112,FALSE)</f>
        <v>Crédito no dudoso en gestión (*)</v>
      </c>
      <c r="B38" s="214">
        <v>17597.083765784475</v>
      </c>
      <c r="C38" s="214">
        <v>18523.098684526045</v>
      </c>
      <c r="D38" s="214">
        <v>19690.08387634403</v>
      </c>
      <c r="E38" s="214">
        <v>23355.544635639468</v>
      </c>
      <c r="F38" s="214">
        <v>26895.970212543332</v>
      </c>
      <c r="G38" s="214">
        <v>30498.87626147287</v>
      </c>
      <c r="H38" s="214">
        <v>33074.66935618047</v>
      </c>
      <c r="I38" s="214">
        <v>37191.044</v>
      </c>
      <c r="L38" s="211"/>
      <c r="M38" s="222"/>
      <c r="N38" s="261"/>
    </row>
    <row r="39" spans="1:14" ht="15.75" customHeight="1">
      <c r="A39" s="213"/>
      <c r="B39" s="214"/>
      <c r="C39" s="214"/>
      <c r="D39" s="214"/>
      <c r="E39" s="214"/>
      <c r="F39" s="214"/>
      <c r="G39" s="214"/>
      <c r="H39" s="214"/>
      <c r="I39" s="214"/>
      <c r="L39" s="211"/>
      <c r="M39" s="222"/>
      <c r="N39" s="261"/>
    </row>
    <row r="40" spans="1:13" ht="15.75" customHeight="1">
      <c r="A40" s="213"/>
      <c r="B40" s="214"/>
      <c r="C40" s="214"/>
      <c r="D40" s="214"/>
      <c r="E40" s="214"/>
      <c r="F40" s="214"/>
      <c r="G40" s="214"/>
      <c r="H40" s="214"/>
      <c r="I40" s="214"/>
      <c r="L40" s="211"/>
      <c r="M40" s="222"/>
    </row>
    <row r="41" spans="1:13" ht="15">
      <c r="A41" s="213"/>
      <c r="B41" s="214"/>
      <c r="C41" s="214"/>
      <c r="D41" s="214"/>
      <c r="E41" s="214"/>
      <c r="F41" s="214"/>
      <c r="G41" s="214"/>
      <c r="H41" s="214"/>
      <c r="I41" s="214"/>
      <c r="L41" s="211"/>
      <c r="M41" s="222"/>
    </row>
    <row r="42" spans="1:13" ht="15.75" customHeight="1">
      <c r="A42" s="209"/>
      <c r="B42" s="307" t="str">
        <f>HLOOKUP(INDICE!$F$2,Nombres!$C$3:$D$636,296,FALSE)</f>
        <v>Turquia solo Banco</v>
      </c>
      <c r="C42" s="307"/>
      <c r="D42" s="307"/>
      <c r="E42" s="307"/>
      <c r="F42" s="307"/>
      <c r="G42" s="307"/>
      <c r="H42" s="307"/>
      <c r="I42" s="307"/>
      <c r="L42" s="222"/>
      <c r="M42" s="222"/>
    </row>
    <row r="43" spans="1:13" ht="15.75">
      <c r="A43" s="210"/>
      <c r="B43" s="118">
        <f>+B$5</f>
        <v>44286</v>
      </c>
      <c r="C43" s="118">
        <f aca="true" t="shared" si="4" ref="C43:I43">+C$5</f>
        <v>44377</v>
      </c>
      <c r="D43" s="118">
        <f t="shared" si="4"/>
        <v>44469</v>
      </c>
      <c r="E43" s="118">
        <f t="shared" si="4"/>
        <v>44561</v>
      </c>
      <c r="F43" s="118">
        <f t="shared" si="4"/>
        <v>44651</v>
      </c>
      <c r="G43" s="118">
        <f t="shared" si="4"/>
        <v>44742</v>
      </c>
      <c r="H43" s="118">
        <f t="shared" si="4"/>
        <v>44834</v>
      </c>
      <c r="I43" s="118">
        <f t="shared" si="4"/>
        <v>44926</v>
      </c>
      <c r="L43" s="53"/>
      <c r="M43" s="222"/>
    </row>
    <row r="44" spans="1:13" ht="15">
      <c r="A44" s="211" t="str">
        <f>HLOOKUP(INDICE!$F$2,Nombres!$C$3:$D$636,285,FALSE)</f>
        <v>Préstamos Hogares TL</v>
      </c>
      <c r="B44" s="212">
        <v>5743.188058915749</v>
      </c>
      <c r="C44" s="212">
        <v>6147.447925636691</v>
      </c>
      <c r="D44" s="212">
        <v>6774.892084759603</v>
      </c>
      <c r="E44" s="212">
        <v>7330.5001971648735</v>
      </c>
      <c r="F44" s="212">
        <v>7817.571944118178</v>
      </c>
      <c r="G44" s="212">
        <v>8996.531179608863</v>
      </c>
      <c r="H44" s="212">
        <v>10286.894997269384</v>
      </c>
      <c r="I44" s="212">
        <v>12656.696234681798</v>
      </c>
      <c r="L44" s="212"/>
      <c r="M44" s="222"/>
    </row>
    <row r="45" spans="1:14" ht="15">
      <c r="A45" s="211" t="str">
        <f>HLOOKUP(INDICE!$F$2,Nombres!$C$3:$D$636,286,FALSE)</f>
        <v>Préstamos Empresas TL</v>
      </c>
      <c r="B45" s="212">
        <v>5128.302349866512</v>
      </c>
      <c r="C45" s="212">
        <v>5447.833491879751</v>
      </c>
      <c r="D45" s="212">
        <v>5781.799184389104</v>
      </c>
      <c r="E45" s="212">
        <v>5815.327881033727</v>
      </c>
      <c r="F45" s="212">
        <v>7485.46732045038</v>
      </c>
      <c r="G45" s="212">
        <v>8876.594433476232</v>
      </c>
      <c r="H45" s="212">
        <v>10172.482470946012</v>
      </c>
      <c r="I45" s="212">
        <v>10938.020886718685</v>
      </c>
      <c r="L45" s="212"/>
      <c r="M45" s="222"/>
      <c r="N45" s="261"/>
    </row>
    <row r="46" spans="1:14" ht="15">
      <c r="A46" s="213" t="str">
        <f>HLOOKUP(INDICE!$F$2,Nombres!$C$3:$D$636,287,FALSE)</f>
        <v>Total Préstamos TL</v>
      </c>
      <c r="B46" s="214">
        <v>10871.490408782262</v>
      </c>
      <c r="C46" s="214">
        <v>11595.281417516442</v>
      </c>
      <c r="D46" s="214">
        <v>12556.691269148707</v>
      </c>
      <c r="E46" s="214">
        <v>13145.8280781986</v>
      </c>
      <c r="F46" s="214">
        <v>15303.039264568557</v>
      </c>
      <c r="G46" s="214">
        <v>17873.125613085096</v>
      </c>
      <c r="H46" s="214">
        <v>20459.377468215396</v>
      </c>
      <c r="I46" s="214">
        <v>23594.717121400485</v>
      </c>
      <c r="L46" s="212"/>
      <c r="M46" s="222"/>
      <c r="N46" s="261"/>
    </row>
    <row r="47" spans="1:14" ht="15">
      <c r="A47" s="213" t="str">
        <f>HLOOKUP(INDICE!$F$2,Nombres!$C$3:$D$636,288,FALSE)</f>
        <v>Total Préstamos FC</v>
      </c>
      <c r="B47" s="214">
        <v>11039.241791791024</v>
      </c>
      <c r="C47" s="214">
        <v>10992.8579358473</v>
      </c>
      <c r="D47" s="214">
        <v>10724.183291376403</v>
      </c>
      <c r="E47" s="214">
        <v>10125.6931075233</v>
      </c>
      <c r="F47" s="214">
        <v>10463.82971835688</v>
      </c>
      <c r="G47" s="214">
        <v>9643.178219778456</v>
      </c>
      <c r="H47" s="214">
        <v>8409.43917224126</v>
      </c>
      <c r="I47" s="214">
        <v>8473.568823705951</v>
      </c>
      <c r="L47" s="211"/>
      <c r="M47" s="222"/>
      <c r="N47" s="261"/>
    </row>
    <row r="48" spans="1:14" ht="15.75">
      <c r="A48" s="221" t="str">
        <f>HLOOKUP(INDICE!$F$2,Nombres!$C$3:$D$636,295,FALSE)</f>
        <v>(TL Lira Turca FC Moneda Extranjera)</v>
      </c>
      <c r="B48" s="215">
        <f>+SUM(B32:B37)-B38</f>
        <v>0</v>
      </c>
      <c r="C48" s="215">
        <f aca="true" t="shared" si="5" ref="C48:I48">+SUM(C32:C37)-C38</f>
        <v>0</v>
      </c>
      <c r="D48" s="215">
        <f t="shared" si="5"/>
        <v>0</v>
      </c>
      <c r="E48" s="215">
        <f t="shared" si="5"/>
        <v>0</v>
      </c>
      <c r="F48" s="215">
        <f t="shared" si="5"/>
        <v>0</v>
      </c>
      <c r="G48" s="215">
        <f t="shared" si="5"/>
        <v>0</v>
      </c>
      <c r="H48" s="215">
        <f t="shared" si="5"/>
        <v>0</v>
      </c>
      <c r="I48" s="215">
        <f t="shared" si="5"/>
        <v>0</v>
      </c>
      <c r="L48" s="213"/>
      <c r="M48" s="222"/>
      <c r="N48" s="261"/>
    </row>
    <row r="49" spans="1:14" ht="15.75">
      <c r="A49" s="206"/>
      <c r="B49" s="216"/>
      <c r="C49" s="216"/>
      <c r="D49" s="216"/>
      <c r="E49" s="216"/>
      <c r="F49" s="216"/>
      <c r="G49" s="216"/>
      <c r="H49" s="216"/>
      <c r="I49" s="216"/>
      <c r="L49" s="216"/>
      <c r="M49" s="222"/>
      <c r="N49" s="261"/>
    </row>
    <row r="50" spans="1:14" ht="15.75">
      <c r="A50" s="206"/>
      <c r="B50" s="216"/>
      <c r="C50" s="216"/>
      <c r="D50" s="216"/>
      <c r="E50" s="216"/>
      <c r="F50" s="216"/>
      <c r="G50" s="216"/>
      <c r="H50" s="216"/>
      <c r="I50" s="216"/>
      <c r="L50" s="216"/>
      <c r="N50" s="261"/>
    </row>
    <row r="51" spans="1:14" ht="15.75" customHeight="1">
      <c r="A51" s="209"/>
      <c r="B51" s="307" t="str">
        <f>HLOOKUP(INDICE!$F$2,Nombres!$C$3:$D$636,283,FALSE)</f>
        <v>América del Sur </v>
      </c>
      <c r="C51" s="307"/>
      <c r="D51" s="307"/>
      <c r="E51" s="307"/>
      <c r="F51" s="307"/>
      <c r="G51" s="307"/>
      <c r="H51" s="307"/>
      <c r="I51" s="307"/>
      <c r="N51" s="261"/>
    </row>
    <row r="52" spans="1:14" ht="15.75">
      <c r="A52" s="210"/>
      <c r="B52" s="118">
        <f>+B$5</f>
        <v>44286</v>
      </c>
      <c r="C52" s="118">
        <f aca="true" t="shared" si="6" ref="C52:I52">+C$5</f>
        <v>44377</v>
      </c>
      <c r="D52" s="118">
        <f t="shared" si="6"/>
        <v>44469</v>
      </c>
      <c r="E52" s="118">
        <f t="shared" si="6"/>
        <v>44561</v>
      </c>
      <c r="F52" s="118">
        <f t="shared" si="6"/>
        <v>44651</v>
      </c>
      <c r="G52" s="118">
        <f t="shared" si="6"/>
        <v>44742</v>
      </c>
      <c r="H52" s="118">
        <f t="shared" si="6"/>
        <v>44834</v>
      </c>
      <c r="I52" s="118">
        <f t="shared" si="6"/>
        <v>44926</v>
      </c>
      <c r="N52" s="261"/>
    </row>
    <row r="53" spans="1:12" ht="15">
      <c r="A53" s="211" t="s">
        <v>6</v>
      </c>
      <c r="B53" s="212">
        <v>1569.2541414223897</v>
      </c>
      <c r="C53" s="212">
        <v>1674.51602928703</v>
      </c>
      <c r="D53" s="212">
        <v>1799.8636237844466</v>
      </c>
      <c r="E53" s="212">
        <v>2057.52205239394</v>
      </c>
      <c r="F53" s="212">
        <v>2212.4904544121937</v>
      </c>
      <c r="G53" s="212">
        <v>2768.673772034183</v>
      </c>
      <c r="H53" s="212">
        <v>3119.298686865532</v>
      </c>
      <c r="I53" s="212">
        <v>3900.27964087</v>
      </c>
      <c r="L53" s="212"/>
    </row>
    <row r="54" spans="1:12" ht="15">
      <c r="A54" s="211" t="s">
        <v>7</v>
      </c>
      <c r="B54" s="212">
        <v>1402.9263641869072</v>
      </c>
      <c r="C54" s="212">
        <v>1409.7608478816824</v>
      </c>
      <c r="D54" s="212">
        <v>1423.7821971681203</v>
      </c>
      <c r="E54" s="212">
        <v>1476.987980442533</v>
      </c>
      <c r="F54" s="212">
        <v>1576.3149292007017</v>
      </c>
      <c r="G54" s="212">
        <v>1698.8818777585225</v>
      </c>
      <c r="H54" s="212">
        <v>1867.7348655588016</v>
      </c>
      <c r="I54" s="212">
        <v>1987.3340000000003</v>
      </c>
      <c r="L54" s="212"/>
    </row>
    <row r="55" spans="1:12" ht="15.75" customHeight="1">
      <c r="A55" s="211" t="s">
        <v>8</v>
      </c>
      <c r="B55" s="212">
        <v>9706.07893383515</v>
      </c>
      <c r="C55" s="212">
        <v>9919.646341986112</v>
      </c>
      <c r="D55" s="212">
        <v>10203.267345839778</v>
      </c>
      <c r="E55" s="212">
        <v>10839.6098135588</v>
      </c>
      <c r="F55" s="212">
        <v>11409.453051345665</v>
      </c>
      <c r="G55" s="212">
        <v>12186.446681513167</v>
      </c>
      <c r="H55" s="212">
        <v>12625.095763948118</v>
      </c>
      <c r="I55" s="212">
        <v>13291.794119959999</v>
      </c>
      <c r="L55" s="212"/>
    </row>
    <row r="56" spans="1:12" ht="15">
      <c r="A56" s="211" t="s">
        <v>9</v>
      </c>
      <c r="B56" s="212">
        <v>16629.884215658745</v>
      </c>
      <c r="C56" s="212">
        <v>17507.0030456397</v>
      </c>
      <c r="D56" s="212">
        <v>17229.466818341774</v>
      </c>
      <c r="E56" s="212">
        <v>17266.778139169037</v>
      </c>
      <c r="F56" s="212">
        <v>17060.12268210148</v>
      </c>
      <c r="G56" s="212">
        <v>17001.77637943858</v>
      </c>
      <c r="H56" s="212">
        <v>17143.726018958743</v>
      </c>
      <c r="I56" s="212">
        <v>16943.12540801</v>
      </c>
      <c r="L56" s="212"/>
    </row>
    <row r="57" spans="1:14" ht="15">
      <c r="A57" s="211" t="s">
        <v>10</v>
      </c>
      <c r="B57" s="212">
        <v>2035.563763330786</v>
      </c>
      <c r="C57" s="212">
        <v>2035.9842931593016</v>
      </c>
      <c r="D57" s="212">
        <v>2035.4859749727036</v>
      </c>
      <c r="E57" s="212">
        <v>2289.388773262249</v>
      </c>
      <c r="F57" s="212">
        <v>2151.834243407062</v>
      </c>
      <c r="G57" s="212">
        <v>2302.403091902245</v>
      </c>
      <c r="H57" s="212">
        <v>2376.0430091669914</v>
      </c>
      <c r="I57" s="212">
        <v>2443.0228838900002</v>
      </c>
      <c r="L57" s="212"/>
      <c r="N57" s="261"/>
    </row>
    <row r="58" spans="1:14" ht="15">
      <c r="A58" s="213" t="str">
        <f>HLOOKUP(INDICE!$F$2,Nombres!$C$3:$D$636,112,FALSE)</f>
        <v>Crédito no dudoso en gestión (*)</v>
      </c>
      <c r="B58" s="214">
        <v>31343.70741843398</v>
      </c>
      <c r="C58" s="214">
        <v>32546.910557953826</v>
      </c>
      <c r="D58" s="214">
        <v>32691.865960106825</v>
      </c>
      <c r="E58" s="214">
        <v>33930.286758826565</v>
      </c>
      <c r="F58" s="214">
        <v>34410.215360467104</v>
      </c>
      <c r="G58" s="214">
        <v>35958.1818026467</v>
      </c>
      <c r="H58" s="214">
        <v>37131.898344498186</v>
      </c>
      <c r="I58" s="214">
        <v>38565.556052730004</v>
      </c>
      <c r="L58" s="213"/>
      <c r="N58" s="261"/>
    </row>
    <row r="59" spans="1:14" ht="15.75">
      <c r="A59" s="206"/>
      <c r="B59" s="215">
        <f>+SUM(B53:B57)-B58</f>
        <v>0</v>
      </c>
      <c r="C59" s="215">
        <f aca="true" t="shared" si="7" ref="C59:I59">+SUM(C53:C57)-C58</f>
        <v>0</v>
      </c>
      <c r="D59" s="215">
        <f t="shared" si="7"/>
        <v>0</v>
      </c>
      <c r="E59" s="215">
        <f t="shared" si="7"/>
        <v>0</v>
      </c>
      <c r="F59" s="215">
        <f t="shared" si="7"/>
        <v>0</v>
      </c>
      <c r="G59" s="215">
        <f t="shared" si="7"/>
        <v>0</v>
      </c>
      <c r="H59" s="215">
        <f t="shared" si="7"/>
        <v>0</v>
      </c>
      <c r="I59" s="215">
        <f t="shared" si="7"/>
        <v>0</v>
      </c>
      <c r="L59" s="216"/>
      <c r="N59" s="261"/>
    </row>
    <row r="60" spans="1:14" ht="15" customHeight="1">
      <c r="A60" s="206"/>
      <c r="B60" s="206"/>
      <c r="C60" s="206"/>
      <c r="D60" s="206"/>
      <c r="E60" s="206"/>
      <c r="F60" s="206"/>
      <c r="L60" s="206"/>
      <c r="N60" s="261"/>
    </row>
    <row r="61" spans="1:14" ht="15" customHeight="1">
      <c r="A61" s="223" t="str">
        <f>HLOOKUP(INDICE!$F$2,Nombres!$C$3:$D$636,71,FALSE)</f>
        <v>(*) No incluye las adquisiciones temporales de activos.</v>
      </c>
      <c r="B61" s="206"/>
      <c r="C61" s="206"/>
      <c r="D61" s="206"/>
      <c r="E61" s="206"/>
      <c r="F61" s="206"/>
      <c r="L61" s="206"/>
      <c r="N61" s="261"/>
    </row>
    <row r="62" spans="1:14" ht="15" customHeight="1">
      <c r="A62" s="223"/>
      <c r="B62" s="206"/>
      <c r="C62" s="206"/>
      <c r="D62" s="206"/>
      <c r="E62" s="206"/>
      <c r="F62" s="206"/>
      <c r="L62" s="206"/>
      <c r="N62" s="261"/>
    </row>
    <row r="63" spans="1:12" ht="15.75">
      <c r="A63" s="206"/>
      <c r="B63" s="206"/>
      <c r="C63" s="206"/>
      <c r="D63" s="206"/>
      <c r="E63" s="206"/>
      <c r="F63" s="206"/>
      <c r="L63" s="206"/>
    </row>
    <row r="64" spans="1:12" ht="15.75">
      <c r="A64" s="206"/>
      <c r="B64" s="206"/>
      <c r="C64" s="206"/>
      <c r="D64" s="206"/>
      <c r="E64" s="206"/>
      <c r="F64" s="206"/>
      <c r="L64" s="206"/>
    </row>
    <row r="65" spans="1:12" ht="15.75">
      <c r="A65" s="206"/>
      <c r="B65" s="206"/>
      <c r="C65" s="206"/>
      <c r="D65" s="206"/>
      <c r="E65" s="206"/>
      <c r="F65" s="206"/>
      <c r="L65" s="206"/>
    </row>
    <row r="66" spans="1:12" ht="15.75">
      <c r="A66" s="206"/>
      <c r="B66" s="206"/>
      <c r="C66" s="206"/>
      <c r="D66" s="206"/>
      <c r="E66" s="206"/>
      <c r="F66" s="206"/>
      <c r="L66" s="206"/>
    </row>
    <row r="67" spans="1:12" ht="15.75">
      <c r="A67" s="206"/>
      <c r="B67" s="206"/>
      <c r="C67" s="206"/>
      <c r="D67" s="206"/>
      <c r="E67" s="206"/>
      <c r="F67" s="206"/>
      <c r="L67" s="206"/>
    </row>
    <row r="68" spans="1:12" ht="15.75">
      <c r="A68" s="206"/>
      <c r="B68" s="206"/>
      <c r="C68" s="206"/>
      <c r="D68" s="206"/>
      <c r="E68" s="206"/>
      <c r="F68" s="206"/>
      <c r="L68" s="206"/>
    </row>
    <row r="69" spans="1:12" ht="15.75">
      <c r="A69" s="206"/>
      <c r="B69" s="206"/>
      <c r="C69" s="206"/>
      <c r="D69" s="206"/>
      <c r="E69" s="206"/>
      <c r="F69" s="206"/>
      <c r="L69" s="206"/>
    </row>
    <row r="70" spans="1:12" ht="15.75">
      <c r="A70" s="206"/>
      <c r="B70" s="206"/>
      <c r="C70" s="206"/>
      <c r="D70" s="206"/>
      <c r="E70" s="206"/>
      <c r="F70" s="206"/>
      <c r="L70" s="206"/>
    </row>
    <row r="996" ht="15">
      <c r="A996" s="205" t="s">
        <v>391</v>
      </c>
    </row>
  </sheetData>
  <sheetProtection/>
  <mergeCells count="5">
    <mergeCell ref="B4:I4"/>
    <mergeCell ref="B17:I17"/>
    <mergeCell ref="B30:I30"/>
    <mergeCell ref="B42:I42"/>
    <mergeCell ref="B51:I51"/>
  </mergeCells>
  <conditionalFormatting sqref="B14:I14">
    <cfRule type="cellIs" priority="6" dxfId="132" operator="notBetween">
      <formula>0.5</formula>
      <formula>-0.5</formula>
    </cfRule>
  </conditionalFormatting>
  <conditionalFormatting sqref="B27:I27">
    <cfRule type="cellIs" priority="5" dxfId="132" operator="notBetween">
      <formula>0.5</formula>
      <formula>-0.5</formula>
    </cfRule>
  </conditionalFormatting>
  <conditionalFormatting sqref="C27:I27">
    <cfRule type="cellIs" priority="4" dxfId="132" operator="notBetween">
      <formula>0.5</formula>
      <formula>-0.5</formula>
    </cfRule>
  </conditionalFormatting>
  <conditionalFormatting sqref="B48">
    <cfRule type="cellIs" priority="3" dxfId="132" operator="notBetween">
      <formula>0.5</formula>
      <formula>-0.5</formula>
    </cfRule>
  </conditionalFormatting>
  <conditionalFormatting sqref="C48:I48">
    <cfRule type="cellIs" priority="2" dxfId="132" operator="notBetween">
      <formula>0.5</formula>
      <formula>-0.5</formula>
    </cfRule>
  </conditionalFormatting>
  <conditionalFormatting sqref="B59:I59">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5" customWidth="1"/>
    <col min="2" max="2" width="12.28125" style="205" customWidth="1"/>
    <col min="3" max="9" width="11.421875" style="205" customWidth="1"/>
    <col min="10" max="11" width="5.7109375" style="205" customWidth="1"/>
    <col min="12" max="12" width="19.57421875" style="205" customWidth="1"/>
    <col min="13" max="16384" width="11.421875" style="205" customWidth="1"/>
  </cols>
  <sheetData>
    <row r="1" spans="1:9" ht="18">
      <c r="A1" s="202" t="str">
        <f>HLOOKUP(INDICE!$F$2,Nombres!$C$3:$D$636,120,FALSE)</f>
        <v>Desglose de los recursos de clientes en gestión</v>
      </c>
      <c r="B1" s="203"/>
      <c r="C1" s="203"/>
      <c r="D1" s="203"/>
      <c r="E1" s="203"/>
      <c r="F1" s="203"/>
      <c r="G1" s="203"/>
      <c r="H1" s="203"/>
      <c r="I1" s="203"/>
    </row>
    <row r="2" spans="1:6" ht="15.75">
      <c r="A2" s="207" t="str">
        <f>HLOOKUP(INDICE!$F$2,Nombres!$C$3:$D$636,73,FALSE)</f>
        <v>(Millones de euros constantes)</v>
      </c>
      <c r="B2" s="206"/>
      <c r="C2" s="206"/>
      <c r="D2" s="206"/>
      <c r="E2" s="206"/>
      <c r="F2" s="206"/>
    </row>
    <row r="3" spans="1:12" ht="15.75" customHeight="1">
      <c r="A3" s="209"/>
      <c r="B3" s="307" t="str">
        <f>HLOOKUP(INDICE!$F$2,Nombres!$C$3:$D$636,7,FALSE)</f>
        <v>España</v>
      </c>
      <c r="C3" s="307"/>
      <c r="D3" s="307"/>
      <c r="E3" s="307"/>
      <c r="F3" s="307"/>
      <c r="G3" s="307"/>
      <c r="H3" s="307"/>
      <c r="I3" s="307"/>
      <c r="L3" s="224"/>
    </row>
    <row r="4" spans="1:9" ht="15.75">
      <c r="A4" s="210"/>
      <c r="B4" s="118">
        <f>+España!B32</f>
        <v>44286</v>
      </c>
      <c r="C4" s="118">
        <f>+España!C32</f>
        <v>44377</v>
      </c>
      <c r="D4" s="118">
        <f>+España!D32</f>
        <v>44469</v>
      </c>
      <c r="E4" s="118">
        <f>+España!E32</f>
        <v>44561</v>
      </c>
      <c r="F4" s="118">
        <f>+España!F32</f>
        <v>44651</v>
      </c>
      <c r="G4" s="118">
        <f>+España!G32</f>
        <v>44742</v>
      </c>
      <c r="H4" s="118">
        <f>+España!H32</f>
        <v>44834</v>
      </c>
      <c r="I4" s="118">
        <f>+España!I32</f>
        <v>44926</v>
      </c>
    </row>
    <row r="5" spans="1:12" ht="15">
      <c r="A5" s="211" t="str">
        <f>HLOOKUP(INDICE!$F$2,Nombres!$C$3:$D$636,114,FALSE)</f>
        <v>Depósitos a la vista + Disponibles con preaviso</v>
      </c>
      <c r="B5" s="212">
        <v>168710.114432</v>
      </c>
      <c r="C5" s="212">
        <v>176043.216854</v>
      </c>
      <c r="D5" s="212">
        <v>178825.393642</v>
      </c>
      <c r="E5" s="212">
        <v>187799.701281</v>
      </c>
      <c r="F5" s="212">
        <v>189479.81666299998</v>
      </c>
      <c r="G5" s="212">
        <v>194253.540965</v>
      </c>
      <c r="H5" s="212">
        <v>193909.23964</v>
      </c>
      <c r="I5" s="212">
        <v>198131.115479</v>
      </c>
      <c r="L5" s="211"/>
    </row>
    <row r="6" spans="1:12" ht="15">
      <c r="A6" s="211" t="str">
        <f>HLOOKUP(INDICE!$F$2,Nombres!$C$3:$D$636,115,FALSE)</f>
        <v>Depósitos a plazo</v>
      </c>
      <c r="B6" s="212">
        <v>27294.733647999998</v>
      </c>
      <c r="C6" s="212">
        <v>23537.501437</v>
      </c>
      <c r="D6" s="212">
        <v>20774.126148</v>
      </c>
      <c r="E6" s="212">
        <v>18108.518429</v>
      </c>
      <c r="F6" s="212">
        <v>16447.146971</v>
      </c>
      <c r="G6" s="212">
        <v>16279.156135</v>
      </c>
      <c r="H6" s="212">
        <v>18389.480234</v>
      </c>
      <c r="I6" s="212">
        <v>21460.717587</v>
      </c>
      <c r="L6" s="211"/>
    </row>
    <row r="7" spans="1:12" ht="15">
      <c r="A7" s="211" t="str">
        <f>HLOOKUP(INDICE!$F$2,Nombres!$C$3:$D$636,116,FALSE)</f>
        <v>Recursos fuera de balance (*)</v>
      </c>
      <c r="B7" s="212">
        <v>85953.18231096</v>
      </c>
      <c r="C7" s="212">
        <v>88987.55831479999</v>
      </c>
      <c r="D7" s="212">
        <v>89922.14088796</v>
      </c>
      <c r="E7" s="212">
        <v>94095.01092594</v>
      </c>
      <c r="F7" s="212">
        <v>90827.85125446998</v>
      </c>
      <c r="G7" s="212">
        <v>86828.40831213</v>
      </c>
      <c r="H7" s="212">
        <v>85180.62565222</v>
      </c>
      <c r="I7" s="212">
        <v>86758.50581024999</v>
      </c>
      <c r="L7" s="211"/>
    </row>
    <row r="8" spans="1:12" ht="15">
      <c r="A8" s="213" t="str">
        <f>HLOOKUP(INDICE!$F$2,Nombres!$C$3:$D$636,208,FALSE)</f>
        <v> Recursos de clientes en gestión (**)</v>
      </c>
      <c r="B8" s="213">
        <v>281958.03039096005</v>
      </c>
      <c r="C8" s="213">
        <v>288568.2766058001</v>
      </c>
      <c r="D8" s="213">
        <v>289521.6606779601</v>
      </c>
      <c r="E8" s="213">
        <v>300003.23063594</v>
      </c>
      <c r="F8" s="213">
        <v>296754.81488846993</v>
      </c>
      <c r="G8" s="213">
        <v>297361.10541212995</v>
      </c>
      <c r="H8" s="213">
        <v>297479.34552622</v>
      </c>
      <c r="I8" s="213">
        <v>306350.33887624997</v>
      </c>
      <c r="L8" s="213"/>
    </row>
    <row r="9" spans="1:12" ht="15.75">
      <c r="A9" s="211" t="str">
        <f>HLOOKUP(INDICE!$F$2,Nombres!$C$3:$D$636,118,FALSE)</f>
        <v>Vista+Plazo</v>
      </c>
      <c r="B9" s="212">
        <f aca="true" t="shared" si="0" ref="B9:I9">+B5+B6</f>
        <v>196004.84808</v>
      </c>
      <c r="C9" s="212">
        <f t="shared" si="0"/>
        <v>199580.718291</v>
      </c>
      <c r="D9" s="212">
        <f t="shared" si="0"/>
        <v>199599.51979000002</v>
      </c>
      <c r="E9" s="212">
        <f t="shared" si="0"/>
        <v>205908.21970999998</v>
      </c>
      <c r="F9" s="212">
        <f t="shared" si="0"/>
        <v>205926.96363399999</v>
      </c>
      <c r="G9" s="212">
        <f t="shared" si="0"/>
        <v>210532.6971</v>
      </c>
      <c r="H9" s="212">
        <f t="shared" si="0"/>
        <v>212298.719874</v>
      </c>
      <c r="I9" s="212">
        <f t="shared" si="0"/>
        <v>219591.833066</v>
      </c>
      <c r="L9" s="206"/>
    </row>
    <row r="10" spans="1:9" ht="15.75">
      <c r="A10" s="206"/>
      <c r="B10" s="215">
        <f>+B5+B6+B7-B8</f>
        <v>0</v>
      </c>
      <c r="C10" s="215">
        <f aca="true" t="shared" si="1" ref="C10:I10">+C5+C6+C7-C8</f>
        <v>0</v>
      </c>
      <c r="D10" s="215">
        <f t="shared" si="1"/>
        <v>0</v>
      </c>
      <c r="E10" s="215">
        <f t="shared" si="1"/>
        <v>0</v>
      </c>
      <c r="F10" s="215">
        <f t="shared" si="1"/>
        <v>0</v>
      </c>
      <c r="G10" s="215">
        <f t="shared" si="1"/>
        <v>0</v>
      </c>
      <c r="H10" s="215">
        <f t="shared" si="1"/>
        <v>0</v>
      </c>
      <c r="I10" s="215">
        <f t="shared" si="1"/>
        <v>0</v>
      </c>
    </row>
    <row r="11" spans="1:9" ht="15.75">
      <c r="A11" s="206"/>
      <c r="B11" s="215">
        <f>+B9-España!B54</f>
        <v>0</v>
      </c>
      <c r="C11" s="215">
        <f>+C9-España!C54</f>
        <v>0</v>
      </c>
      <c r="D11" s="215">
        <f>+D9-España!D54</f>
        <v>0</v>
      </c>
      <c r="E11" s="215">
        <f>+E9-España!E54</f>
        <v>0</v>
      </c>
      <c r="F11" s="215">
        <f>+F9-España!F54</f>
        <v>0</v>
      </c>
      <c r="G11" s="215">
        <f>+G9-España!G54</f>
        <v>0</v>
      </c>
      <c r="H11" s="215">
        <f>+H9-España!H54</f>
        <v>0</v>
      </c>
      <c r="I11" s="215">
        <f>+I9-España!I54</f>
        <v>0</v>
      </c>
    </row>
    <row r="12" spans="1:12" ht="15.75" customHeight="1">
      <c r="A12" s="209"/>
      <c r="B12" s="307" t="str">
        <f>HLOOKUP(INDICE!$F$2,Nombres!$C$3:$D$636,204,FALSE)</f>
        <v>Mexico (***)</v>
      </c>
      <c r="C12" s="307"/>
      <c r="D12" s="307"/>
      <c r="E12" s="307"/>
      <c r="F12" s="307"/>
      <c r="G12" s="307"/>
      <c r="H12" s="307"/>
      <c r="I12" s="307"/>
      <c r="L12" s="224"/>
    </row>
    <row r="13" spans="1:9" ht="15.75">
      <c r="A13" s="210"/>
      <c r="B13" s="118">
        <f>+B$4</f>
        <v>44286</v>
      </c>
      <c r="C13" s="118">
        <f aca="true" t="shared" si="2" ref="C13:I13">+C$4</f>
        <v>44377</v>
      </c>
      <c r="D13" s="118">
        <f t="shared" si="2"/>
        <v>44469</v>
      </c>
      <c r="E13" s="118">
        <f t="shared" si="2"/>
        <v>44561</v>
      </c>
      <c r="F13" s="118">
        <f t="shared" si="2"/>
        <v>44651</v>
      </c>
      <c r="G13" s="118">
        <f t="shared" si="2"/>
        <v>44742</v>
      </c>
      <c r="H13" s="118">
        <f t="shared" si="2"/>
        <v>44834</v>
      </c>
      <c r="I13" s="118">
        <f t="shared" si="2"/>
        <v>44926</v>
      </c>
    </row>
    <row r="14" spans="1:12" ht="15">
      <c r="A14" s="211" t="str">
        <f>HLOOKUP(INDICE!$F$2,Nombres!$C$3:$D$636,114,FALSE)</f>
        <v>Depósitos a la vista + Disponibles con preaviso</v>
      </c>
      <c r="B14" s="212">
        <v>53029.77174202399</v>
      </c>
      <c r="C14" s="212">
        <v>53557.08409980384</v>
      </c>
      <c r="D14" s="212">
        <v>54348.055488961625</v>
      </c>
      <c r="E14" s="212">
        <v>58964.29130877378</v>
      </c>
      <c r="F14" s="212">
        <v>61730.93874290748</v>
      </c>
      <c r="G14" s="212">
        <v>60553.545366376886</v>
      </c>
      <c r="H14" s="212">
        <v>59024.96156479253</v>
      </c>
      <c r="I14" s="212">
        <v>64582.326193</v>
      </c>
      <c r="J14" s="212"/>
      <c r="L14" s="211"/>
    </row>
    <row r="15" spans="1:12" ht="15">
      <c r="A15" s="211" t="str">
        <f>HLOOKUP(INDICE!$F$2,Nombres!$C$3:$D$636,115,FALSE)</f>
        <v>Depósitos a plazo</v>
      </c>
      <c r="B15" s="212">
        <v>12111.876496220215</v>
      </c>
      <c r="C15" s="212">
        <v>11347.529032268576</v>
      </c>
      <c r="D15" s="212">
        <v>11561.395520759332</v>
      </c>
      <c r="E15" s="212">
        <v>11333.567875033072</v>
      </c>
      <c r="F15" s="212">
        <v>11446.626677498041</v>
      </c>
      <c r="G15" s="212">
        <v>11858.183728145874</v>
      </c>
      <c r="H15" s="212">
        <v>12098.405396268896</v>
      </c>
      <c r="I15" s="212">
        <v>12202.85299272</v>
      </c>
      <c r="J15" s="212"/>
      <c r="L15" s="211"/>
    </row>
    <row r="16" spans="1:12" ht="15">
      <c r="A16" s="211" t="str">
        <f>HLOOKUP(INDICE!$F$2,Nombres!$C$3:$D$636,116,FALSE)</f>
        <v>Recursos fuera de balance (*)</v>
      </c>
      <c r="B16" s="212">
        <v>34033.43791596705</v>
      </c>
      <c r="C16" s="212">
        <v>34789.687823854394</v>
      </c>
      <c r="D16" s="212">
        <v>35317.87980955734</v>
      </c>
      <c r="E16" s="212">
        <v>35931.68748028435</v>
      </c>
      <c r="F16" s="212">
        <v>36472.25051088739</v>
      </c>
      <c r="G16" s="212">
        <v>37099.382808816954</v>
      </c>
      <c r="H16" s="212">
        <v>37903.091583486785</v>
      </c>
      <c r="I16" s="212">
        <v>38195.522625519996</v>
      </c>
      <c r="J16" s="212"/>
      <c r="L16" s="211"/>
    </row>
    <row r="17" spans="1:12" ht="15">
      <c r="A17" s="213" t="str">
        <f>HLOOKUP(INDICE!$F$2,Nombres!$C$3:$D$636,208,FALSE)</f>
        <v> Recursos de clientes en gestión (**)</v>
      </c>
      <c r="B17" s="213">
        <v>99175.08615421125</v>
      </c>
      <c r="C17" s="213">
        <v>99694.30095592682</v>
      </c>
      <c r="D17" s="213">
        <v>101227.3308192783</v>
      </c>
      <c r="E17" s="213">
        <v>106229.54666409123</v>
      </c>
      <c r="F17" s="213">
        <v>109649.81593129289</v>
      </c>
      <c r="G17" s="213">
        <v>109511.1119033397</v>
      </c>
      <c r="H17" s="213">
        <v>109026.45854454824</v>
      </c>
      <c r="I17" s="213">
        <v>114980.70181124001</v>
      </c>
      <c r="J17" s="212"/>
      <c r="L17" s="211"/>
    </row>
    <row r="18" spans="1:12" ht="15">
      <c r="A18" s="211" t="str">
        <f>HLOOKUP(INDICE!$F$2,Nombres!$C$3:$D$636,118,FALSE)</f>
        <v>Vista+Plazo</v>
      </c>
      <c r="B18" s="212">
        <v>65141.648238244205</v>
      </c>
      <c r="C18" s="212">
        <v>64904.613132072416</v>
      </c>
      <c r="D18" s="212">
        <v>65909.45100972096</v>
      </c>
      <c r="E18" s="212">
        <v>70297.85918380685</v>
      </c>
      <c r="F18" s="212">
        <v>73177.56542040552</v>
      </c>
      <c r="G18" s="212">
        <v>72411.72909452276</v>
      </c>
      <c r="H18" s="212">
        <v>71123.36696106143</v>
      </c>
      <c r="I18" s="212">
        <v>76785.17918572</v>
      </c>
      <c r="J18" s="213"/>
      <c r="L18" s="213"/>
    </row>
    <row r="19" spans="1:9" ht="15.75">
      <c r="A19" s="221" t="str">
        <f>HLOOKUP(INDICE!$F$2,Nombres!$C$3:$D$636,205,FALSE)</f>
        <v>Criterio Local Contable(***) </v>
      </c>
      <c r="B19" s="215">
        <f>+B14+B15+B16-B17</f>
        <v>0</v>
      </c>
      <c r="C19" s="215">
        <f aca="true" t="shared" si="3" ref="C19:I19">+C14+C15+C16-C17</f>
        <v>0</v>
      </c>
      <c r="D19" s="215">
        <f t="shared" si="3"/>
        <v>0</v>
      </c>
      <c r="E19" s="215">
        <f t="shared" si="3"/>
        <v>0</v>
      </c>
      <c r="F19" s="215">
        <f t="shared" si="3"/>
        <v>0</v>
      </c>
      <c r="G19" s="215">
        <f t="shared" si="3"/>
        <v>0</v>
      </c>
      <c r="H19" s="215">
        <f t="shared" si="3"/>
        <v>0</v>
      </c>
      <c r="I19" s="215">
        <f t="shared" si="3"/>
        <v>0</v>
      </c>
    </row>
    <row r="20" spans="1:12" ht="15.75">
      <c r="A20" s="206"/>
      <c r="B20" s="215">
        <f>+B17-Mexico!B108-Mexico!B109-Mexico!B110-Mexico!B111</f>
        <v>-1.7280399333685637E-11</v>
      </c>
      <c r="C20" s="215">
        <f>+C17-Mexico!C108-Mexico!C109-Mexico!C110-Mexico!C111</f>
        <v>1.0913936421275139E-11</v>
      </c>
      <c r="D20" s="215">
        <f>+D17-Mexico!D108-Mexico!D109-Mexico!D110-Mexico!D111</f>
        <v>2.637534635141492E-11</v>
      </c>
      <c r="E20" s="215">
        <f>+E17-Mexico!E108-Mexico!E109-Mexico!E110-Mexico!E111</f>
        <v>1.2278178473934531E-11</v>
      </c>
      <c r="F20" s="215">
        <f>+F17-Mexico!F108-Mexico!F109-Mexico!F110-Mexico!F111</f>
        <v>-1.1823431123048067E-11</v>
      </c>
      <c r="G20" s="215">
        <f>+G17-Mexico!G108-Mexico!G109-Mexico!G110-Mexico!G111</f>
        <v>-1.2732925824820995E-11</v>
      </c>
      <c r="H20" s="215">
        <f>+H17-Mexico!H108-Mexico!H109-Mexico!H110-Mexico!H111</f>
        <v>3.637978807091713E-12</v>
      </c>
      <c r="I20" s="215">
        <f>+I17-Mexico!I108-Mexico!I109-Mexico!I110-Mexico!I111</f>
        <v>-7.73070496506989E-12</v>
      </c>
      <c r="L20" s="224"/>
    </row>
    <row r="21" spans="1:12" ht="15.75" customHeight="1">
      <c r="A21" s="209"/>
      <c r="B21" s="307" t="str">
        <f>HLOOKUP(INDICE!$F$2,Nombres!$C$3:$D$636,12,FALSE)</f>
        <v>Turquía </v>
      </c>
      <c r="C21" s="307"/>
      <c r="D21" s="307"/>
      <c r="E21" s="307"/>
      <c r="F21" s="307"/>
      <c r="G21" s="307"/>
      <c r="H21" s="307"/>
      <c r="I21" s="307"/>
      <c r="L21" s="224"/>
    </row>
    <row r="22" spans="1:9" ht="15.75">
      <c r="A22" s="210"/>
      <c r="B22" s="118">
        <f>+B$4</f>
        <v>44286</v>
      </c>
      <c r="C22" s="118">
        <f aca="true" t="shared" si="4" ref="C22:I22">+C$4</f>
        <v>44377</v>
      </c>
      <c r="D22" s="118">
        <f t="shared" si="4"/>
        <v>44469</v>
      </c>
      <c r="E22" s="118">
        <f t="shared" si="4"/>
        <v>44561</v>
      </c>
      <c r="F22" s="118">
        <f t="shared" si="4"/>
        <v>44651</v>
      </c>
      <c r="G22" s="118">
        <f t="shared" si="4"/>
        <v>44742</v>
      </c>
      <c r="H22" s="118">
        <f t="shared" si="4"/>
        <v>44834</v>
      </c>
      <c r="I22" s="118">
        <f t="shared" si="4"/>
        <v>44926</v>
      </c>
    </row>
    <row r="23" spans="1:12" ht="15">
      <c r="A23" s="211" t="str">
        <f>HLOOKUP(INDICE!$F$2,Nombres!$C$3:$D$636,114,FALSE)</f>
        <v>Depósitos a la vista + Disponibles con preaviso</v>
      </c>
      <c r="B23" s="212">
        <v>9278.501654166519</v>
      </c>
      <c r="C23" s="212">
        <v>10406.663953658168</v>
      </c>
      <c r="D23" s="212">
        <v>10818.10894243025</v>
      </c>
      <c r="E23" s="212">
        <v>16867.12308523826</v>
      </c>
      <c r="F23" s="212">
        <v>17980.2184299749</v>
      </c>
      <c r="G23" s="212">
        <v>20263.862095666915</v>
      </c>
      <c r="H23" s="212">
        <v>23366.09940640488</v>
      </c>
      <c r="I23" s="212">
        <v>24794.19</v>
      </c>
      <c r="L23" s="211"/>
    </row>
    <row r="24" spans="1:12" ht="15">
      <c r="A24" s="211" t="str">
        <f>HLOOKUP(INDICE!$F$2,Nombres!$C$3:$D$636,115,FALSE)</f>
        <v>Depósitos a plazo</v>
      </c>
      <c r="B24" s="212">
        <v>9273.74361380568</v>
      </c>
      <c r="C24" s="212">
        <v>10197.362950847843</v>
      </c>
      <c r="D24" s="212">
        <v>10474.312644040423</v>
      </c>
      <c r="E24" s="212">
        <v>12382.94345392395</v>
      </c>
      <c r="F24" s="212">
        <v>14767.970009556659</v>
      </c>
      <c r="G24" s="212">
        <v>16772.263859947892</v>
      </c>
      <c r="H24" s="212">
        <v>19383.227852896034</v>
      </c>
      <c r="I24" s="212">
        <v>20797.579</v>
      </c>
      <c r="L24" s="211"/>
    </row>
    <row r="25" spans="1:12" ht="15">
      <c r="A25" s="211" t="str">
        <f>HLOOKUP(INDICE!$F$2,Nombres!$C$3:$D$636,116,FALSE)</f>
        <v>Recursos fuera de balance (*)</v>
      </c>
      <c r="B25" s="212">
        <v>1786.0878817350356</v>
      </c>
      <c r="C25" s="212">
        <v>2034.4103378968207</v>
      </c>
      <c r="D25" s="212">
        <v>2354.6051747245397</v>
      </c>
      <c r="E25" s="212">
        <v>2971.714027308883</v>
      </c>
      <c r="F25" s="212">
        <v>3606.002321665599</v>
      </c>
      <c r="G25" s="212">
        <v>4273.1024217689765</v>
      </c>
      <c r="H25" s="212">
        <v>5045.729207287215</v>
      </c>
      <c r="I25" s="212">
        <v>6935.704</v>
      </c>
      <c r="L25" s="211"/>
    </row>
    <row r="26" spans="1:12" ht="15">
      <c r="A26" s="213" t="str">
        <f>HLOOKUP(INDICE!$F$2,Nombres!$C$3:$D$636,208,FALSE)</f>
        <v> Recursos de clientes en gestión (**)</v>
      </c>
      <c r="B26" s="213">
        <v>20338.333149707232</v>
      </c>
      <c r="C26" s="213">
        <v>22638.437242402833</v>
      </c>
      <c r="D26" s="213">
        <v>23647.02676119522</v>
      </c>
      <c r="E26" s="213">
        <v>32221.78056647109</v>
      </c>
      <c r="F26" s="213">
        <v>36354.190761197155</v>
      </c>
      <c r="G26" s="213">
        <v>41309.22837738378</v>
      </c>
      <c r="H26" s="213">
        <v>47795.05646658811</v>
      </c>
      <c r="I26" s="213">
        <v>52527.473000000005</v>
      </c>
      <c r="L26" s="213"/>
    </row>
    <row r="27" spans="1:9" ht="15">
      <c r="A27" s="211" t="str">
        <f>HLOOKUP(INDICE!$F$2,Nombres!$C$3:$D$636,118,FALSE)</f>
        <v>Vista+Plazo</v>
      </c>
      <c r="B27" s="212">
        <f aca="true" t="shared" si="5" ref="B27:I27">+B23+B24</f>
        <v>18552.245267972197</v>
      </c>
      <c r="C27" s="212">
        <f t="shared" si="5"/>
        <v>20604.026904506012</v>
      </c>
      <c r="D27" s="212">
        <f t="shared" si="5"/>
        <v>21292.42158647067</v>
      </c>
      <c r="E27" s="212">
        <f t="shared" si="5"/>
        <v>29250.06653916221</v>
      </c>
      <c r="F27" s="212">
        <f t="shared" si="5"/>
        <v>32748.188439531557</v>
      </c>
      <c r="G27" s="212">
        <f t="shared" si="5"/>
        <v>37036.12595561481</v>
      </c>
      <c r="H27" s="212">
        <f t="shared" si="5"/>
        <v>42749.32725930092</v>
      </c>
      <c r="I27" s="212">
        <f t="shared" si="5"/>
        <v>45591.769</v>
      </c>
    </row>
    <row r="28" spans="1:9" ht="15.75">
      <c r="A28" s="206"/>
      <c r="B28" s="215">
        <f>+B23+B24+B25-B26</f>
        <v>0</v>
      </c>
      <c r="C28" s="215">
        <f aca="true" t="shared" si="6" ref="C28:I28">+C23+C24+C25-C26</f>
        <v>0</v>
      </c>
      <c r="D28" s="215">
        <f t="shared" si="6"/>
        <v>0</v>
      </c>
      <c r="E28" s="215">
        <f t="shared" si="6"/>
        <v>0</v>
      </c>
      <c r="F28" s="215">
        <f t="shared" si="6"/>
        <v>0</v>
      </c>
      <c r="G28" s="215">
        <f t="shared" si="6"/>
        <v>0</v>
      </c>
      <c r="H28" s="215">
        <f t="shared" si="6"/>
        <v>0</v>
      </c>
      <c r="I28" s="215">
        <f t="shared" si="6"/>
        <v>0</v>
      </c>
    </row>
    <row r="29" spans="1:9" ht="15.75">
      <c r="A29" s="213"/>
      <c r="B29" s="215">
        <f>+B26-Turquia!B108-Turquia!B109-Turquia!B110</f>
        <v>0</v>
      </c>
      <c r="C29" s="215">
        <f>+C26-Turquia!C108-Turquia!C109-Turquia!C110</f>
        <v>0</v>
      </c>
      <c r="D29" s="215">
        <f>+D26-Turquia!D108-Turquia!D109-Turquia!D110</f>
        <v>0</v>
      </c>
      <c r="E29" s="215">
        <f>+E26-Turquia!E108-Turquia!E109-Turquia!E110</f>
        <v>0</v>
      </c>
      <c r="F29" s="215">
        <f>+F26-Turquia!F108-Turquia!F109-Turquia!F110</f>
        <v>5.229594535194337E-12</v>
      </c>
      <c r="G29" s="215">
        <f>+G26-Turquia!G108-Turquia!G109-Turquia!G110</f>
        <v>0</v>
      </c>
      <c r="H29" s="215">
        <f>+H26-Turquia!H108-Turquia!H109-Turquia!H110</f>
        <v>-6.821210263296962E-12</v>
      </c>
      <c r="I29" s="215">
        <f>+I26-Turquia!I108-Turquia!I109-Turquia!I110</f>
        <v>5.002220859751105E-12</v>
      </c>
    </row>
    <row r="30" spans="1:12" ht="15.75" customHeight="1">
      <c r="A30" s="209"/>
      <c r="B30" s="307" t="str">
        <f>HLOOKUP(INDICE!$F$2,Nombres!$C$3:$D$636,296,FALSE)</f>
        <v>Turquia solo Banco</v>
      </c>
      <c r="C30" s="307"/>
      <c r="D30" s="307"/>
      <c r="E30" s="307"/>
      <c r="F30" s="307"/>
      <c r="G30" s="307"/>
      <c r="H30" s="307"/>
      <c r="I30" s="307"/>
      <c r="L30" s="224"/>
    </row>
    <row r="31" spans="1:9" ht="15.75">
      <c r="A31" s="210"/>
      <c r="B31" s="118">
        <f>+B$4</f>
        <v>44286</v>
      </c>
      <c r="C31" s="118">
        <f aca="true" t="shared" si="7" ref="C31:I31">+C$4</f>
        <v>44377</v>
      </c>
      <c r="D31" s="118">
        <f t="shared" si="7"/>
        <v>44469</v>
      </c>
      <c r="E31" s="118">
        <f t="shared" si="7"/>
        <v>44561</v>
      </c>
      <c r="F31" s="118">
        <f t="shared" si="7"/>
        <v>44651</v>
      </c>
      <c r="G31" s="118">
        <f t="shared" si="7"/>
        <v>44742</v>
      </c>
      <c r="H31" s="118">
        <f t="shared" si="7"/>
        <v>44834</v>
      </c>
      <c r="I31" s="118">
        <f t="shared" si="7"/>
        <v>44926</v>
      </c>
    </row>
    <row r="32" spans="1:9" ht="15">
      <c r="A32" s="211" t="str">
        <f>HLOOKUP(INDICE!$F$2,Nombres!$C$3:$D$636,289,FALSE)</f>
        <v>Depósitos Vista TL</v>
      </c>
      <c r="B32" s="212">
        <v>1980.2037714979808</v>
      </c>
      <c r="C32" s="212">
        <v>2209.0409685793575</v>
      </c>
      <c r="D32" s="212">
        <v>2336.0445199460046</v>
      </c>
      <c r="E32" s="212">
        <v>2550.7015465096256</v>
      </c>
      <c r="F32" s="212">
        <v>3005.9716182455204</v>
      </c>
      <c r="G32" s="212">
        <v>3710.6145088179733</v>
      </c>
      <c r="H32" s="212">
        <v>4535.713813449603</v>
      </c>
      <c r="I32" s="212">
        <v>5696.158917074459</v>
      </c>
    </row>
    <row r="33" spans="1:9" ht="15">
      <c r="A33" s="211" t="str">
        <f>HLOOKUP(INDICE!$F$2,Nombres!$C$3:$D$636,290,FALSE)</f>
        <v>Depósitos Plazo TL</v>
      </c>
      <c r="B33" s="212">
        <v>5237.086347192323</v>
      </c>
      <c r="C33" s="212">
        <v>6027.2631270629945</v>
      </c>
      <c r="D33" s="212">
        <v>6201.797820126322</v>
      </c>
      <c r="E33" s="212">
        <v>6330.700595978942</v>
      </c>
      <c r="F33" s="212">
        <v>8402.322486322497</v>
      </c>
      <c r="G33" s="212">
        <v>9577.254631848893</v>
      </c>
      <c r="H33" s="212">
        <v>11889.76443753888</v>
      </c>
      <c r="I33" s="212">
        <v>15308.74925324144</v>
      </c>
    </row>
    <row r="34" spans="1:9" ht="15">
      <c r="A34" s="213" t="str">
        <f>HLOOKUP(INDICE!$F$2,Nombres!$C$3:$D$636,291,FALSE)</f>
        <v>Total Depósitos TL</v>
      </c>
      <c r="B34" s="213">
        <v>7217.290118690303</v>
      </c>
      <c r="C34" s="213">
        <v>8236.304095642352</v>
      </c>
      <c r="D34" s="213">
        <v>8537.842340072326</v>
      </c>
      <c r="E34" s="213">
        <v>8881.402142488569</v>
      </c>
      <c r="F34" s="213">
        <v>11408.294104568018</v>
      </c>
      <c r="G34" s="213">
        <v>13287.869140666868</v>
      </c>
      <c r="H34" s="213">
        <v>16425.478250988483</v>
      </c>
      <c r="I34" s="213">
        <v>21004.9081703159</v>
      </c>
    </row>
    <row r="35" spans="1:9" ht="15">
      <c r="A35" s="211" t="str">
        <f>HLOOKUP(INDICE!$F$2,Nombres!$C$3:$D$636,292,FALSE)</f>
        <v>Depósitos Vista FC</v>
      </c>
      <c r="B35" s="212">
        <v>11746.539808501226</v>
      </c>
      <c r="C35" s="212">
        <v>12122.041142050748</v>
      </c>
      <c r="D35" s="212">
        <v>12968.901093032022</v>
      </c>
      <c r="E35" s="212">
        <v>14898.36454855246</v>
      </c>
      <c r="F35" s="212">
        <v>14404.050610579048</v>
      </c>
      <c r="G35" s="212">
        <v>13867.822381491556</v>
      </c>
      <c r="H35" s="212">
        <v>13698.86115266512</v>
      </c>
      <c r="I35" s="212">
        <v>13771.032792040893</v>
      </c>
    </row>
    <row r="36" spans="1:9" ht="15">
      <c r="A36" s="211" t="str">
        <f>HLOOKUP(INDICE!$F$2,Nombres!$C$3:$D$636,293,FALSE)</f>
        <v>Depósitos Plazo FC</v>
      </c>
      <c r="B36" s="212">
        <v>9377.087345317388</v>
      </c>
      <c r="C36" s="212">
        <v>9678.793848108317</v>
      </c>
      <c r="D36" s="212">
        <v>9168.483569933533</v>
      </c>
      <c r="E36" s="212">
        <v>8829.707433214933</v>
      </c>
      <c r="F36" s="212">
        <v>7647.713711497853</v>
      </c>
      <c r="G36" s="212">
        <v>7215.977400478816</v>
      </c>
      <c r="H36" s="212">
        <v>7473.832433346211</v>
      </c>
      <c r="I36" s="212">
        <v>4540.440353433809</v>
      </c>
    </row>
    <row r="37" spans="1:9" ht="15">
      <c r="A37" s="213" t="str">
        <f>HLOOKUP(INDICE!$F$2,Nombres!$C$3:$D$636,294,FALSE)</f>
        <v>Total Depósitos FC</v>
      </c>
      <c r="B37" s="213">
        <v>21123.627153818616</v>
      </c>
      <c r="C37" s="213">
        <v>21800.834990159066</v>
      </c>
      <c r="D37" s="213">
        <v>22137.384662965556</v>
      </c>
      <c r="E37" s="213">
        <v>23728.071981767393</v>
      </c>
      <c r="F37" s="213">
        <v>22051.7643220769</v>
      </c>
      <c r="G37" s="213">
        <v>21083.79978197037</v>
      </c>
      <c r="H37" s="213">
        <v>21172.69358601133</v>
      </c>
      <c r="I37" s="213">
        <v>18311.4731454747</v>
      </c>
    </row>
    <row r="38" spans="1:9" ht="15">
      <c r="A38" s="221" t="str">
        <f>HLOOKUP(INDICE!$F$2,Nombres!$C$3:$D$636,295,FALSE)</f>
        <v>(TL Lira Turca FC Moneda Extranjera)</v>
      </c>
      <c r="B38" s="213"/>
      <c r="C38" s="213"/>
      <c r="D38" s="213"/>
      <c r="E38" s="213"/>
      <c r="F38" s="213"/>
      <c r="G38" s="213"/>
      <c r="H38" s="213"/>
      <c r="I38" s="213"/>
    </row>
    <row r="39" spans="1:9" ht="15.75" customHeight="1">
      <c r="A39" s="213"/>
      <c r="B39" s="213"/>
      <c r="C39" s="213"/>
      <c r="D39" s="213"/>
      <c r="E39" s="213"/>
      <c r="F39" s="213"/>
      <c r="G39" s="213"/>
      <c r="H39" s="213"/>
      <c r="I39" s="213"/>
    </row>
    <row r="40" spans="1:12" ht="15.75" customHeight="1">
      <c r="A40" s="209"/>
      <c r="B40" s="307" t="str">
        <f>HLOOKUP(INDICE!$F$2,Nombres!$C$3:$D$636,283,FALSE)</f>
        <v>América del Sur </v>
      </c>
      <c r="C40" s="307"/>
      <c r="D40" s="307"/>
      <c r="E40" s="307"/>
      <c r="F40" s="307"/>
      <c r="G40" s="307"/>
      <c r="H40" s="307"/>
      <c r="I40" s="307"/>
      <c r="L40" s="224"/>
    </row>
    <row r="41" spans="1:9" ht="15.75">
      <c r="A41" s="210"/>
      <c r="B41" s="118">
        <f>+B$4</f>
        <v>44286</v>
      </c>
      <c r="C41" s="118">
        <f aca="true" t="shared" si="8" ref="C41:I41">+C$4</f>
        <v>44377</v>
      </c>
      <c r="D41" s="118">
        <f t="shared" si="8"/>
        <v>44469</v>
      </c>
      <c r="E41" s="118">
        <f t="shared" si="8"/>
        <v>44561</v>
      </c>
      <c r="F41" s="118">
        <f t="shared" si="8"/>
        <v>44651</v>
      </c>
      <c r="G41" s="118">
        <f t="shared" si="8"/>
        <v>44742</v>
      </c>
      <c r="H41" s="118">
        <f t="shared" si="8"/>
        <v>44834</v>
      </c>
      <c r="I41" s="118">
        <f t="shared" si="8"/>
        <v>44926</v>
      </c>
    </row>
    <row r="42" spans="1:12" ht="15">
      <c r="A42" s="211" t="s">
        <v>6</v>
      </c>
      <c r="B42" s="212">
        <v>3450.6733723745997</v>
      </c>
      <c r="C42" s="212">
        <v>4039.541606076238</v>
      </c>
      <c r="D42" s="212">
        <v>4358.445210141687</v>
      </c>
      <c r="E42" s="212">
        <v>4814.335081336292</v>
      </c>
      <c r="F42" s="212">
        <v>5520.483486835235</v>
      </c>
      <c r="G42" s="212">
        <v>6530.235734262133</v>
      </c>
      <c r="H42" s="212">
        <v>7414.331749659014</v>
      </c>
      <c r="I42" s="212">
        <v>9266.634970680001</v>
      </c>
      <c r="L42" s="211"/>
    </row>
    <row r="43" spans="1:12" ht="15">
      <c r="A43" s="211" t="s">
        <v>7</v>
      </c>
      <c r="B43" s="212">
        <v>4.953273959218218</v>
      </c>
      <c r="C43" s="212">
        <v>6.849361618768391</v>
      </c>
      <c r="D43" s="212">
        <v>6.478551397132779</v>
      </c>
      <c r="E43" s="212">
        <v>7.829902303050487</v>
      </c>
      <c r="F43" s="212">
        <v>14.754194576392145</v>
      </c>
      <c r="G43" s="212">
        <v>11.329242483343647</v>
      </c>
      <c r="H43" s="212">
        <v>9.129440855443223</v>
      </c>
      <c r="I43" s="212">
        <v>6.672</v>
      </c>
      <c r="L43" s="211"/>
    </row>
    <row r="44" spans="1:12" ht="15">
      <c r="A44" s="211" t="s">
        <v>8</v>
      </c>
      <c r="B44" s="212">
        <v>11245.694618553684</v>
      </c>
      <c r="C44" s="212">
        <v>11701.686868026629</v>
      </c>
      <c r="D44" s="212">
        <v>11712.201825807266</v>
      </c>
      <c r="E44" s="212">
        <v>13349.119973491932</v>
      </c>
      <c r="F44" s="212">
        <v>12997.403255549254</v>
      </c>
      <c r="G44" s="212">
        <v>14707.136951641434</v>
      </c>
      <c r="H44" s="212">
        <v>14473.963848845291</v>
      </c>
      <c r="I44" s="212">
        <v>15107.012847909999</v>
      </c>
      <c r="L44" s="211"/>
    </row>
    <row r="45" spans="1:12" ht="15">
      <c r="A45" s="211" t="s">
        <v>9</v>
      </c>
      <c r="B45" s="212">
        <v>19157.966369283655</v>
      </c>
      <c r="C45" s="212">
        <v>18497.506940953972</v>
      </c>
      <c r="D45" s="212">
        <v>18730.176952009926</v>
      </c>
      <c r="E45" s="212">
        <v>17296.19728216168</v>
      </c>
      <c r="F45" s="212">
        <v>16748.762052440365</v>
      </c>
      <c r="G45" s="212">
        <v>17015.379068360595</v>
      </c>
      <c r="H45" s="212">
        <v>18805.881231538897</v>
      </c>
      <c r="I45" s="212">
        <v>17671.208222769998</v>
      </c>
      <c r="L45" s="211"/>
    </row>
    <row r="46" spans="1:12" ht="15">
      <c r="A46" s="211" t="s">
        <v>10</v>
      </c>
      <c r="B46" s="212">
        <f aca="true" t="shared" si="9" ref="B46:I46">+B47-B45-B44-B43-B42</f>
        <v>14573.040197318685</v>
      </c>
      <c r="C46" s="212">
        <f t="shared" si="9"/>
        <v>14998.367357601737</v>
      </c>
      <c r="D46" s="212">
        <f t="shared" si="9"/>
        <v>15079.509812305914</v>
      </c>
      <c r="E46" s="212">
        <f t="shared" si="9"/>
        <v>15271.271155769231</v>
      </c>
      <c r="F46" s="212">
        <f t="shared" si="9"/>
        <v>15588.647956680588</v>
      </c>
      <c r="G46" s="212">
        <f t="shared" si="9"/>
        <v>15739.926524408063</v>
      </c>
      <c r="H46" s="212">
        <f t="shared" si="9"/>
        <v>16009.71558090426</v>
      </c>
      <c r="I46" s="212">
        <f t="shared" si="9"/>
        <v>15782.17321064</v>
      </c>
      <c r="L46" s="211"/>
    </row>
    <row r="47" spans="1:12" ht="15">
      <c r="A47" s="213" t="str">
        <f>HLOOKUP(INDICE!$F$2,Nombres!$C$3:$D$636,208,FALSE)</f>
        <v> Recursos de clientes en gestión (**)</v>
      </c>
      <c r="B47" s="213">
        <v>48432.32783148984</v>
      </c>
      <c r="C47" s="213">
        <v>49243.952134277344</v>
      </c>
      <c r="D47" s="213">
        <v>49886.81235166192</v>
      </c>
      <c r="E47" s="213">
        <v>50738.75339506219</v>
      </c>
      <c r="F47" s="213">
        <v>50870.050946081836</v>
      </c>
      <c r="G47" s="213">
        <v>54004.00752115557</v>
      </c>
      <c r="H47" s="213">
        <v>56713.02185180291</v>
      </c>
      <c r="I47" s="213">
        <v>57833.701252</v>
      </c>
      <c r="L47" s="213"/>
    </row>
    <row r="48" spans="1:9" ht="15.75">
      <c r="A48" s="206"/>
      <c r="B48" s="215">
        <f>+B42+B43+B44+B45+B46-B47</f>
        <v>0</v>
      </c>
      <c r="C48" s="215">
        <f aca="true" t="shared" si="10" ref="C48:I48">+C42+C43+C44+C45+C46-C47</f>
        <v>0</v>
      </c>
      <c r="D48" s="215">
        <f t="shared" si="10"/>
        <v>0</v>
      </c>
      <c r="E48" s="215">
        <f t="shared" si="10"/>
        <v>0</v>
      </c>
      <c r="F48" s="215">
        <f t="shared" si="10"/>
        <v>0</v>
      </c>
      <c r="G48" s="215">
        <f t="shared" si="10"/>
        <v>0</v>
      </c>
      <c r="H48" s="215">
        <f t="shared" si="10"/>
        <v>0</v>
      </c>
      <c r="I48" s="215">
        <f t="shared" si="10"/>
        <v>0</v>
      </c>
    </row>
    <row r="51" ht="15">
      <c r="A51" s="223" t="str">
        <f>HLOOKUP(INDICE!$F$2,Nombres!$C$3:$D$636,206,FALSE)</f>
        <v>Incluye fondos de inversión, carteras gestionadas , fondos de pensiones y otros recursos fuera de balance.(*)</v>
      </c>
    </row>
    <row r="52" ht="15">
      <c r="A52" s="223" t="str">
        <f>HLOOKUP(INDICE!$F$2,Nombres!$C$3:$D$636,207,FALSE)</f>
        <v>No incluye las cesiones temporales de activos.  (**)</v>
      </c>
    </row>
    <row r="53" ht="15">
      <c r="A53" s="223"/>
    </row>
    <row r="54" spans="2:9" ht="15">
      <c r="B54" s="295"/>
      <c r="C54" s="295"/>
      <c r="D54" s="295"/>
      <c r="E54" s="295"/>
      <c r="F54" s="295"/>
      <c r="G54" s="295"/>
      <c r="H54" s="295"/>
      <c r="I54" s="295"/>
    </row>
    <row r="55" spans="2:9" ht="15.75">
      <c r="B55" s="215">
        <f>+B42-Argentina!B108-Argentina!B109-Argentina!B110-Argentina!B111</f>
        <v>-3.410605131648481E-13</v>
      </c>
      <c r="C55" s="215">
        <f>+C42-Argentina!C108-Argentina!C109-Argentina!C110-Argentina!C111</f>
        <v>-9.094947017729282E-13</v>
      </c>
      <c r="D55" s="215">
        <f>+D42-Argentina!D108-Argentina!D109-Argentina!D110-Argentina!D111</f>
        <v>-5.684341886080801E-13</v>
      </c>
      <c r="E55" s="215">
        <f>+E42-Argentina!E108-Argentina!E109-Argentina!E110-Argentina!E111</f>
        <v>4.547473508864641E-13</v>
      </c>
      <c r="F55" s="215">
        <f>+F42-Argentina!F108-Argentina!F109-Argentina!F110-Argentina!F111</f>
        <v>9.094947017729282E-13</v>
      </c>
      <c r="G55" s="215">
        <f>+G42-Argentina!G108-Argentina!G109-Argentina!G110-Argentina!G111</f>
        <v>-4.547473508864641E-13</v>
      </c>
      <c r="H55" s="215">
        <f>+H42-Argentina!H108-Argentina!H109-Argentina!H110-Argentina!H111</f>
        <v>-7.606331564602442E-09</v>
      </c>
      <c r="I55" s="215">
        <f>+I42-Argentina!I108-Argentina!I109-Argentina!I110-Argentina!I111</f>
        <v>4.547473508864641E-13</v>
      </c>
    </row>
    <row r="56" spans="2:9" ht="15.75">
      <c r="B56" s="215">
        <f>+B43-Chile!B108-Chile!B109-Chile!B110-Chile!B111</f>
        <v>0</v>
      </c>
      <c r="C56" s="215">
        <f>+C43-Chile!C108-Chile!C109-Chile!C110-Chile!C111</f>
        <v>0</v>
      </c>
      <c r="D56" s="215">
        <f>+D43-Chile!D108-Chile!D109-Chile!D110-Chile!D111</f>
        <v>0</v>
      </c>
      <c r="E56" s="215">
        <f>+E43-Chile!E108-Chile!E109-Chile!E110-Chile!E111</f>
        <v>0</v>
      </c>
      <c r="F56" s="215">
        <f>+F43-Chile!F108-Chile!F109-Chile!F110-Chile!F111</f>
        <v>0</v>
      </c>
      <c r="G56" s="215">
        <f>+G43-Chile!G108-Chile!G109-Chile!G110-Chile!G111</f>
        <v>0</v>
      </c>
      <c r="H56" s="215">
        <f>+H43-Chile!H108-Chile!H109-Chile!H110-Chile!H111</f>
        <v>0</v>
      </c>
      <c r="I56" s="215">
        <f>+I43-Chile!I108-Chile!I109-Chile!I110-Chile!I111</f>
        <v>0</v>
      </c>
    </row>
    <row r="57" spans="2:9" ht="15.75">
      <c r="B57" s="215">
        <f>+B44-Colombia!B108-Colombia!B109-Colombia!B110-Colombia!B111</f>
        <v>9.094947017729282E-13</v>
      </c>
      <c r="C57" s="215">
        <f>+C44-Colombia!C108-Colombia!C109-Colombia!C110-Colombia!C111</f>
        <v>-8.701817932887934E-09</v>
      </c>
      <c r="D57" s="215">
        <f>+D44-Colombia!D108-Colombia!D109-Colombia!D110-Colombia!D111</f>
        <v>-8.655888450448401E-09</v>
      </c>
      <c r="E57" s="215">
        <f>+E44-Colombia!E108-Colombia!E109-Colombia!E110-Colombia!E111</f>
        <v>-8.79163053468801E-09</v>
      </c>
      <c r="F57" s="215">
        <f>+F44-Colombia!F108-Colombia!F109-Colombia!F110-Colombia!F111</f>
        <v>8.108145266305655E-09</v>
      </c>
      <c r="G57" s="215">
        <f>+G44-Colombia!G108-Colombia!G109-Colombia!G110-Colombia!G111</f>
        <v>1.3642420526593924E-12</v>
      </c>
      <c r="H57" s="215">
        <f>+H44-Colombia!H108-Colombia!H109-Colombia!H110-Colombia!H111</f>
        <v>8.609276846982539E-09</v>
      </c>
      <c r="I57" s="215">
        <f>+I44-Colombia!I108-Colombia!I109-Colombia!I110-Colombia!I111</f>
        <v>9.997620509238914E-09</v>
      </c>
    </row>
    <row r="58" spans="2:9" ht="15.75">
      <c r="B58" s="215">
        <f>+B45-Peru!B108-Peru!B109-Peru!B110-Peru!B111</f>
        <v>-2.7284841053187847E-12</v>
      </c>
      <c r="C58" s="215">
        <f>+C45-Peru!C108-Peru!C109-Peru!C110-Peru!C111</f>
        <v>-2.388455868640449E-07</v>
      </c>
      <c r="D58" s="215">
        <f>+D45-Peru!D108-Peru!D109-Peru!D110-Peru!D111</f>
        <v>2.4752966965024825E-07</v>
      </c>
      <c r="E58" s="215">
        <f>+E45-Peru!E108-Peru!E109-Peru!E110-Peru!E111</f>
        <v>2.2199628801899962E-08</v>
      </c>
      <c r="F58" s="215">
        <f>+F45-Peru!F108-Peru!F109-Peru!F110-Peru!F111</f>
        <v>-2.0301058611948974E-08</v>
      </c>
      <c r="G58" s="215">
        <f>+G45-Peru!G108-Peru!G109-Peru!G110-Peru!G111</f>
        <v>2.5148165150312707E-07</v>
      </c>
      <c r="H58" s="215">
        <f>+H45-Peru!H108-Peru!H109-Peru!H110-Peru!H111</f>
        <v>-2.2737367544323206E-12</v>
      </c>
      <c r="I58" s="215">
        <f>+I45-Peru!I108-Peru!I109-Peru!I110-Peru!I111</f>
        <v>2.399979166511912E-07</v>
      </c>
    </row>
    <row r="59" spans="2:9" ht="15.75">
      <c r="B59" s="215">
        <f>+B47-AdS!B108-AdS!B109-AdS!B110-AdS!B111</f>
        <v>-1.6370904631912708E-11</v>
      </c>
      <c r="C59" s="215">
        <f>+C47-AdS!C108-AdS!C109-AdS!C110-AdS!C111</f>
        <v>-2.475571818649769E-07</v>
      </c>
      <c r="D59" s="215">
        <f>+D47-AdS!D108-AdS!D109-AdS!D110-AdS!D111</f>
        <v>2.388587745372206E-07</v>
      </c>
      <c r="E59" s="215">
        <f>+E47-AdS!E108-AdS!E109-AdS!E110-AdS!E111</f>
        <v>1.3409589882940054E-08</v>
      </c>
      <c r="F59" s="215">
        <f>+F47-AdS!F108-AdS!F109-AdS!F110-AdS!F111</f>
        <v>-1.2179953046143055E-08</v>
      </c>
      <c r="G59" s="215">
        <f>+G47-AdS!G108-AdS!G109-AdS!G110-AdS!G111</f>
        <v>2.5149529392365366E-07</v>
      </c>
      <c r="H59" s="215">
        <f>+H47-AdS!H108-AdS!H109-AdS!H110-AdS!H111</f>
        <v>1.0095391189679503E-09</v>
      </c>
      <c r="I59" s="215">
        <f>+I47-AdS!I108-AdS!I109-AdS!I110-AdS!I111</f>
        <v>2.5000736059155315E-07</v>
      </c>
    </row>
    <row r="60" spans="2:9" ht="15">
      <c r="B60" s="295"/>
      <c r="C60" s="295"/>
      <c r="D60" s="295"/>
      <c r="E60" s="295"/>
      <c r="F60" s="295"/>
      <c r="G60" s="295"/>
      <c r="H60" s="295"/>
      <c r="I60" s="295"/>
    </row>
    <row r="61" spans="2:9" ht="15">
      <c r="B61" s="295"/>
      <c r="C61" s="295"/>
      <c r="D61" s="295"/>
      <c r="E61" s="295"/>
      <c r="F61" s="295"/>
      <c r="G61" s="295"/>
      <c r="H61" s="295"/>
      <c r="I61" s="295"/>
    </row>
    <row r="62" spans="2:9" ht="15">
      <c r="B62" s="295"/>
      <c r="C62" s="295"/>
      <c r="D62" s="295"/>
      <c r="E62" s="295"/>
      <c r="F62" s="295"/>
      <c r="G62" s="295"/>
      <c r="H62" s="295"/>
      <c r="I62" s="295"/>
    </row>
    <row r="63" spans="2:9" ht="15">
      <c r="B63" s="295"/>
      <c r="C63" s="295"/>
      <c r="D63" s="295"/>
      <c r="E63" s="295"/>
      <c r="F63" s="295"/>
      <c r="G63" s="295"/>
      <c r="H63" s="295"/>
      <c r="I63" s="295"/>
    </row>
    <row r="64" spans="2:9" ht="15">
      <c r="B64" s="295"/>
      <c r="C64" s="295"/>
      <c r="D64" s="295"/>
      <c r="E64" s="295"/>
      <c r="F64" s="295"/>
      <c r="G64" s="295"/>
      <c r="H64" s="295"/>
      <c r="I64" s="295"/>
    </row>
    <row r="65" spans="2:9" ht="15">
      <c r="B65" s="295"/>
      <c r="C65" s="295"/>
      <c r="D65" s="295"/>
      <c r="E65" s="295"/>
      <c r="F65" s="295"/>
      <c r="G65" s="295"/>
      <c r="H65" s="295"/>
      <c r="I65" s="295"/>
    </row>
    <row r="1001" ht="15">
      <c r="A1001" s="205" t="s">
        <v>391</v>
      </c>
    </row>
  </sheetData>
  <sheetProtection/>
  <mergeCells count="5">
    <mergeCell ref="B3:I3"/>
    <mergeCell ref="B12:I12"/>
    <mergeCell ref="B21:I21"/>
    <mergeCell ref="B30:I30"/>
    <mergeCell ref="B40:I40"/>
  </mergeCells>
  <conditionalFormatting sqref="B10:I10">
    <cfRule type="cellIs" priority="9" dxfId="132" operator="notBetween">
      <formula>0.5</formula>
      <formula>-0.5</formula>
    </cfRule>
  </conditionalFormatting>
  <conditionalFormatting sqref="B19:I19">
    <cfRule type="cellIs" priority="8" dxfId="132" operator="notBetween">
      <formula>0.5</formula>
      <formula>-0.5</formula>
    </cfRule>
  </conditionalFormatting>
  <conditionalFormatting sqref="B28:I28">
    <cfRule type="cellIs" priority="7" dxfId="132" operator="notBetween">
      <formula>0.5</formula>
      <formula>-0.5</formula>
    </cfRule>
  </conditionalFormatting>
  <conditionalFormatting sqref="B48:I48">
    <cfRule type="cellIs" priority="6" dxfId="132" operator="notBetween">
      <formula>0.5</formula>
      <formula>-0.5</formula>
    </cfRule>
  </conditionalFormatting>
  <conditionalFormatting sqref="B11">
    <cfRule type="cellIs" priority="5" dxfId="132" operator="notBetween">
      <formula>0.5</formula>
      <formula>-0.5</formula>
    </cfRule>
  </conditionalFormatting>
  <conditionalFormatting sqref="C11:I11">
    <cfRule type="cellIs" priority="4" dxfId="132" operator="notBetween">
      <formula>0.5</formula>
      <formula>-0.5</formula>
    </cfRule>
  </conditionalFormatting>
  <conditionalFormatting sqref="B20:I20">
    <cfRule type="cellIs" priority="3" dxfId="132" operator="notBetween">
      <formula>0.5</formula>
      <formula>-0.5</formula>
    </cfRule>
  </conditionalFormatting>
  <conditionalFormatting sqref="B29:I29">
    <cfRule type="cellIs" priority="2" dxfId="132" operator="notBetween">
      <formula>0.5</formula>
      <formula>-0.5</formula>
    </cfRule>
  </conditionalFormatting>
  <conditionalFormatting sqref="B55:I59">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8">
      <c r="A1" s="252" t="str">
        <f>HLOOKUP(INDICE!$F$2,Nombres!$C$3:$D$636,242,FALSE)</f>
        <v>Carteras Coap</v>
      </c>
      <c r="B1" s="203"/>
      <c r="C1" s="203"/>
      <c r="D1" s="203"/>
      <c r="E1" s="203"/>
      <c r="F1" s="203"/>
      <c r="G1" s="203"/>
      <c r="H1" s="203"/>
      <c r="I1" s="203"/>
    </row>
    <row r="2" spans="1:9" ht="15.75">
      <c r="A2" s="83" t="str">
        <f>HLOOKUP(INDICE!$F$2,Nombres!$C$3:$D$636,32,FALSE)</f>
        <v>(Millones de euros)</v>
      </c>
      <c r="B2" s="206"/>
      <c r="C2" s="206"/>
      <c r="D2" s="206"/>
      <c r="E2" s="206"/>
      <c r="F2" s="206"/>
      <c r="G2" s="205"/>
      <c r="H2" s="205"/>
      <c r="I2" s="205"/>
    </row>
    <row r="3" spans="1:9" ht="15.75">
      <c r="A3" s="208"/>
      <c r="B3" s="206"/>
      <c r="C3" s="206"/>
      <c r="D3" s="206"/>
      <c r="E3" s="206"/>
      <c r="F3" s="206"/>
      <c r="G3" s="205"/>
      <c r="H3" s="205"/>
      <c r="I3" s="205"/>
    </row>
    <row r="4" spans="1:9" ht="15.75" customHeight="1">
      <c r="A4" s="209"/>
      <c r="B4" s="308" t="str">
        <f>HLOOKUP(INDICE!$F$2,Nombres!$C$3:$D$636,239,FALSE)</f>
        <v>Total Cartera COAP</v>
      </c>
      <c r="C4" s="307"/>
      <c r="D4" s="307"/>
      <c r="E4" s="307"/>
      <c r="F4" s="307"/>
      <c r="G4" s="307"/>
      <c r="H4" s="307"/>
      <c r="I4" s="307"/>
    </row>
    <row r="5" spans="1:9" ht="15.75">
      <c r="A5" s="210"/>
      <c r="B5" s="118">
        <f>+España!B32</f>
        <v>44286</v>
      </c>
      <c r="C5" s="118">
        <f>+España!C32</f>
        <v>44377</v>
      </c>
      <c r="D5" s="118">
        <f>+España!D32</f>
        <v>44469</v>
      </c>
      <c r="E5" s="118">
        <f>+España!E32</f>
        <v>44561</v>
      </c>
      <c r="F5" s="118">
        <f>+España!F32</f>
        <v>44651</v>
      </c>
      <c r="G5" s="118">
        <f>+España!G32</f>
        <v>44742</v>
      </c>
      <c r="H5" s="118">
        <f>+España!H32</f>
        <v>44834</v>
      </c>
      <c r="I5" s="118">
        <f>+España!I32</f>
        <v>44926</v>
      </c>
    </row>
    <row r="6" spans="1:9" ht="15">
      <c r="A6" s="253" t="str">
        <f>HLOOKUP(INDICE!$F$2,Nombres!$C$3:$D$636,230,FALSE)</f>
        <v>Grupo BBVA</v>
      </c>
      <c r="B6" s="214">
        <v>47683</v>
      </c>
      <c r="C6" s="214">
        <v>48674</v>
      </c>
      <c r="D6" s="214">
        <v>47667</v>
      </c>
      <c r="E6" s="214">
        <v>45403</v>
      </c>
      <c r="F6" s="214">
        <v>51977</v>
      </c>
      <c r="G6" s="214">
        <v>54356</v>
      </c>
      <c r="H6" s="214">
        <v>57778</v>
      </c>
      <c r="I6" s="214">
        <v>57887</v>
      </c>
    </row>
    <row r="7" spans="1:9" ht="15">
      <c r="A7" s="254" t="str">
        <f>HLOOKUP(INDICE!$F$2,Nombres!$C$3:$D$636,231,FALSE)</f>
        <v>Balance Euro</v>
      </c>
      <c r="B7" s="212">
        <v>26943</v>
      </c>
      <c r="C7" s="212">
        <v>28156</v>
      </c>
      <c r="D7" s="212">
        <v>26923</v>
      </c>
      <c r="E7" s="212">
        <v>25768</v>
      </c>
      <c r="F7" s="212">
        <v>28795</v>
      </c>
      <c r="G7" s="212">
        <v>29645</v>
      </c>
      <c r="H7" s="212">
        <v>29984</v>
      </c>
      <c r="I7" s="212">
        <v>30220</v>
      </c>
    </row>
    <row r="8" spans="1:9" ht="15">
      <c r="A8" s="255" t="str">
        <f>HLOOKUP(INDICE!$F$2,Nombres!$C$3:$D$636,232,FALSE)</f>
        <v>España</v>
      </c>
      <c r="B8" s="212">
        <v>14739</v>
      </c>
      <c r="C8" s="212">
        <v>14642</v>
      </c>
      <c r="D8" s="212">
        <v>14628</v>
      </c>
      <c r="E8" s="212">
        <v>14616</v>
      </c>
      <c r="F8" s="212">
        <v>16867</v>
      </c>
      <c r="G8" s="212">
        <v>17694</v>
      </c>
      <c r="H8" s="212">
        <v>18161</v>
      </c>
      <c r="I8" s="212">
        <v>18607</v>
      </c>
    </row>
    <row r="9" spans="1:9" ht="15">
      <c r="A9" s="255" t="str">
        <f>HLOOKUP(INDICE!$F$2,Nombres!$C$3:$D$636,233,FALSE)</f>
        <v>Italia</v>
      </c>
      <c r="B9" s="212">
        <v>7054</v>
      </c>
      <c r="C9" s="212">
        <v>8704</v>
      </c>
      <c r="D9" s="212">
        <v>8691</v>
      </c>
      <c r="E9" s="212">
        <v>8268</v>
      </c>
      <c r="F9" s="212">
        <v>8254</v>
      </c>
      <c r="G9" s="212">
        <v>8242</v>
      </c>
      <c r="H9" s="212">
        <v>7722</v>
      </c>
      <c r="I9" s="212">
        <v>7399</v>
      </c>
    </row>
    <row r="10" spans="1:9" ht="15">
      <c r="A10" s="256" t="str">
        <f>HLOOKUP(INDICE!$F$2,Nombres!$C$3:$D$636,234,FALSE)</f>
        <v>Resto</v>
      </c>
      <c r="B10" s="257">
        <v>5150</v>
      </c>
      <c r="C10" s="257">
        <v>4810</v>
      </c>
      <c r="D10" s="257">
        <v>3604</v>
      </c>
      <c r="E10" s="257">
        <v>2883</v>
      </c>
      <c r="F10" s="257">
        <v>3674</v>
      </c>
      <c r="G10" s="257">
        <v>3709</v>
      </c>
      <c r="H10" s="257">
        <v>4100</v>
      </c>
      <c r="I10" s="257">
        <v>4214</v>
      </c>
    </row>
    <row r="11" spans="1:9" ht="15">
      <c r="A11" s="254" t="str">
        <f>HLOOKUP(INDICE!$F$2,Nombres!$C$3:$D$636,236,FALSE)</f>
        <v>Turquia</v>
      </c>
      <c r="B11" s="212">
        <v>6718</v>
      </c>
      <c r="C11" s="212">
        <v>6602</v>
      </c>
      <c r="D11" s="212">
        <v>6982</v>
      </c>
      <c r="E11" s="212">
        <v>5511</v>
      </c>
      <c r="F11" s="257">
        <v>6704</v>
      </c>
      <c r="G11" s="212">
        <v>7310</v>
      </c>
      <c r="H11" s="212">
        <v>8434</v>
      </c>
      <c r="I11" s="212">
        <v>8476</v>
      </c>
    </row>
    <row r="12" spans="1:9" ht="15">
      <c r="A12" s="254" t="str">
        <f>HLOOKUP(INDICE!$F$2,Nombres!$C$3:$D$636,237,FALSE)</f>
        <v>Mexico</v>
      </c>
      <c r="B12" s="212">
        <v>10038</v>
      </c>
      <c r="C12" s="212">
        <v>9848</v>
      </c>
      <c r="D12" s="212">
        <v>9767</v>
      </c>
      <c r="E12" s="212">
        <v>10119</v>
      </c>
      <c r="F12" s="257">
        <v>10501</v>
      </c>
      <c r="G12" s="212">
        <v>10754</v>
      </c>
      <c r="H12" s="212">
        <v>12256</v>
      </c>
      <c r="I12" s="212">
        <v>12427</v>
      </c>
    </row>
    <row r="13" spans="1:9" ht="15">
      <c r="A13" s="254" t="str">
        <f>HLOOKUP(INDICE!$F$2,Nombres!$C$3:$D$636,238,FALSE)</f>
        <v>Amércia del Sur</v>
      </c>
      <c r="B13" s="212">
        <v>3984</v>
      </c>
      <c r="C13" s="212">
        <v>4068</v>
      </c>
      <c r="D13" s="212">
        <v>3995</v>
      </c>
      <c r="E13" s="212">
        <v>4005</v>
      </c>
      <c r="F13" s="257">
        <v>5977</v>
      </c>
      <c r="G13" s="212">
        <v>6647</v>
      </c>
      <c r="H13" s="212">
        <v>7104</v>
      </c>
      <c r="I13" s="212">
        <v>6764</v>
      </c>
    </row>
    <row r="14" spans="1:9" ht="15">
      <c r="A14" s="294"/>
      <c r="B14" s="258">
        <f aca="true" t="shared" si="0" ref="B14:G14">+B6-B8-B9-B10-B11-B12-B13</f>
        <v>0</v>
      </c>
      <c r="C14" s="258">
        <f t="shared" si="0"/>
        <v>0</v>
      </c>
      <c r="D14" s="258">
        <f t="shared" si="0"/>
        <v>0</v>
      </c>
      <c r="E14" s="258">
        <f t="shared" si="0"/>
        <v>1</v>
      </c>
      <c r="F14" s="258">
        <f t="shared" si="0"/>
        <v>0</v>
      </c>
      <c r="G14" s="258">
        <f t="shared" si="0"/>
        <v>0</v>
      </c>
      <c r="H14" s="258">
        <f>+H6-H8-H9-H10-H11-H12-H13</f>
        <v>1</v>
      </c>
      <c r="I14" s="258" t="e">
        <f>+I6-I8-I9-I10-#REF!-I11-I12-I13</f>
        <v>#REF!</v>
      </c>
    </row>
    <row r="15" spans="1:9" ht="15">
      <c r="A15" s="294"/>
      <c r="B15" s="258"/>
      <c r="C15" s="258"/>
      <c r="D15" s="258"/>
      <c r="E15" s="258"/>
      <c r="F15" s="258"/>
      <c r="G15" s="258"/>
      <c r="H15" s="258"/>
      <c r="I15" s="258"/>
    </row>
    <row r="16" spans="1:9" ht="15">
      <c r="A16" s="294"/>
      <c r="B16" s="258"/>
      <c r="C16" s="258"/>
      <c r="D16" s="258"/>
      <c r="E16" s="258"/>
      <c r="F16" s="258"/>
      <c r="G16" s="258"/>
      <c r="H16" s="258"/>
      <c r="I16" s="258"/>
    </row>
    <row r="17" spans="1:9" ht="15.75" customHeight="1">
      <c r="A17" s="209"/>
      <c r="B17" s="308" t="str">
        <f>HLOOKUP(INDICE!$F$2,Nombres!$C$3:$D$636,240,FALSE)</f>
        <v>Cartera COAP a Coste Amortizado</v>
      </c>
      <c r="C17" s="307"/>
      <c r="D17" s="307"/>
      <c r="E17" s="307"/>
      <c r="F17" s="307"/>
      <c r="G17" s="307"/>
      <c r="H17" s="307"/>
      <c r="I17" s="307"/>
    </row>
    <row r="18" spans="1:9" ht="15.75" customHeight="1">
      <c r="A18" s="210"/>
      <c r="B18" s="118">
        <f aca="true" t="shared" si="1" ref="B18:I18">+B$5</f>
        <v>44286</v>
      </c>
      <c r="C18" s="118">
        <f t="shared" si="1"/>
        <v>44377</v>
      </c>
      <c r="D18" s="118">
        <f t="shared" si="1"/>
        <v>44469</v>
      </c>
      <c r="E18" s="118">
        <f t="shared" si="1"/>
        <v>44561</v>
      </c>
      <c r="F18" s="118">
        <f t="shared" si="1"/>
        <v>44651</v>
      </c>
      <c r="G18" s="118">
        <f t="shared" si="1"/>
        <v>44742</v>
      </c>
      <c r="H18" s="118">
        <f t="shared" si="1"/>
        <v>44834</v>
      </c>
      <c r="I18" s="118">
        <f t="shared" si="1"/>
        <v>44926</v>
      </c>
    </row>
    <row r="19" spans="1:9" ht="15">
      <c r="A19" s="253" t="str">
        <f>HLOOKUP(INDICE!$F$2,Nombres!$C$3:$D$636,230,FALSE)</f>
        <v>Grupo BBVA</v>
      </c>
      <c r="B19" s="214">
        <v>21224</v>
      </c>
      <c r="C19" s="214">
        <v>20435</v>
      </c>
      <c r="D19" s="214">
        <v>20458</v>
      </c>
      <c r="E19" s="214">
        <v>19570</v>
      </c>
      <c r="F19" s="214">
        <v>20629.094219</v>
      </c>
      <c r="G19" s="214">
        <v>22021</v>
      </c>
      <c r="H19" s="214">
        <v>24903</v>
      </c>
      <c r="I19" s="214">
        <v>26781</v>
      </c>
    </row>
    <row r="20" spans="1:9" ht="15">
      <c r="A20" s="254" t="str">
        <f>HLOOKUP(INDICE!$F$2,Nombres!$C$3:$D$636,231,FALSE)</f>
        <v>Balance Euro</v>
      </c>
      <c r="B20" s="212">
        <v>14990</v>
      </c>
      <c r="C20" s="212">
        <v>14956</v>
      </c>
      <c r="D20" s="212">
        <v>14937</v>
      </c>
      <c r="E20" s="212">
        <v>14505</v>
      </c>
      <c r="F20" s="212">
        <v>14488.094219</v>
      </c>
      <c r="G20" s="212">
        <v>14959</v>
      </c>
      <c r="H20" s="212">
        <v>15735</v>
      </c>
      <c r="I20" s="212">
        <v>16836</v>
      </c>
    </row>
    <row r="21" spans="1:9" ht="15">
      <c r="A21" s="255" t="str">
        <f>HLOOKUP(INDICE!$F$2,Nombres!$C$3:$D$636,232,FALSE)</f>
        <v>España</v>
      </c>
      <c r="B21" s="212">
        <v>11223</v>
      </c>
      <c r="C21" s="212">
        <v>11199</v>
      </c>
      <c r="D21" s="212">
        <v>11187</v>
      </c>
      <c r="E21" s="212">
        <v>11178</v>
      </c>
      <c r="F21" s="212">
        <v>11169.094219</v>
      </c>
      <c r="G21" s="212">
        <v>11645</v>
      </c>
      <c r="H21" s="212">
        <v>12163</v>
      </c>
      <c r="I21" s="212">
        <v>12617</v>
      </c>
    </row>
    <row r="22" spans="1:9" ht="15">
      <c r="A22" s="255" t="str">
        <f>HLOOKUP(INDICE!$F$2,Nombres!$C$3:$D$636,233,FALSE)</f>
        <v>Italia</v>
      </c>
      <c r="B22" s="212">
        <v>3681</v>
      </c>
      <c r="C22" s="212">
        <v>3676</v>
      </c>
      <c r="D22" s="212">
        <v>3671</v>
      </c>
      <c r="E22" s="212">
        <v>3250</v>
      </c>
      <c r="F22" s="212">
        <v>3245</v>
      </c>
      <c r="G22" s="212">
        <v>3240</v>
      </c>
      <c r="H22" s="212">
        <v>3236</v>
      </c>
      <c r="I22" s="212">
        <v>3233</v>
      </c>
    </row>
    <row r="23" spans="1:9" ht="15">
      <c r="A23" s="256" t="str">
        <f>HLOOKUP(INDICE!$F$2,Nombres!$C$3:$D$636,234,FALSE)</f>
        <v>Resto</v>
      </c>
      <c r="B23" s="212">
        <v>86</v>
      </c>
      <c r="C23" s="212">
        <v>81</v>
      </c>
      <c r="D23" s="212">
        <v>79</v>
      </c>
      <c r="E23" s="212">
        <v>77</v>
      </c>
      <c r="F23" s="212">
        <v>74</v>
      </c>
      <c r="G23" s="212">
        <v>74</v>
      </c>
      <c r="H23" s="212">
        <v>336</v>
      </c>
      <c r="I23" s="212">
        <v>986</v>
      </c>
    </row>
    <row r="24" spans="1:9" ht="15">
      <c r="A24" s="254" t="str">
        <f>HLOOKUP(INDICE!$F$2,Nombres!$C$3:$D$636,236,FALSE)</f>
        <v>Turquia</v>
      </c>
      <c r="B24" s="212">
        <v>3639</v>
      </c>
      <c r="C24" s="212">
        <v>3326</v>
      </c>
      <c r="D24" s="212">
        <v>3363</v>
      </c>
      <c r="E24" s="212">
        <v>2681</v>
      </c>
      <c r="F24" s="212">
        <v>3641</v>
      </c>
      <c r="G24" s="212">
        <v>4129</v>
      </c>
      <c r="H24" s="212">
        <v>5213</v>
      </c>
      <c r="I24" s="212">
        <v>5281</v>
      </c>
    </row>
    <row r="25" spans="1:9" ht="15">
      <c r="A25" s="254" t="str">
        <f>HLOOKUP(INDICE!$F$2,Nombres!$C$3:$D$636,237,FALSE)</f>
        <v>Mexico</v>
      </c>
      <c r="B25" s="212">
        <v>2461</v>
      </c>
      <c r="C25" s="212">
        <v>2001</v>
      </c>
      <c r="D25" s="212">
        <v>1987</v>
      </c>
      <c r="E25" s="212">
        <v>2190</v>
      </c>
      <c r="F25" s="212">
        <v>2294</v>
      </c>
      <c r="G25" s="212">
        <v>2693</v>
      </c>
      <c r="H25" s="212">
        <v>3705</v>
      </c>
      <c r="I25" s="212">
        <v>4492</v>
      </c>
    </row>
    <row r="26" spans="1:9" ht="15">
      <c r="A26" s="254" t="str">
        <f>HLOOKUP(INDICE!$F$2,Nombres!$C$3:$D$636,238,FALSE)</f>
        <v>Amércia del Sur</v>
      </c>
      <c r="B26" s="212">
        <v>134</v>
      </c>
      <c r="C26" s="212">
        <v>152</v>
      </c>
      <c r="D26" s="212">
        <v>171</v>
      </c>
      <c r="E26" s="212">
        <v>194</v>
      </c>
      <c r="F26" s="212">
        <v>206</v>
      </c>
      <c r="G26" s="212">
        <v>240</v>
      </c>
      <c r="H26" s="212">
        <v>250</v>
      </c>
      <c r="I26" s="212">
        <v>172</v>
      </c>
    </row>
    <row r="27" spans="1:9" ht="15">
      <c r="A27" s="294"/>
      <c r="B27" s="258">
        <f aca="true" t="shared" si="2" ref="B27:G27">+B19-B21-B22-B23-B24-B25-B26</f>
        <v>0</v>
      </c>
      <c r="C27" s="258">
        <f t="shared" si="2"/>
        <v>0</v>
      </c>
      <c r="D27" s="258">
        <f t="shared" si="2"/>
        <v>0</v>
      </c>
      <c r="E27" s="258">
        <f t="shared" si="2"/>
        <v>0</v>
      </c>
      <c r="F27" s="258">
        <f t="shared" si="2"/>
        <v>-1.8189894035458565E-12</v>
      </c>
      <c r="G27" s="258">
        <f t="shared" si="2"/>
        <v>0</v>
      </c>
      <c r="H27" s="258">
        <f>+H19-H21-H22-H23-H24-H25-H26</f>
        <v>0</v>
      </c>
      <c r="I27" s="258" t="e">
        <f>+I19-I21-I22-I23-#REF!-I24-I25-I26</f>
        <v>#REF!</v>
      </c>
    </row>
    <row r="28" spans="1:9" ht="15.75">
      <c r="A28" s="294"/>
      <c r="B28" s="205"/>
      <c r="C28" s="205"/>
      <c r="D28" s="205"/>
      <c r="E28" s="205"/>
      <c r="F28" s="217"/>
      <c r="G28" s="217"/>
      <c r="H28" s="217"/>
      <c r="I28" s="217"/>
    </row>
    <row r="29" spans="1:9" ht="15.75">
      <c r="A29" s="206"/>
      <c r="B29" s="217"/>
      <c r="C29" s="217"/>
      <c r="D29" s="217"/>
      <c r="E29" s="217"/>
      <c r="F29" s="217"/>
      <c r="G29" s="205"/>
      <c r="H29" s="205"/>
      <c r="I29" s="205"/>
    </row>
    <row r="30" spans="1:9" ht="15.75" customHeight="1">
      <c r="A30" s="209"/>
      <c r="B30" s="308" t="str">
        <f>HLOOKUP(INDICE!$F$2,Nombres!$C$3:$D$636,241,FALSE)</f>
        <v>Cartera COAP a Valor Razonable</v>
      </c>
      <c r="C30" s="307"/>
      <c r="D30" s="307"/>
      <c r="E30" s="307"/>
      <c r="F30" s="307"/>
      <c r="G30" s="307"/>
      <c r="H30" s="307"/>
      <c r="I30" s="307"/>
    </row>
    <row r="31" spans="1:9" ht="15.75">
      <c r="A31" s="210"/>
      <c r="B31" s="118">
        <f aca="true" t="shared" si="3" ref="B31:I31">+B$5</f>
        <v>44286</v>
      </c>
      <c r="C31" s="118">
        <f t="shared" si="3"/>
        <v>44377</v>
      </c>
      <c r="D31" s="118">
        <f t="shared" si="3"/>
        <v>44469</v>
      </c>
      <c r="E31" s="118">
        <f t="shared" si="3"/>
        <v>44561</v>
      </c>
      <c r="F31" s="118">
        <f t="shared" si="3"/>
        <v>44651</v>
      </c>
      <c r="G31" s="118">
        <f t="shared" si="3"/>
        <v>44742</v>
      </c>
      <c r="H31" s="118">
        <f t="shared" si="3"/>
        <v>44834</v>
      </c>
      <c r="I31" s="118">
        <f t="shared" si="3"/>
        <v>44926</v>
      </c>
    </row>
    <row r="32" spans="1:9" ht="15.75" customHeight="1">
      <c r="A32" s="253" t="str">
        <f>HLOOKUP(INDICE!$F$2,Nombres!$C$3:$D$636,230,FALSE)</f>
        <v>Grupo BBVA</v>
      </c>
      <c r="B32" s="214">
        <v>26459</v>
      </c>
      <c r="C32" s="214">
        <v>28239</v>
      </c>
      <c r="D32" s="214">
        <v>27209</v>
      </c>
      <c r="E32" s="214">
        <v>25832</v>
      </c>
      <c r="F32" s="214">
        <v>31347.905781</v>
      </c>
      <c r="G32" s="214">
        <v>32335</v>
      </c>
      <c r="H32" s="214">
        <v>32874</v>
      </c>
      <c r="I32" s="214">
        <v>31106</v>
      </c>
    </row>
    <row r="33" spans="1:9" ht="15">
      <c r="A33" s="211" t="str">
        <f>HLOOKUP(INDICE!$F$2,Nombres!$C$3:$D$636,231,FALSE)</f>
        <v>Balance Euro</v>
      </c>
      <c r="B33" s="212">
        <v>11953</v>
      </c>
      <c r="C33" s="212">
        <v>13200</v>
      </c>
      <c r="D33" s="212">
        <v>11986</v>
      </c>
      <c r="E33" s="212">
        <v>11263</v>
      </c>
      <c r="F33" s="212">
        <v>14306.905781000001</v>
      </c>
      <c r="G33" s="212">
        <v>14686</v>
      </c>
      <c r="H33" s="212">
        <v>14248</v>
      </c>
      <c r="I33" s="212">
        <v>13384</v>
      </c>
    </row>
    <row r="34" spans="1:9" ht="15">
      <c r="A34" s="256" t="str">
        <f>HLOOKUP(INDICE!$F$2,Nombres!$C$3:$D$636,232,FALSE)</f>
        <v>España</v>
      </c>
      <c r="B34" s="212">
        <v>3516</v>
      </c>
      <c r="C34" s="212">
        <v>3443</v>
      </c>
      <c r="D34" s="212">
        <v>3441</v>
      </c>
      <c r="E34" s="212">
        <v>3438</v>
      </c>
      <c r="F34" s="212">
        <v>5697.905781</v>
      </c>
      <c r="G34" s="212">
        <v>6049</v>
      </c>
      <c r="H34" s="212">
        <v>5998</v>
      </c>
      <c r="I34" s="212">
        <v>5990</v>
      </c>
    </row>
    <row r="35" spans="1:9" ht="15">
      <c r="A35" s="256" t="str">
        <f>HLOOKUP(INDICE!$F$2,Nombres!$C$3:$D$636,233,FALSE)</f>
        <v>Italia</v>
      </c>
      <c r="B35" s="212">
        <v>3373</v>
      </c>
      <c r="C35" s="212">
        <v>5028</v>
      </c>
      <c r="D35" s="212">
        <v>5020</v>
      </c>
      <c r="E35" s="212">
        <v>5018</v>
      </c>
      <c r="F35" s="212">
        <v>5009</v>
      </c>
      <c r="G35" s="212">
        <v>5002</v>
      </c>
      <c r="H35" s="212">
        <v>4486</v>
      </c>
      <c r="I35" s="212">
        <v>4166</v>
      </c>
    </row>
    <row r="36" spans="1:9" ht="15">
      <c r="A36" s="256" t="str">
        <f>HLOOKUP(INDICE!$F$2,Nombres!$C$3:$D$636,234,FALSE)</f>
        <v>Resto</v>
      </c>
      <c r="B36" s="212">
        <v>5064</v>
      </c>
      <c r="C36" s="212">
        <v>4729</v>
      </c>
      <c r="D36" s="212">
        <v>3525</v>
      </c>
      <c r="E36" s="212">
        <v>2806</v>
      </c>
      <c r="F36" s="212">
        <v>3600</v>
      </c>
      <c r="G36" s="212">
        <v>3635</v>
      </c>
      <c r="H36" s="212">
        <v>3764</v>
      </c>
      <c r="I36" s="212">
        <v>3228</v>
      </c>
    </row>
    <row r="37" spans="1:9" ht="15">
      <c r="A37" s="211" t="str">
        <f>HLOOKUP(INDICE!$F$2,Nombres!$C$3:$D$636,236,FALSE)</f>
        <v>Turquia</v>
      </c>
      <c r="B37" s="212">
        <v>3079</v>
      </c>
      <c r="C37" s="212">
        <v>3276</v>
      </c>
      <c r="D37" s="212">
        <v>3619</v>
      </c>
      <c r="E37" s="212">
        <v>2830</v>
      </c>
      <c r="F37" s="212">
        <v>3063</v>
      </c>
      <c r="G37" s="212">
        <v>3181</v>
      </c>
      <c r="H37" s="212">
        <v>3221</v>
      </c>
      <c r="I37" s="212">
        <v>3195</v>
      </c>
    </row>
    <row r="38" spans="1:9" ht="15">
      <c r="A38" s="211" t="str">
        <f>HLOOKUP(INDICE!$F$2,Nombres!$C$3:$D$636,237,FALSE)</f>
        <v>Mexico</v>
      </c>
      <c r="B38" s="212">
        <v>7577</v>
      </c>
      <c r="C38" s="212">
        <v>7847</v>
      </c>
      <c r="D38" s="212">
        <v>7780</v>
      </c>
      <c r="E38" s="212">
        <v>7929</v>
      </c>
      <c r="F38" s="212">
        <v>8207</v>
      </c>
      <c r="G38" s="212">
        <v>8061</v>
      </c>
      <c r="H38" s="212">
        <v>8551</v>
      </c>
      <c r="I38" s="212">
        <v>7935</v>
      </c>
    </row>
    <row r="39" spans="1:9" ht="15">
      <c r="A39" s="211" t="str">
        <f>HLOOKUP(INDICE!$F$2,Nombres!$C$3:$D$636,238,FALSE)</f>
        <v>Amércia del Sur</v>
      </c>
      <c r="B39" s="212">
        <v>3850</v>
      </c>
      <c r="C39" s="212">
        <v>3916</v>
      </c>
      <c r="D39" s="212">
        <v>3824</v>
      </c>
      <c r="E39" s="212">
        <v>3811</v>
      </c>
      <c r="F39" s="212">
        <v>5771</v>
      </c>
      <c r="G39" s="212">
        <v>6407</v>
      </c>
      <c r="H39" s="212">
        <v>6854</v>
      </c>
      <c r="I39" s="212">
        <v>6592</v>
      </c>
    </row>
    <row r="40" spans="2:9" ht="15">
      <c r="B40" s="258">
        <f aca="true" t="shared" si="4" ref="B40:G40">+B32-B34-B35-B36-B37-B38-B39</f>
        <v>0</v>
      </c>
      <c r="C40" s="258">
        <f t="shared" si="4"/>
        <v>0</v>
      </c>
      <c r="D40" s="258">
        <f t="shared" si="4"/>
        <v>0</v>
      </c>
      <c r="E40" s="258">
        <f t="shared" si="4"/>
        <v>0</v>
      </c>
      <c r="F40" s="258">
        <f t="shared" si="4"/>
        <v>0</v>
      </c>
      <c r="G40" s="258">
        <f t="shared" si="4"/>
        <v>0</v>
      </c>
      <c r="H40" s="258">
        <f>+H32-H34-H35-H36-H37-H38-H39</f>
        <v>0</v>
      </c>
      <c r="I40" s="258" t="e">
        <f>+I32-I34-I35-I36-#REF!-I37-I38-I39</f>
        <v>#REF!</v>
      </c>
    </row>
    <row r="997" ht="15">
      <c r="A997" s="205" t="s">
        <v>391</v>
      </c>
    </row>
  </sheetData>
  <sheetProtection/>
  <mergeCells count="3">
    <mergeCell ref="B4:I4"/>
    <mergeCell ref="B17:I17"/>
    <mergeCell ref="B30:I30"/>
  </mergeCells>
  <conditionalFormatting sqref="B14:I16">
    <cfRule type="cellIs" priority="3" dxfId="132" operator="notBetween">
      <formula>1</formula>
      <formula>-1</formula>
    </cfRule>
  </conditionalFormatting>
  <conditionalFormatting sqref="B27:I27">
    <cfRule type="cellIs" priority="2" dxfId="132" operator="notBetween">
      <formula>1</formula>
      <formula>-1</formula>
    </cfRule>
  </conditionalFormatting>
  <conditionalFormatting sqref="B40:I40">
    <cfRule type="cellIs" priority="1" dxfId="132"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99"/>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2">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3450.8750000400005</v>
      </c>
      <c r="C8" s="41">
        <v>3504.2920000000004</v>
      </c>
      <c r="D8" s="41">
        <v>3752.5249999600005</v>
      </c>
      <c r="E8" s="42">
        <v>3978.2929999499997</v>
      </c>
      <c r="F8" s="41">
        <v>3949.0419998799994</v>
      </c>
      <c r="G8" s="50">
        <v>4601.511</v>
      </c>
      <c r="H8" s="50">
        <v>5260.544999989999</v>
      </c>
      <c r="I8" s="50">
        <v>5342.169000150001</v>
      </c>
    </row>
    <row r="9" spans="1:9" ht="15">
      <c r="A9" s="43" t="str">
        <f>HLOOKUP(INDICE!$F$2,Nombres!$C$3:$D$636,34,FALSE)</f>
        <v>Comisiones netas</v>
      </c>
      <c r="B9" s="44">
        <v>1132.9649999900003</v>
      </c>
      <c r="C9" s="44">
        <v>1181.81500011</v>
      </c>
      <c r="D9" s="44">
        <v>1203.1469999</v>
      </c>
      <c r="E9" s="45">
        <v>1247.10100003</v>
      </c>
      <c r="F9" s="44">
        <v>1241.73699995</v>
      </c>
      <c r="G9" s="44">
        <v>1408.56200005</v>
      </c>
      <c r="H9" s="44">
        <v>1380.18700009</v>
      </c>
      <c r="I9" s="44">
        <v>1322.87599996</v>
      </c>
    </row>
    <row r="10" spans="1:9" ht="15">
      <c r="A10" s="43" t="str">
        <f>HLOOKUP(INDICE!$F$2,Nombres!$C$3:$D$636,35,FALSE)</f>
        <v>Resultados de operaciones financieras</v>
      </c>
      <c r="B10" s="44">
        <v>581.4600000199999</v>
      </c>
      <c r="C10" s="44">
        <v>502.656</v>
      </c>
      <c r="D10" s="44">
        <v>387.42199997</v>
      </c>
      <c r="E10" s="45">
        <v>438.26500000000004</v>
      </c>
      <c r="F10" s="44">
        <v>579.66799999</v>
      </c>
      <c r="G10" s="44">
        <v>515.8</v>
      </c>
      <c r="H10" s="44">
        <v>573.49600001</v>
      </c>
      <c r="I10" s="44">
        <v>269.06400001</v>
      </c>
    </row>
    <row r="11" spans="1:9" ht="15">
      <c r="A11" s="43" t="str">
        <f>HLOOKUP(INDICE!$F$2,Nombres!$C$3:$D$636,96,FALSE)</f>
        <v>Ingresos por dividendos</v>
      </c>
      <c r="B11" s="44">
        <v>5.848999999999975</v>
      </c>
      <c r="C11" s="44">
        <v>119.47300000000004</v>
      </c>
      <c r="D11" s="44">
        <v>4.162999999999932</v>
      </c>
      <c r="E11" s="45">
        <v>46.12000000000009</v>
      </c>
      <c r="F11" s="44">
        <v>3.799000000000042</v>
      </c>
      <c r="G11" s="44">
        <v>72.23799999999991</v>
      </c>
      <c r="H11" s="44">
        <v>2.9960000000000355</v>
      </c>
      <c r="I11" s="44">
        <v>44.181000000000054</v>
      </c>
    </row>
    <row r="12" spans="1:9" ht="15">
      <c r="A12" s="43" t="str">
        <f>HLOOKUP(INDICE!$F$2,Nombres!$C$3:$D$636,97,FALSE)</f>
        <v>Part. gananc/pdas inversiones en dependientes, neg conjunt y asoc</v>
      </c>
      <c r="B12" s="44">
        <v>-5.805</v>
      </c>
      <c r="C12" s="44">
        <v>0.3799999999999988</v>
      </c>
      <c r="D12" s="44">
        <v>3.6560000000000024</v>
      </c>
      <c r="E12" s="45">
        <v>2.5600000000000005</v>
      </c>
      <c r="F12" s="44">
        <v>4.848000000000002</v>
      </c>
      <c r="G12" s="44">
        <v>9.84</v>
      </c>
      <c r="H12" s="44">
        <v>0.7449999999999992</v>
      </c>
      <c r="I12" s="44">
        <v>5.187000000000004</v>
      </c>
    </row>
    <row r="13" spans="1:9" ht="15">
      <c r="A13" s="43" t="str">
        <f>HLOOKUP(INDICE!$F$2,Nombres!$C$3:$D$636,98,FALSE)</f>
        <v>Otros productos/cargas de explotación</v>
      </c>
      <c r="B13" s="44">
        <v>-10.609000030000018</v>
      </c>
      <c r="C13" s="44">
        <v>-204.6449999799998</v>
      </c>
      <c r="D13" s="44">
        <v>-20.443999980000083</v>
      </c>
      <c r="E13" s="45">
        <v>-235.4909999700003</v>
      </c>
      <c r="F13" s="44">
        <v>-363.49700002000003</v>
      </c>
      <c r="G13" s="44">
        <v>-514.1469999900002</v>
      </c>
      <c r="H13" s="44">
        <v>-361.40700000000027</v>
      </c>
      <c r="I13" s="44">
        <v>-459.38199997999936</v>
      </c>
    </row>
    <row r="14" spans="1:9" ht="15">
      <c r="A14" s="41" t="str">
        <f>HLOOKUP(INDICE!$F$2,Nombres!$C$3:$D$636,37,FALSE)</f>
        <v>Margen bruto</v>
      </c>
      <c r="B14" s="41">
        <f>+SUM(B8:B13)</f>
        <v>5154.73500002</v>
      </c>
      <c r="C14" s="41">
        <f aca="true" t="shared" si="0" ref="C14:I14">+SUM(C8:C13)</f>
        <v>5103.971000130001</v>
      </c>
      <c r="D14" s="41">
        <f t="shared" si="0"/>
        <v>5330.46899985</v>
      </c>
      <c r="E14" s="42">
        <f t="shared" si="0"/>
        <v>5476.84800001</v>
      </c>
      <c r="F14" s="41">
        <f t="shared" si="0"/>
        <v>5415.596999799999</v>
      </c>
      <c r="G14" s="50">
        <f t="shared" si="0"/>
        <v>6093.804000060001</v>
      </c>
      <c r="H14" s="50">
        <f t="shared" si="0"/>
        <v>6856.562000089999</v>
      </c>
      <c r="I14" s="50">
        <f t="shared" si="0"/>
        <v>6524.0950001400015</v>
      </c>
    </row>
    <row r="15" spans="1:9" ht="15">
      <c r="A15" s="43" t="str">
        <f>HLOOKUP(INDICE!$F$2,Nombres!$C$3:$D$636,38,FALSE)</f>
        <v>Gastos de explotación</v>
      </c>
      <c r="B15" s="44">
        <v>-2304.31200016</v>
      </c>
      <c r="C15" s="44">
        <v>-2293.6229998500003</v>
      </c>
      <c r="D15" s="44">
        <v>-2377.74100017</v>
      </c>
      <c r="E15" s="45">
        <v>-2554.11199977</v>
      </c>
      <c r="F15" s="44">
        <v>-2423.87699994</v>
      </c>
      <c r="G15" s="44">
        <v>-2629.73800011</v>
      </c>
      <c r="H15" s="44">
        <v>-2818.2389999</v>
      </c>
      <c r="I15" s="44">
        <v>-2888.5550000599997</v>
      </c>
    </row>
    <row r="16" spans="1:9" ht="15">
      <c r="A16" s="43" t="str">
        <f>HLOOKUP(INDICE!$F$2,Nombres!$C$3:$D$636,39,FALSE)</f>
        <v>  Gastos de administración</v>
      </c>
      <c r="B16" s="44">
        <v>-1995.7850001400002</v>
      </c>
      <c r="C16" s="44">
        <v>-1987.0499998699997</v>
      </c>
      <c r="D16" s="44">
        <v>-2064.1050001699996</v>
      </c>
      <c r="E16" s="45">
        <v>-2248.9999998</v>
      </c>
      <c r="F16" s="44">
        <v>-2111.32099992</v>
      </c>
      <c r="G16" s="44">
        <v>-2290.17800014</v>
      </c>
      <c r="H16" s="44">
        <v>-2479.9899999199997</v>
      </c>
      <c r="I16" s="44">
        <v>-2550.68800003</v>
      </c>
    </row>
    <row r="17" spans="1:9" ht="15">
      <c r="A17" s="46" t="str">
        <f>HLOOKUP(INDICE!$F$2,Nombres!$C$3:$D$636,40,FALSE)</f>
        <v>  Gastos de personal</v>
      </c>
      <c r="B17" s="44">
        <v>-1184.2269999999999</v>
      </c>
      <c r="C17" s="44">
        <v>-1186.75299999</v>
      </c>
      <c r="D17" s="44">
        <v>-1276.17300011</v>
      </c>
      <c r="E17" s="45">
        <v>-1399.30299988</v>
      </c>
      <c r="F17" s="44">
        <v>-1240.959</v>
      </c>
      <c r="G17" s="44">
        <v>-1345.83000005</v>
      </c>
      <c r="H17" s="44">
        <v>-1475.21000002</v>
      </c>
      <c r="I17" s="44">
        <v>-1549.76999996</v>
      </c>
    </row>
    <row r="18" spans="1:9" ht="15">
      <c r="A18" s="46" t="str">
        <f>HLOOKUP(INDICE!$F$2,Nombres!$C$3:$D$636,41,FALSE)</f>
        <v>  Otros gastos de administración</v>
      </c>
      <c r="B18" s="44">
        <v>-811.5580001400001</v>
      </c>
      <c r="C18" s="44">
        <v>-800.29699988</v>
      </c>
      <c r="D18" s="44">
        <v>-787.93200006</v>
      </c>
      <c r="E18" s="45">
        <v>-849.69699992</v>
      </c>
      <c r="F18" s="44">
        <v>-870.36199992</v>
      </c>
      <c r="G18" s="44">
        <v>-944.3480000900001</v>
      </c>
      <c r="H18" s="44">
        <v>-1004.7799999</v>
      </c>
      <c r="I18" s="44">
        <v>-1000.9180000700001</v>
      </c>
    </row>
    <row r="19" spans="1:9" ht="15">
      <c r="A19" s="43" t="str">
        <f>HLOOKUP(INDICE!$F$2,Nombres!$C$3:$D$636,42,FALSE)</f>
        <v>  Amortización</v>
      </c>
      <c r="B19" s="44">
        <v>-308.52700001999995</v>
      </c>
      <c r="C19" s="44">
        <v>-306.57299997999996</v>
      </c>
      <c r="D19" s="44">
        <v>-313.636</v>
      </c>
      <c r="E19" s="45">
        <v>-305.11199996999994</v>
      </c>
      <c r="F19" s="44">
        <v>-312.55600002</v>
      </c>
      <c r="G19" s="44">
        <v>-339.55999997000004</v>
      </c>
      <c r="H19" s="44">
        <v>-338.24899998</v>
      </c>
      <c r="I19" s="44">
        <v>-337.86700003</v>
      </c>
    </row>
    <row r="20" spans="1:9" ht="15">
      <c r="A20" s="41" t="str">
        <f>HLOOKUP(INDICE!$F$2,Nombres!$C$3:$D$636,43,FALSE)</f>
        <v>Margen neto</v>
      </c>
      <c r="B20" s="41">
        <f>+B14+B15</f>
        <v>2850.4229998600003</v>
      </c>
      <c r="C20" s="41">
        <f aca="true" t="shared" si="1" ref="C20:I20">+C14+C15</f>
        <v>2810.3480002800006</v>
      </c>
      <c r="D20" s="41">
        <f t="shared" si="1"/>
        <v>2952.72799968</v>
      </c>
      <c r="E20" s="42">
        <f t="shared" si="1"/>
        <v>2922.73600024</v>
      </c>
      <c r="F20" s="41">
        <f t="shared" si="1"/>
        <v>2991.719999859999</v>
      </c>
      <c r="G20" s="50">
        <f t="shared" si="1"/>
        <v>3464.0659999500012</v>
      </c>
      <c r="H20" s="50">
        <f t="shared" si="1"/>
        <v>4038.3230001899988</v>
      </c>
      <c r="I20" s="50">
        <f t="shared" si="1"/>
        <v>3635.540000080002</v>
      </c>
    </row>
    <row r="21" spans="1:9" ht="15">
      <c r="A21" s="43" t="str">
        <f>HLOOKUP(INDICE!$F$2,Nombres!$C$3:$D$636,44,FALSE)</f>
        <v>Deterioro de activos financieros no valorados a valor razonable con cambios en resultados</v>
      </c>
      <c r="B21" s="44">
        <v>-923.2530000599997</v>
      </c>
      <c r="C21" s="44">
        <v>-656.48099991</v>
      </c>
      <c r="D21" s="44">
        <v>-622.39</v>
      </c>
      <c r="E21" s="45">
        <v>-832.1090000400001</v>
      </c>
      <c r="F21" s="44">
        <v>-736.9199999500001</v>
      </c>
      <c r="G21" s="44">
        <v>-703.6320000699998</v>
      </c>
      <c r="H21" s="44">
        <v>-939.9120000199997</v>
      </c>
      <c r="I21" s="44">
        <v>-998.3589999700002</v>
      </c>
    </row>
    <row r="22" spans="1:9" ht="15">
      <c r="A22" s="43" t="str">
        <f>HLOOKUP(INDICE!$F$2,Nombres!$C$3:$D$636,247,FALSE)</f>
        <v>Provisiones o reversión de provisiones</v>
      </c>
      <c r="B22" s="44">
        <v>-151.16800002000002</v>
      </c>
      <c r="C22" s="44">
        <v>-22.92176699000005</v>
      </c>
      <c r="D22" s="44">
        <v>-50.1979999899999</v>
      </c>
      <c r="E22" s="45">
        <v>-39.6770000200001</v>
      </c>
      <c r="F22" s="44">
        <v>-47.83899999000001</v>
      </c>
      <c r="G22" s="44">
        <v>-64.00399997999997</v>
      </c>
      <c r="H22" s="44">
        <v>-129.09100003</v>
      </c>
      <c r="I22" s="44">
        <v>-50.083999980000016</v>
      </c>
    </row>
    <row r="23" spans="1:9" ht="15">
      <c r="A23" s="43" t="str">
        <f>HLOOKUP(INDICE!$F$2,Nombres!$C$3:$D$636,248,FALSE)</f>
        <v>Otros resultados</v>
      </c>
      <c r="B23" s="44">
        <v>-17.18800000000001</v>
      </c>
      <c r="C23" s="44">
        <v>-6.980092979999991</v>
      </c>
      <c r="D23" s="44">
        <v>19.031999990000003</v>
      </c>
      <c r="E23" s="45">
        <v>7.478000009999985</v>
      </c>
      <c r="F23" s="44">
        <v>20.417</v>
      </c>
      <c r="G23" s="44">
        <v>-2.694046449999986</v>
      </c>
      <c r="H23" s="44">
        <v>18.904000000000096</v>
      </c>
      <c r="I23" s="44">
        <v>-6.484000000000108</v>
      </c>
    </row>
    <row r="24" spans="1:9" ht="15">
      <c r="A24" s="41" t="str">
        <f>HLOOKUP(INDICE!$F$2,Nombres!$C$3:$D$636,46,FALSE)</f>
        <v>Resultado antes de impuestos</v>
      </c>
      <c r="B24" s="50">
        <f aca="true" t="shared" si="2" ref="B24:I24">+B20+B21+B22+B23</f>
        <v>1758.8139997800004</v>
      </c>
      <c r="C24" s="50">
        <f t="shared" si="2"/>
        <v>2123.965140400001</v>
      </c>
      <c r="D24" s="50">
        <f t="shared" si="2"/>
        <v>2299.1719996799998</v>
      </c>
      <c r="E24" s="42">
        <f t="shared" si="2"/>
        <v>2058.42800019</v>
      </c>
      <c r="F24" s="50">
        <f t="shared" si="2"/>
        <v>2227.3779999199987</v>
      </c>
      <c r="G24" s="50">
        <f t="shared" si="2"/>
        <v>2693.7359534500015</v>
      </c>
      <c r="H24" s="50">
        <f t="shared" si="2"/>
        <v>2988.224000139999</v>
      </c>
      <c r="I24" s="50">
        <f t="shared" si="2"/>
        <v>2580.6130001300016</v>
      </c>
    </row>
    <row r="25" spans="1:9" ht="15">
      <c r="A25" s="43" t="str">
        <f>HLOOKUP(INDICE!$F$2,Nombres!$C$3:$D$636,47,FALSE)</f>
        <v>Impuesto sobre beneficios</v>
      </c>
      <c r="B25" s="44">
        <v>-489.26299989999995</v>
      </c>
      <c r="C25" s="44">
        <v>-590.9263420500001</v>
      </c>
      <c r="D25" s="44">
        <v>-639.72900005</v>
      </c>
      <c r="E25" s="45">
        <v>-486.93899994000003</v>
      </c>
      <c r="F25" s="44">
        <v>-903.72300002</v>
      </c>
      <c r="G25" s="44">
        <v>-697.23378353</v>
      </c>
      <c r="H25" s="44">
        <v>-1004.3790000199999</v>
      </c>
      <c r="I25" s="44">
        <v>-856.2130000300002</v>
      </c>
    </row>
    <row r="26" spans="1:9" ht="15">
      <c r="A26" s="41" t="str">
        <f>HLOOKUP(INDICE!$F$2,Nombres!$C$3:$D$636,48,FALSE)</f>
        <v>Resultado del ejercicio</v>
      </c>
      <c r="B26" s="50">
        <f aca="true" t="shared" si="3" ref="B26:I26">+B24+B25</f>
        <v>1269.5509998800003</v>
      </c>
      <c r="C26" s="50">
        <f t="shared" si="3"/>
        <v>1533.038798350001</v>
      </c>
      <c r="D26" s="50">
        <f t="shared" si="3"/>
        <v>1659.4429996299998</v>
      </c>
      <c r="E26" s="42">
        <f t="shared" si="3"/>
        <v>1571.4890002500001</v>
      </c>
      <c r="F26" s="50">
        <f t="shared" si="3"/>
        <v>1323.6549998999988</v>
      </c>
      <c r="G26" s="50">
        <f t="shared" si="3"/>
        <v>1996.5021699200015</v>
      </c>
      <c r="H26" s="50">
        <f t="shared" si="3"/>
        <v>1983.8450001199992</v>
      </c>
      <c r="I26" s="50">
        <f t="shared" si="3"/>
        <v>1724.4000001000013</v>
      </c>
    </row>
    <row r="27" spans="1:9" ht="15">
      <c r="A27" s="43" t="str">
        <f>HLOOKUP(INDICE!$F$2,Nombres!$C$3:$D$636,49,FALSE)</f>
        <v>Minoritarios</v>
      </c>
      <c r="B27" s="44">
        <v>-236.81899999999996</v>
      </c>
      <c r="C27" s="44">
        <v>-238.87100001</v>
      </c>
      <c r="D27" s="44">
        <v>-259.04199998</v>
      </c>
      <c r="E27" s="45">
        <v>-230.09700001000002</v>
      </c>
      <c r="F27" s="44">
        <v>2.554000000000002</v>
      </c>
      <c r="G27" s="44">
        <v>-119.98999998999997</v>
      </c>
      <c r="H27" s="44">
        <v>-143.02300001</v>
      </c>
      <c r="I27" s="44">
        <v>-146.52100000000004</v>
      </c>
    </row>
    <row r="28" spans="1:9" ht="15">
      <c r="A28" s="47" t="str">
        <f>HLOOKUP(INDICE!$F$2,Nombres!$C$3:$D$636,305,FALSE)</f>
        <v>Resultado atribuido excluyendo impactos no recurrentes</v>
      </c>
      <c r="B28" s="47">
        <f>+B26+B27</f>
        <v>1032.7319998800003</v>
      </c>
      <c r="C28" s="47">
        <f aca="true" t="shared" si="4" ref="C28:I28">+C26+C27</f>
        <v>1294.167798340001</v>
      </c>
      <c r="D28" s="47">
        <f t="shared" si="4"/>
        <v>1400.40099965</v>
      </c>
      <c r="E28" s="47">
        <f t="shared" si="4"/>
        <v>1341.39200024</v>
      </c>
      <c r="F28" s="47">
        <f t="shared" si="4"/>
        <v>1326.2089998999988</v>
      </c>
      <c r="G28" s="47">
        <f t="shared" si="4"/>
        <v>1876.5121699300016</v>
      </c>
      <c r="H28" s="47">
        <f t="shared" si="4"/>
        <v>1840.8220001099992</v>
      </c>
      <c r="I28" s="47">
        <f t="shared" si="4"/>
        <v>1577.8790001000013</v>
      </c>
    </row>
    <row r="29" spans="1:16" ht="15">
      <c r="A29" s="43" t="str">
        <f>HLOOKUP(INDICE!$F$2,Nombres!$C$3:$D$636,315,FALSE)</f>
        <v>Resultado de operaciones interrumpidas y otros (1)</v>
      </c>
      <c r="B29" s="44">
        <v>177.04100000000003</v>
      </c>
      <c r="C29" s="44">
        <v>-593.00779802</v>
      </c>
      <c r="D29" s="44">
        <v>0</v>
      </c>
      <c r="E29" s="45">
        <v>0</v>
      </c>
      <c r="F29" s="44">
        <v>0</v>
      </c>
      <c r="G29" s="44">
        <v>-201.39716995</v>
      </c>
      <c r="H29" s="44">
        <v>0</v>
      </c>
      <c r="I29" s="44">
        <v>0</v>
      </c>
      <c r="M29" s="284"/>
      <c r="N29" s="284"/>
      <c r="O29" s="284"/>
      <c r="P29" s="284"/>
    </row>
    <row r="30" spans="1:9" ht="15">
      <c r="A30" s="47" t="str">
        <f>HLOOKUP(INDICE!$F$2,Nombres!$C$3:$D$636,50,FALSE)</f>
        <v>Resultado atribuido</v>
      </c>
      <c r="B30" s="47">
        <f>+B28+B29</f>
        <v>1209.7729998800003</v>
      </c>
      <c r="C30" s="47">
        <f aca="true" t="shared" si="5" ref="C30:I30">+C28+C29</f>
        <v>701.1600003200009</v>
      </c>
      <c r="D30" s="47">
        <f t="shared" si="5"/>
        <v>1400.40099965</v>
      </c>
      <c r="E30" s="47">
        <f t="shared" si="5"/>
        <v>1341.39200024</v>
      </c>
      <c r="F30" s="47">
        <f t="shared" si="5"/>
        <v>1326.2089998999988</v>
      </c>
      <c r="G30" s="47">
        <f t="shared" si="5"/>
        <v>1675.1149999800016</v>
      </c>
      <c r="H30" s="47">
        <f t="shared" si="5"/>
        <v>1840.8220001099992</v>
      </c>
      <c r="I30" s="47">
        <f t="shared" si="5"/>
        <v>1577.8790001000013</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299"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33" s="299"/>
      <c r="C33" s="299"/>
      <c r="D33" s="299"/>
      <c r="E33" s="299"/>
      <c r="F33" s="299"/>
      <c r="G33" s="299"/>
      <c r="H33" s="299"/>
      <c r="I33" s="299"/>
    </row>
    <row r="34" spans="1:9" ht="15" customHeight="1">
      <c r="A34" s="299"/>
      <c r="B34" s="299"/>
      <c r="C34" s="299"/>
      <c r="D34" s="299"/>
      <c r="E34" s="299"/>
      <c r="F34" s="299"/>
      <c r="G34" s="299"/>
      <c r="H34" s="299"/>
      <c r="I34" s="299"/>
    </row>
    <row r="35" spans="1:9" ht="15">
      <c r="A35" s="299"/>
      <c r="B35" s="299"/>
      <c r="C35" s="299"/>
      <c r="D35" s="299"/>
      <c r="E35" s="299"/>
      <c r="F35" s="299"/>
      <c r="G35" s="299"/>
      <c r="H35" s="299"/>
      <c r="I35" s="299"/>
    </row>
    <row r="36" spans="1:9" ht="15">
      <c r="A36" s="43"/>
      <c r="B36" s="49"/>
      <c r="C36" s="49"/>
      <c r="D36" s="49"/>
      <c r="E36" s="49"/>
      <c r="F36" s="279"/>
      <c r="G36" s="49"/>
      <c r="H36" s="49"/>
      <c r="I36" s="49"/>
    </row>
    <row r="37" spans="2:9" ht="15">
      <c r="B37" s="263"/>
      <c r="C37" s="263"/>
      <c r="D37" s="263"/>
      <c r="E37" s="263"/>
      <c r="F37" s="263"/>
      <c r="G37" s="263"/>
      <c r="H37" s="263"/>
      <c r="I37" s="263"/>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300">
        <f>+España!B6</f>
        <v>2021</v>
      </c>
      <c r="C42" s="300"/>
      <c r="D42" s="300"/>
      <c r="E42" s="301"/>
      <c r="F42" s="302">
        <f>+España!F6</f>
        <v>2022</v>
      </c>
      <c r="G42" s="300"/>
      <c r="H42" s="300"/>
      <c r="I42" s="300"/>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3303.149947547268</v>
      </c>
      <c r="C44" s="41">
        <v>3405.5473866076236</v>
      </c>
      <c r="D44" s="41">
        <v>3565.9468320595006</v>
      </c>
      <c r="E44" s="42">
        <v>3827.8611574248725</v>
      </c>
      <c r="F44" s="41">
        <v>3913.11766860619</v>
      </c>
      <c r="G44" s="50">
        <v>4443.741519170715</v>
      </c>
      <c r="H44" s="50">
        <v>5093.706598915047</v>
      </c>
      <c r="I44" s="50">
        <v>5702.701213328048</v>
      </c>
    </row>
    <row r="45" spans="1:9" ht="15">
      <c r="A45" s="43" t="str">
        <f>HLOOKUP(INDICE!$F$2,Nombres!$C$3:$D$636,34,FALSE)</f>
        <v>Comisiones netas</v>
      </c>
      <c r="B45" s="44">
        <v>1091.1391347385068</v>
      </c>
      <c r="C45" s="44">
        <v>1150.167605184422</v>
      </c>
      <c r="D45" s="44">
        <v>1160.5246149598308</v>
      </c>
      <c r="E45" s="45">
        <v>1239.4888455523733</v>
      </c>
      <c r="F45" s="44">
        <v>1231.9354692378968</v>
      </c>
      <c r="G45" s="44">
        <v>1378.8029017752006</v>
      </c>
      <c r="H45" s="44">
        <v>1354.2842618095603</v>
      </c>
      <c r="I45" s="44">
        <v>1388.339367227342</v>
      </c>
    </row>
    <row r="46" spans="1:9" ht="15">
      <c r="A46" s="43" t="str">
        <f>HLOOKUP(INDICE!$F$2,Nombres!$C$3:$D$636,35,FALSE)</f>
        <v>Resultados de operaciones financieras</v>
      </c>
      <c r="B46" s="44">
        <v>521.7144412770957</v>
      </c>
      <c r="C46" s="44">
        <v>503.14989383351775</v>
      </c>
      <c r="D46" s="44">
        <v>371.6548997808579</v>
      </c>
      <c r="E46" s="45">
        <v>375.7728163094913</v>
      </c>
      <c r="F46" s="44">
        <v>547.4204827324124</v>
      </c>
      <c r="G46" s="44">
        <v>491.77480498091825</v>
      </c>
      <c r="H46" s="44">
        <v>557.4014264567174</v>
      </c>
      <c r="I46" s="44">
        <v>341.43128583995195</v>
      </c>
    </row>
    <row r="47" spans="1:9" ht="15">
      <c r="A47" s="43" t="str">
        <f>HLOOKUP(INDICE!$F$2,Nombres!$C$3:$D$636,96,FALSE)</f>
        <v>Ingresos por dividendos</v>
      </c>
      <c r="B47" s="44">
        <v>5.587919391354467</v>
      </c>
      <c r="C47" s="44">
        <v>119.42583620946448</v>
      </c>
      <c r="D47" s="44">
        <v>3.3616307686536477</v>
      </c>
      <c r="E47" s="45">
        <v>45.990402848398396</v>
      </c>
      <c r="F47" s="44">
        <v>3.6184489008188505</v>
      </c>
      <c r="G47" s="44">
        <v>71.52564574828408</v>
      </c>
      <c r="H47" s="44">
        <v>3.0049404424617414</v>
      </c>
      <c r="I47" s="44">
        <v>45.06496490843537</v>
      </c>
    </row>
    <row r="48" spans="1:9" ht="15">
      <c r="A48" s="43" t="str">
        <f>HLOOKUP(INDICE!$F$2,Nombres!$C$3:$D$636,97,FALSE)</f>
        <v>Part. gananc/pdas inversiones en dependientes, neg conjunt y asoc</v>
      </c>
      <c r="B48" s="44">
        <v>-5.449162264994063</v>
      </c>
      <c r="C48" s="44">
        <v>1.0908294298078784</v>
      </c>
      <c r="D48" s="44">
        <v>4.205935675002722</v>
      </c>
      <c r="E48" s="45">
        <v>3.4576663600802413</v>
      </c>
      <c r="F48" s="44">
        <v>5.5515908804531335</v>
      </c>
      <c r="G48" s="44">
        <v>10.397425458601099</v>
      </c>
      <c r="H48" s="44">
        <v>1.0352013517498202</v>
      </c>
      <c r="I48" s="44">
        <v>3.635782309195951</v>
      </c>
    </row>
    <row r="49" spans="1:9" ht="15">
      <c r="A49" s="43" t="str">
        <f>HLOOKUP(INDICE!$F$2,Nombres!$C$3:$D$636,98,FALSE)</f>
        <v>Otros productos/cargas de explotación</v>
      </c>
      <c r="B49" s="44">
        <v>-6.193906415851176</v>
      </c>
      <c r="C49" s="44">
        <v>-207.244840638164</v>
      </c>
      <c r="D49" s="44">
        <v>-13.867194357121704</v>
      </c>
      <c r="E49" s="45">
        <v>-209.353673642236</v>
      </c>
      <c r="F49" s="44">
        <v>-450.6851968327761</v>
      </c>
      <c r="G49" s="44">
        <v>-544.3978383392894</v>
      </c>
      <c r="H49" s="44">
        <v>-336.33985655047496</v>
      </c>
      <c r="I49" s="44">
        <v>-367.0101082674595</v>
      </c>
    </row>
    <row r="50" spans="1:9" ht="15">
      <c r="A50" s="41" t="str">
        <f>HLOOKUP(INDICE!$F$2,Nombres!$C$3:$D$636,37,FALSE)</f>
        <v>Margen bruto</v>
      </c>
      <c r="B50" s="41">
        <f>+SUM(B44:B49)</f>
        <v>4909.948374273379</v>
      </c>
      <c r="C50" s="41">
        <f aca="true" t="shared" si="6" ref="C50:I50">+SUM(C44:C49)</f>
        <v>4972.136710626672</v>
      </c>
      <c r="D50" s="41">
        <f t="shared" si="6"/>
        <v>5091.826718886723</v>
      </c>
      <c r="E50" s="42">
        <f t="shared" si="6"/>
        <v>5283.217214852981</v>
      </c>
      <c r="F50" s="41">
        <f t="shared" si="6"/>
        <v>5250.958463524994</v>
      </c>
      <c r="G50" s="50">
        <f t="shared" si="6"/>
        <v>5851.844458794429</v>
      </c>
      <c r="H50" s="50">
        <f t="shared" si="6"/>
        <v>6673.092572425061</v>
      </c>
      <c r="I50" s="50">
        <f t="shared" si="6"/>
        <v>7114.162505345514</v>
      </c>
    </row>
    <row r="51" spans="1:9" ht="15">
      <c r="A51" s="43" t="str">
        <f>HLOOKUP(INDICE!$F$2,Nombres!$C$3:$D$636,38,FALSE)</f>
        <v>Gastos de explotación</v>
      </c>
      <c r="B51" s="44">
        <v>-2230.471692274861</v>
      </c>
      <c r="C51" s="44">
        <v>-2257.3097729237643</v>
      </c>
      <c r="D51" s="44">
        <v>-2313.9683729227354</v>
      </c>
      <c r="E51" s="45">
        <v>-2516.0030652111054</v>
      </c>
      <c r="F51" s="44">
        <v>-2408.406366401</v>
      </c>
      <c r="G51" s="44">
        <v>-2565.1942442298996</v>
      </c>
      <c r="H51" s="44">
        <v>-2754.6799384849533</v>
      </c>
      <c r="I51" s="44">
        <v>-3032.128450894146</v>
      </c>
    </row>
    <row r="52" spans="1:9" ht="15">
      <c r="A52" s="43" t="str">
        <f>HLOOKUP(INDICE!$F$2,Nombres!$C$3:$D$636,39,FALSE)</f>
        <v>  Gastos de administración</v>
      </c>
      <c r="B52" s="44">
        <v>-1928.2080701309487</v>
      </c>
      <c r="C52" s="44">
        <v>-1953.1033456535902</v>
      </c>
      <c r="D52" s="44">
        <v>-2004.3347013622893</v>
      </c>
      <c r="E52" s="45">
        <v>-2207.339832910573</v>
      </c>
      <c r="F52" s="44">
        <v>-2092.598479136705</v>
      </c>
      <c r="G52" s="44">
        <v>-2227.872341907676</v>
      </c>
      <c r="H52" s="44">
        <v>-2420.6490134373985</v>
      </c>
      <c r="I52" s="44">
        <v>-2691.0571655282206</v>
      </c>
    </row>
    <row r="53" spans="1:9" ht="15">
      <c r="A53" s="46" t="str">
        <f>HLOOKUP(INDICE!$F$2,Nombres!$C$3:$D$636,40,FALSE)</f>
        <v>  Gastos de personal</v>
      </c>
      <c r="B53" s="44">
        <v>-1134.449965890325</v>
      </c>
      <c r="C53" s="44">
        <v>-1149.3994577081537</v>
      </c>
      <c r="D53" s="44">
        <v>-1235.0167384678557</v>
      </c>
      <c r="E53" s="45">
        <v>-1367.4880799255502</v>
      </c>
      <c r="F53" s="44">
        <v>-1226.5793061365905</v>
      </c>
      <c r="G53" s="44">
        <v>-1310.1657949054872</v>
      </c>
      <c r="H53" s="44">
        <v>-1442.9824654266922</v>
      </c>
      <c r="I53" s="44">
        <v>-1632.0414335612304</v>
      </c>
    </row>
    <row r="54" spans="1:9" ht="15">
      <c r="A54" s="46" t="str">
        <f>HLOOKUP(INDICE!$F$2,Nombres!$C$3:$D$636,41,FALSE)</f>
        <v>  Otros gastos de administración</v>
      </c>
      <c r="B54" s="44">
        <v>-793.7581042406237</v>
      </c>
      <c r="C54" s="44">
        <v>-803.7038879454366</v>
      </c>
      <c r="D54" s="44">
        <v>-769.3179628944333</v>
      </c>
      <c r="E54" s="45">
        <v>-839.8517529850228</v>
      </c>
      <c r="F54" s="44">
        <v>-866.0191730001146</v>
      </c>
      <c r="G54" s="44">
        <v>-917.7065470021887</v>
      </c>
      <c r="H54" s="44">
        <v>-977.6665480107065</v>
      </c>
      <c r="I54" s="44">
        <v>-1059.0157319669906</v>
      </c>
    </row>
    <row r="55" spans="1:9" ht="15">
      <c r="A55" s="43" t="str">
        <f>HLOOKUP(INDICE!$F$2,Nombres!$C$3:$D$636,42,FALSE)</f>
        <v>  Amortización</v>
      </c>
      <c r="B55" s="44">
        <v>-302.2636221439124</v>
      </c>
      <c r="C55" s="44">
        <v>-304.2064272701743</v>
      </c>
      <c r="D55" s="44">
        <v>-309.6336715604462</v>
      </c>
      <c r="E55" s="45">
        <v>-308.6632323005329</v>
      </c>
      <c r="F55" s="44">
        <v>-315.80788726429535</v>
      </c>
      <c r="G55" s="44">
        <v>-337.3219023222242</v>
      </c>
      <c r="H55" s="44">
        <v>-334.03092504755483</v>
      </c>
      <c r="I55" s="44">
        <v>-341.07128536592563</v>
      </c>
    </row>
    <row r="56" spans="1:9" ht="15">
      <c r="A56" s="41" t="str">
        <f>HLOOKUP(INDICE!$F$2,Nombres!$C$3:$D$636,43,FALSE)</f>
        <v>Margen neto</v>
      </c>
      <c r="B56" s="41">
        <f>+B50+B51</f>
        <v>2679.476681998518</v>
      </c>
      <c r="C56" s="41">
        <f aca="true" t="shared" si="7" ref="C56:I56">+C50+C51</f>
        <v>2714.8269377029073</v>
      </c>
      <c r="D56" s="41">
        <f t="shared" si="7"/>
        <v>2777.8583459639876</v>
      </c>
      <c r="E56" s="42">
        <f t="shared" si="7"/>
        <v>2767.2141496418753</v>
      </c>
      <c r="F56" s="41">
        <f t="shared" si="7"/>
        <v>2842.552097123994</v>
      </c>
      <c r="G56" s="50">
        <f t="shared" si="7"/>
        <v>3286.650214564529</v>
      </c>
      <c r="H56" s="50">
        <f t="shared" si="7"/>
        <v>3918.4126339401078</v>
      </c>
      <c r="I56" s="50">
        <f t="shared" si="7"/>
        <v>4082.0340544513674</v>
      </c>
    </row>
    <row r="57" spans="1:9" ht="15">
      <c r="A57" s="43" t="str">
        <f>HLOOKUP(INDICE!$F$2,Nombres!$C$3:$D$636,44,FALSE)</f>
        <v>Deterioro de activos financieros no valorados a valor razonable con cambios en resultados</v>
      </c>
      <c r="B57" s="44">
        <v>-922.2018456474116</v>
      </c>
      <c r="C57" s="44">
        <v>-673.7508234334806</v>
      </c>
      <c r="D57" s="44">
        <v>-632.3230123900164</v>
      </c>
      <c r="E57" s="45">
        <v>-763.5209176318592</v>
      </c>
      <c r="F57" s="44">
        <v>-740.1711819672489</v>
      </c>
      <c r="G57" s="44">
        <v>-697.2226014482471</v>
      </c>
      <c r="H57" s="44">
        <v>-913.8634124808952</v>
      </c>
      <c r="I57" s="44">
        <v>-1027.5658041136087</v>
      </c>
    </row>
    <row r="58" spans="1:9" ht="15">
      <c r="A58" s="43" t="str">
        <f>HLOOKUP(INDICE!$F$2,Nombres!$C$3:$D$636,247,FALSE)</f>
        <v>Provisiones o reversión de provisiones</v>
      </c>
      <c r="B58" s="44">
        <v>-164.71422921145003</v>
      </c>
      <c r="C58" s="44">
        <v>-25.570988013260717</v>
      </c>
      <c r="D58" s="44">
        <v>-56.49544183810226</v>
      </c>
      <c r="E58" s="45">
        <v>-23.834658378415824</v>
      </c>
      <c r="F58" s="44">
        <v>-44.019625144798425</v>
      </c>
      <c r="G58" s="44">
        <v>-58.15485510242988</v>
      </c>
      <c r="H58" s="44">
        <v>-129.1969375512836</v>
      </c>
      <c r="I58" s="44">
        <v>-59.646582181488085</v>
      </c>
    </row>
    <row r="59" spans="1:9" ht="15">
      <c r="A59" s="43" t="str">
        <f>HLOOKUP(INDICE!$F$2,Nombres!$C$3:$D$636,248,FALSE)</f>
        <v>Otros resultados</v>
      </c>
      <c r="B59" s="44">
        <v>-22.575403102881054</v>
      </c>
      <c r="C59" s="44">
        <v>-8.049340962094531</v>
      </c>
      <c r="D59" s="44">
        <v>18.94425373086277</v>
      </c>
      <c r="E59" s="45">
        <v>8.967764854521867</v>
      </c>
      <c r="F59" s="44">
        <v>18.796924439079902</v>
      </c>
      <c r="G59" s="44">
        <v>-3.7655608913958023</v>
      </c>
      <c r="H59" s="44">
        <v>18.79468302124485</v>
      </c>
      <c r="I59" s="44">
        <v>-3.683093018929</v>
      </c>
    </row>
    <row r="60" spans="1:9" ht="15">
      <c r="A60" s="41" t="str">
        <f>HLOOKUP(INDICE!$F$2,Nombres!$C$3:$D$636,46,FALSE)</f>
        <v>Resultado antes de impuestos</v>
      </c>
      <c r="B60" s="50">
        <f aca="true" t="shared" si="8" ref="B60:I60">+B56+B57+B58+B59</f>
        <v>1569.9852040367755</v>
      </c>
      <c r="C60" s="50">
        <f t="shared" si="8"/>
        <v>2007.4557852940716</v>
      </c>
      <c r="D60" s="50">
        <f t="shared" si="8"/>
        <v>2107.9841454667317</v>
      </c>
      <c r="E60" s="42">
        <f t="shared" si="8"/>
        <v>1988.8263384861223</v>
      </c>
      <c r="F60" s="50">
        <f t="shared" si="8"/>
        <v>2077.158214451026</v>
      </c>
      <c r="G60" s="50">
        <f t="shared" si="8"/>
        <v>2527.5071971224565</v>
      </c>
      <c r="H60" s="50">
        <f t="shared" si="8"/>
        <v>2894.1469669291737</v>
      </c>
      <c r="I60" s="50">
        <f t="shared" si="8"/>
        <v>2991.138575137342</v>
      </c>
    </row>
    <row r="61" spans="1:9" ht="15">
      <c r="A61" s="43" t="str">
        <f>HLOOKUP(INDICE!$F$2,Nombres!$C$3:$D$636,47,FALSE)</f>
        <v>Impuesto sobre beneficios</v>
      </c>
      <c r="B61" s="44">
        <v>-457.39466866373107</v>
      </c>
      <c r="C61" s="44">
        <v>-591.644666745843</v>
      </c>
      <c r="D61" s="44">
        <v>-584.6448043006272</v>
      </c>
      <c r="E61" s="45">
        <v>-451.14539342393834</v>
      </c>
      <c r="F61" s="44">
        <v>-861.3167135287175</v>
      </c>
      <c r="G61" s="44">
        <v>-655.1468813838914</v>
      </c>
      <c r="H61" s="44">
        <v>-973.1437310146113</v>
      </c>
      <c r="I61" s="44">
        <v>-971.9414576727802</v>
      </c>
    </row>
    <row r="62" spans="1:9" ht="15">
      <c r="A62" s="41" t="str">
        <f>HLOOKUP(INDICE!$F$2,Nombres!$C$3:$D$636,48,FALSE)</f>
        <v>Resultado del ejercicio</v>
      </c>
      <c r="B62" s="50">
        <f aca="true" t="shared" si="9" ref="B62:I62">+B60+B61</f>
        <v>1112.5905353730445</v>
      </c>
      <c r="C62" s="50">
        <f t="shared" si="9"/>
        <v>1415.8111185482285</v>
      </c>
      <c r="D62" s="50">
        <f t="shared" si="9"/>
        <v>1523.3393411661045</v>
      </c>
      <c r="E62" s="42">
        <f t="shared" si="9"/>
        <v>1537.680945062184</v>
      </c>
      <c r="F62" s="50">
        <f t="shared" si="9"/>
        <v>1215.8415009223086</v>
      </c>
      <c r="G62" s="50">
        <f t="shared" si="9"/>
        <v>1872.360315738565</v>
      </c>
      <c r="H62" s="50">
        <f t="shared" si="9"/>
        <v>1921.0032359145625</v>
      </c>
      <c r="I62" s="50">
        <f t="shared" si="9"/>
        <v>2019.1971174645616</v>
      </c>
    </row>
    <row r="63" spans="1:9" ht="15">
      <c r="A63" s="43" t="str">
        <f>HLOOKUP(INDICE!$F$2,Nombres!$C$3:$D$636,49,FALSE)</f>
        <v>Minoritarios</v>
      </c>
      <c r="B63" s="44">
        <v>-121.24173882656774</v>
      </c>
      <c r="C63" s="44">
        <v>-134.6205260991099</v>
      </c>
      <c r="D63" s="44">
        <v>-153.46515880080864</v>
      </c>
      <c r="E63" s="45">
        <v>-174.59806382514947</v>
      </c>
      <c r="F63" s="44">
        <v>83.2091607021449</v>
      </c>
      <c r="G63" s="44">
        <v>-85.85673080832677</v>
      </c>
      <c r="H63" s="44">
        <v>-150.06259895144152</v>
      </c>
      <c r="I63" s="44">
        <v>-254.2698309423766</v>
      </c>
    </row>
    <row r="64" spans="1:9" ht="15">
      <c r="A64" s="47" t="str">
        <f>HLOOKUP(INDICE!$F$2,Nombres!$C$3:$D$636,305,FALSE)</f>
        <v>Resultado atribuido excluyendo impactos no recurrentes</v>
      </c>
      <c r="B64" s="47">
        <f>+B62+B63</f>
        <v>991.3487965464768</v>
      </c>
      <c r="C64" s="47">
        <f aca="true" t="shared" si="10" ref="C64:I64">+C62+C63</f>
        <v>1281.1905924491186</v>
      </c>
      <c r="D64" s="47">
        <f t="shared" si="10"/>
        <v>1369.8741823652958</v>
      </c>
      <c r="E64" s="47">
        <f t="shared" si="10"/>
        <v>1363.0828812370346</v>
      </c>
      <c r="F64" s="47">
        <f t="shared" si="10"/>
        <v>1299.0506616244534</v>
      </c>
      <c r="G64" s="47">
        <f t="shared" si="10"/>
        <v>1786.5035849302383</v>
      </c>
      <c r="H64" s="47">
        <f t="shared" si="10"/>
        <v>1770.940636963121</v>
      </c>
      <c r="I64" s="47">
        <f t="shared" si="10"/>
        <v>1764.927286522185</v>
      </c>
    </row>
    <row r="65" spans="1:9" ht="15">
      <c r="A65" s="43" t="str">
        <f>HLOOKUP(INDICE!$F$2,Nombres!$C$3:$D$636,315,FALSE)</f>
        <v>Resultado de operaciones interrumpidas y otros (1)</v>
      </c>
      <c r="B65" s="44">
        <v>202.53589162693237</v>
      </c>
      <c r="C65" s="44">
        <v>-582.4092304457499</v>
      </c>
      <c r="D65" s="44">
        <v>-2.162694021816964</v>
      </c>
      <c r="E65" s="45">
        <v>-3.195416487025941</v>
      </c>
      <c r="F65" s="44">
        <v>0</v>
      </c>
      <c r="G65" s="44">
        <v>-201.39716995</v>
      </c>
      <c r="H65" s="44">
        <v>0</v>
      </c>
      <c r="I65" s="44">
        <v>0</v>
      </c>
    </row>
    <row r="66" spans="1:9" ht="15">
      <c r="A66" s="47" t="str">
        <f>HLOOKUP(INDICE!$F$2,Nombres!$C$3:$D$636,50,FALSE)</f>
        <v>Resultado atribuido</v>
      </c>
      <c r="B66" s="47">
        <f>+B64+B65</f>
        <v>1193.8846881734091</v>
      </c>
      <c r="C66" s="47">
        <f aca="true" t="shared" si="11" ref="C66:I66">+C64+C65</f>
        <v>698.7813620033687</v>
      </c>
      <c r="D66" s="47">
        <f t="shared" si="11"/>
        <v>1367.7114883434788</v>
      </c>
      <c r="E66" s="47">
        <f t="shared" si="11"/>
        <v>1359.8874647500086</v>
      </c>
      <c r="F66" s="47">
        <f t="shared" si="11"/>
        <v>1299.0506616244534</v>
      </c>
      <c r="G66" s="47">
        <f t="shared" si="11"/>
        <v>1585.1064149802382</v>
      </c>
      <c r="H66" s="47">
        <f t="shared" si="11"/>
        <v>1770.940636963121</v>
      </c>
      <c r="I66" s="47">
        <f t="shared" si="11"/>
        <v>1764.927286522185</v>
      </c>
    </row>
    <row r="67" spans="1:9" ht="15">
      <c r="A67" s="43"/>
      <c r="B67" s="48">
        <v>0</v>
      </c>
      <c r="C67" s="48">
        <v>0</v>
      </c>
      <c r="D67" s="48">
        <v>0</v>
      </c>
      <c r="E67" s="48">
        <v>1.8189894035458565E-12</v>
      </c>
      <c r="F67" s="48">
        <v>0</v>
      </c>
      <c r="G67" s="48">
        <v>0</v>
      </c>
      <c r="H67" s="48">
        <v>0</v>
      </c>
      <c r="I67" s="48">
        <v>0</v>
      </c>
    </row>
    <row r="68" spans="1:9" ht="12.75" customHeight="1">
      <c r="A68" s="278"/>
      <c r="B68" s="48">
        <v>0</v>
      </c>
      <c r="C68" s="48">
        <v>0</v>
      </c>
      <c r="D68" s="48">
        <v>0</v>
      </c>
      <c r="E68" s="48">
        <v>1.8189894035458565E-12</v>
      </c>
      <c r="F68" s="48">
        <v>0</v>
      </c>
      <c r="G68" s="48">
        <v>0</v>
      </c>
      <c r="H68" s="48">
        <v>0</v>
      </c>
      <c r="I68" s="48">
        <v>0</v>
      </c>
    </row>
    <row r="69" spans="1:9" ht="24" customHeight="1">
      <c r="A69" s="299"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69" s="299"/>
      <c r="C69" s="299"/>
      <c r="D69" s="299"/>
      <c r="E69" s="299"/>
      <c r="F69" s="299"/>
      <c r="G69" s="299"/>
      <c r="H69" s="299"/>
      <c r="I69" s="299"/>
    </row>
    <row r="70" spans="1:9" ht="15" customHeight="1">
      <c r="A70" s="299"/>
      <c r="B70" s="299"/>
      <c r="C70" s="299"/>
      <c r="D70" s="299"/>
      <c r="E70" s="299"/>
      <c r="F70" s="299"/>
      <c r="G70" s="299"/>
      <c r="H70" s="299"/>
      <c r="I70" s="299"/>
    </row>
    <row r="71" spans="1:9" ht="15">
      <c r="A71" s="43"/>
      <c r="B71" s="262"/>
      <c r="C71" s="262"/>
      <c r="D71" s="262"/>
      <c r="E71" s="262"/>
      <c r="F71" s="262"/>
      <c r="G71" s="262"/>
      <c r="H71" s="262"/>
      <c r="I71" s="262"/>
    </row>
    <row r="72" spans="1:9" ht="15">
      <c r="A72"/>
      <c r="B72" s="262"/>
      <c r="C72" s="262"/>
      <c r="D72" s="262"/>
      <c r="E72" s="262"/>
      <c r="F72" s="262"/>
      <c r="G72" s="262"/>
      <c r="H72" s="262"/>
      <c r="I72" s="262"/>
    </row>
    <row r="73" spans="2:9" ht="15">
      <c r="B73" s="262"/>
      <c r="C73" s="262"/>
      <c r="D73" s="262"/>
      <c r="E73" s="262"/>
      <c r="F73" s="262"/>
      <c r="G73" s="262"/>
      <c r="H73" s="262"/>
      <c r="I73" s="262"/>
    </row>
    <row r="85" ht="15">
      <c r="A85"/>
    </row>
    <row r="999" ht="15">
      <c r="A999" s="31" t="s">
        <v>391</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8" operator="notBetween">
      <formula>0.4</formula>
      <formula>-0.4</formula>
    </cfRule>
  </conditionalFormatting>
  <conditionalFormatting sqref="B37:I37">
    <cfRule type="cellIs" priority="43" dxfId="18" operator="notBetween">
      <formula>0.4</formula>
      <formula>-0.4</formula>
    </cfRule>
  </conditionalFormatting>
  <conditionalFormatting sqref="E31">
    <cfRule type="cellIs" priority="35" dxfId="132" operator="notBetween">
      <formula>0.5</formula>
      <formula>-0.5</formula>
    </cfRule>
  </conditionalFormatting>
  <conditionalFormatting sqref="C31">
    <cfRule type="cellIs" priority="33" dxfId="132" operator="notBetween">
      <formula>0.5</formula>
      <formula>-0.5</formula>
    </cfRule>
  </conditionalFormatting>
  <conditionalFormatting sqref="H31">
    <cfRule type="cellIs" priority="38" dxfId="132" operator="notBetween">
      <formula>0.5</formula>
      <formula>-0.5</formula>
    </cfRule>
  </conditionalFormatting>
  <conditionalFormatting sqref="I31">
    <cfRule type="cellIs" priority="42" dxfId="132" operator="notBetween">
      <formula>0.5</formula>
      <formula>-0.5</formula>
    </cfRule>
  </conditionalFormatting>
  <conditionalFormatting sqref="B71:G71">
    <cfRule type="cellIs" priority="41" dxfId="18" operator="notBetween">
      <formula>0.4</formula>
      <formula>-0.4</formula>
    </cfRule>
  </conditionalFormatting>
  <conditionalFormatting sqref="G31">
    <cfRule type="cellIs" priority="37" dxfId="132" operator="notBetween">
      <formula>0.5</formula>
      <formula>-0.5</formula>
    </cfRule>
  </conditionalFormatting>
  <conditionalFormatting sqref="H71">
    <cfRule type="cellIs" priority="40" dxfId="18" operator="notBetween">
      <formula>0.4</formula>
      <formula>-0.4</formula>
    </cfRule>
  </conditionalFormatting>
  <conditionalFormatting sqref="I71">
    <cfRule type="cellIs" priority="39" dxfId="18" operator="notBetween">
      <formula>0.4</formula>
      <formula>-0.4</formula>
    </cfRule>
  </conditionalFormatting>
  <conditionalFormatting sqref="F31">
    <cfRule type="cellIs" priority="36" dxfId="132" operator="notBetween">
      <formula>0.5</formula>
      <formula>-0.5</formula>
    </cfRule>
  </conditionalFormatting>
  <conditionalFormatting sqref="D31">
    <cfRule type="cellIs" priority="34" dxfId="132" operator="notBetween">
      <formula>0.5</formula>
      <formula>-0.5</formula>
    </cfRule>
  </conditionalFormatting>
  <conditionalFormatting sqref="D32">
    <cfRule type="cellIs" priority="30" dxfId="132" operator="notBetween">
      <formula>0.5</formula>
      <formula>-0.5</formula>
    </cfRule>
  </conditionalFormatting>
  <conditionalFormatting sqref="B31:I31">
    <cfRule type="cellIs" priority="32" dxfId="132" operator="notBetween">
      <formula>0.5</formula>
      <formula>-0.5</formula>
    </cfRule>
  </conditionalFormatting>
  <conditionalFormatting sqref="C32">
    <cfRule type="cellIs" priority="31" dxfId="132" operator="notBetween">
      <formula>0.5</formula>
      <formula>-0.5</formula>
    </cfRule>
  </conditionalFormatting>
  <conditionalFormatting sqref="B32:I32">
    <cfRule type="cellIs" priority="29" dxfId="132" operator="notBetween">
      <formula>0.5</formula>
      <formula>-0.5</formula>
    </cfRule>
  </conditionalFormatting>
  <conditionalFormatting sqref="F31">
    <cfRule type="cellIs" priority="28" dxfId="132" operator="notBetween">
      <formula>0.5</formula>
      <formula>-0.5</formula>
    </cfRule>
  </conditionalFormatting>
  <conditionalFormatting sqref="G31">
    <cfRule type="cellIs" priority="27" dxfId="132" operator="notBetween">
      <formula>0.5</formula>
      <formula>-0.5</formula>
    </cfRule>
  </conditionalFormatting>
  <conditionalFormatting sqref="H31">
    <cfRule type="cellIs" priority="26" dxfId="132" operator="notBetween">
      <formula>0.5</formula>
      <formula>-0.5</formula>
    </cfRule>
  </conditionalFormatting>
  <conditionalFormatting sqref="I31">
    <cfRule type="cellIs" priority="25" dxfId="132" operator="notBetween">
      <formula>0.5</formula>
      <formula>-0.5</formula>
    </cfRule>
  </conditionalFormatting>
  <conditionalFormatting sqref="D31">
    <cfRule type="cellIs" priority="24" dxfId="132" operator="notBetween">
      <formula>0.5</formula>
      <formula>-0.5</formula>
    </cfRule>
  </conditionalFormatting>
  <conditionalFormatting sqref="C31">
    <cfRule type="cellIs" priority="23" dxfId="132" operator="notBetween">
      <formula>0.5</formula>
      <formula>-0.5</formula>
    </cfRule>
  </conditionalFormatting>
  <conditionalFormatting sqref="B31">
    <cfRule type="cellIs" priority="22" dxfId="132" operator="notBetween">
      <formula>0.5</formula>
      <formula>-0.5</formula>
    </cfRule>
  </conditionalFormatting>
  <conditionalFormatting sqref="F32:I32">
    <cfRule type="cellIs" priority="21" dxfId="132" operator="notBetween">
      <formula>0.5</formula>
      <formula>-0.5</formula>
    </cfRule>
  </conditionalFormatting>
  <conditionalFormatting sqref="B72:G72">
    <cfRule type="cellIs" priority="20" dxfId="18" operator="notBetween">
      <formula>0.4</formula>
      <formula>-0.4</formula>
    </cfRule>
  </conditionalFormatting>
  <conditionalFormatting sqref="H72">
    <cfRule type="cellIs" priority="19" dxfId="18" operator="notBetween">
      <formula>0.4</formula>
      <formula>-0.4</formula>
    </cfRule>
  </conditionalFormatting>
  <conditionalFormatting sqref="I72">
    <cfRule type="cellIs" priority="18" dxfId="18" operator="notBetween">
      <formula>0.4</formula>
      <formula>-0.4</formula>
    </cfRule>
  </conditionalFormatting>
  <conditionalFormatting sqref="E67">
    <cfRule type="cellIs" priority="13" dxfId="132" operator="notBetween">
      <formula>0.5</formula>
      <formula>-0.5</formula>
    </cfRule>
  </conditionalFormatting>
  <conditionalFormatting sqref="C67">
    <cfRule type="cellIs" priority="11" dxfId="132" operator="notBetween">
      <formula>0.5</formula>
      <formula>-0.5</formula>
    </cfRule>
  </conditionalFormatting>
  <conditionalFormatting sqref="H67">
    <cfRule type="cellIs" priority="16" dxfId="132" operator="notBetween">
      <formula>0.5</formula>
      <formula>-0.5</formula>
    </cfRule>
  </conditionalFormatting>
  <conditionalFormatting sqref="I67">
    <cfRule type="cellIs" priority="17" dxfId="132" operator="notBetween">
      <formula>0.5</formula>
      <formula>-0.5</formula>
    </cfRule>
  </conditionalFormatting>
  <conditionalFormatting sqref="G67">
    <cfRule type="cellIs" priority="15" dxfId="132" operator="notBetween">
      <formula>0.5</formula>
      <formula>-0.5</formula>
    </cfRule>
  </conditionalFormatting>
  <conditionalFormatting sqref="F67">
    <cfRule type="cellIs" priority="14" dxfId="132" operator="notBetween">
      <formula>0.5</formula>
      <formula>-0.5</formula>
    </cfRule>
  </conditionalFormatting>
  <conditionalFormatting sqref="D67">
    <cfRule type="cellIs" priority="12" dxfId="132" operator="notBetween">
      <formula>0.5</formula>
      <formula>-0.5</formula>
    </cfRule>
  </conditionalFormatting>
  <conditionalFormatting sqref="B67:I67">
    <cfRule type="cellIs" priority="10" dxfId="132" operator="notBetween">
      <formula>0.5</formula>
      <formula>-0.5</formula>
    </cfRule>
  </conditionalFormatting>
  <conditionalFormatting sqref="F67">
    <cfRule type="cellIs" priority="9" dxfId="132" operator="notBetween">
      <formula>0.5</formula>
      <formula>-0.5</formula>
    </cfRule>
  </conditionalFormatting>
  <conditionalFormatting sqref="G67">
    <cfRule type="cellIs" priority="8" dxfId="132" operator="notBetween">
      <formula>0.5</formula>
      <formula>-0.5</formula>
    </cfRule>
  </conditionalFormatting>
  <conditionalFormatting sqref="H67">
    <cfRule type="cellIs" priority="7" dxfId="132" operator="notBetween">
      <formula>0.5</formula>
      <formula>-0.5</formula>
    </cfRule>
  </conditionalFormatting>
  <conditionalFormatting sqref="I67">
    <cfRule type="cellIs" priority="6" dxfId="132" operator="notBetween">
      <formula>0.5</formula>
      <formula>-0.5</formula>
    </cfRule>
  </conditionalFormatting>
  <conditionalFormatting sqref="D67">
    <cfRule type="cellIs" priority="5" dxfId="132" operator="notBetween">
      <formula>0.5</formula>
      <formula>-0.5</formula>
    </cfRule>
  </conditionalFormatting>
  <conditionalFormatting sqref="C67">
    <cfRule type="cellIs" priority="4" dxfId="132" operator="notBetween">
      <formula>0.5</formula>
      <formula>-0.5</formula>
    </cfRule>
  </conditionalFormatting>
  <conditionalFormatting sqref="B67:I67">
    <cfRule type="cellIs" priority="3" dxfId="132" operator="notBetween">
      <formula>0.5</formula>
      <formula>-0.5</formula>
    </cfRule>
  </conditionalFormatting>
  <conditionalFormatting sqref="B68:I68">
    <cfRule type="cellIs" priority="2" dxfId="132" operator="notBetween">
      <formula>0.5</formula>
      <formula>-0.5</formula>
    </cfRule>
  </conditionalFormatting>
  <conditionalFormatting sqref="B68:I6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44286</v>
      </c>
      <c r="C5" s="53">
        <f>+España!C32</f>
        <v>44377</v>
      </c>
      <c r="D5" s="53">
        <f>+España!D32</f>
        <v>44469</v>
      </c>
      <c r="E5" s="53">
        <f>+España!E32</f>
        <v>44561</v>
      </c>
      <c r="F5" s="53">
        <f>+España!F32</f>
        <v>44651</v>
      </c>
      <c r="G5" s="53">
        <f>+España!G32</f>
        <v>44742</v>
      </c>
      <c r="H5" s="53">
        <f>+España!H32</f>
        <v>44834</v>
      </c>
      <c r="I5" s="53">
        <f>+España!I32</f>
        <v>44926</v>
      </c>
    </row>
    <row r="6" spans="1:18" ht="15">
      <c r="A6" s="43" t="str">
        <f>HLOOKUP(INDICE!$F$2,Nombres!$C$3:$D$636,52,FALSE)</f>
        <v>Efectivo, saldos en efectivo en bancos centrales y otros depósitos a la vista</v>
      </c>
      <c r="B6" s="44">
        <v>54949.79</v>
      </c>
      <c r="C6" s="44">
        <v>61686.822</v>
      </c>
      <c r="D6" s="44">
        <v>63232.27</v>
      </c>
      <c r="E6" s="44">
        <v>67799.213</v>
      </c>
      <c r="F6" s="44">
        <v>70936.578</v>
      </c>
      <c r="G6" s="44">
        <v>81507.862</v>
      </c>
      <c r="H6" s="44">
        <v>88076.127</v>
      </c>
      <c r="I6" s="44">
        <v>79755.783</v>
      </c>
      <c r="J6" s="54"/>
      <c r="K6" s="54"/>
      <c r="O6" s="54"/>
      <c r="P6" s="54"/>
      <c r="Q6" s="54"/>
      <c r="R6" s="54"/>
    </row>
    <row r="7" spans="1:18" ht="15">
      <c r="A7" s="43" t="str">
        <f>HLOOKUP(INDICE!$F$2,Nombres!$C$3:$D$636,131,FALSE)</f>
        <v>Activos financieros mantenidos para negociar</v>
      </c>
      <c r="B7" s="44">
        <v>98274.522</v>
      </c>
      <c r="C7" s="44">
        <v>102647.141</v>
      </c>
      <c r="D7" s="44">
        <v>106505.09</v>
      </c>
      <c r="E7" s="44">
        <v>123492.711</v>
      </c>
      <c r="F7" s="44">
        <v>112131.153</v>
      </c>
      <c r="G7" s="44">
        <v>120822.86</v>
      </c>
      <c r="H7" s="44">
        <v>119965.921</v>
      </c>
      <c r="I7" s="44">
        <v>110671.495</v>
      </c>
      <c r="J7" s="54"/>
      <c r="K7" s="54"/>
      <c r="O7" s="54"/>
      <c r="P7" s="54"/>
      <c r="Q7" s="54"/>
      <c r="R7" s="54"/>
    </row>
    <row r="8" spans="1:18" ht="15">
      <c r="A8" s="43" t="str">
        <f>HLOOKUP(INDICE!$F$2,Nombres!$C$3:$D$636,132,FALSE)</f>
        <v>Activos financieros no destinados a negociación valorados obligatoriamente a valor razonable con cambios en resultados</v>
      </c>
      <c r="B8" s="44">
        <v>5488.333</v>
      </c>
      <c r="C8" s="44">
        <v>5742.114</v>
      </c>
      <c r="D8" s="44">
        <v>5873.735</v>
      </c>
      <c r="E8" s="44">
        <v>6085.755</v>
      </c>
      <c r="F8" s="44">
        <v>6624.612</v>
      </c>
      <c r="G8" s="44">
        <v>6774.555</v>
      </c>
      <c r="H8" s="44">
        <v>7290.057</v>
      </c>
      <c r="I8" s="44">
        <v>6888.171</v>
      </c>
      <c r="J8" s="54"/>
      <c r="K8" s="54"/>
      <c r="O8" s="54"/>
      <c r="P8" s="54"/>
      <c r="Q8" s="54"/>
      <c r="R8" s="54"/>
    </row>
    <row r="9" spans="1:18" ht="15">
      <c r="A9" s="43" t="str">
        <f>HLOOKUP(INDICE!$F$2,Nombres!$C$3:$D$636,133,FALSE)</f>
        <v>Activos financieros designados a valor razonable con cambios en resultados</v>
      </c>
      <c r="B9" s="44">
        <v>1110.309</v>
      </c>
      <c r="C9" s="44">
        <v>1106.563</v>
      </c>
      <c r="D9" s="44">
        <v>1136.922</v>
      </c>
      <c r="E9" s="44">
        <v>1091.698</v>
      </c>
      <c r="F9" s="44">
        <v>1035.864</v>
      </c>
      <c r="G9" s="44">
        <v>1003.087</v>
      </c>
      <c r="H9" s="44">
        <v>977.632</v>
      </c>
      <c r="I9" s="44">
        <v>912.847</v>
      </c>
      <c r="J9" s="54"/>
      <c r="K9" s="54"/>
      <c r="O9" s="54"/>
      <c r="P9" s="54"/>
      <c r="Q9" s="54"/>
      <c r="R9" s="54"/>
    </row>
    <row r="10" spans="1:18" ht="15">
      <c r="A10" s="43" t="str">
        <f>HLOOKUP(INDICE!$F$2,Nombres!$C$3:$D$636,134,FALSE)</f>
        <v>Activos financieros designados a valor razonable con cambios en otro resultado global acumulado</v>
      </c>
      <c r="B10" s="44">
        <v>72771.319</v>
      </c>
      <c r="C10" s="44">
        <v>73185.632</v>
      </c>
      <c r="D10" s="44">
        <v>69962.881</v>
      </c>
      <c r="E10" s="44">
        <v>60421.173</v>
      </c>
      <c r="F10" s="44">
        <v>65103.1</v>
      </c>
      <c r="G10" s="44">
        <v>63222.847</v>
      </c>
      <c r="H10" s="44">
        <v>62523.762</v>
      </c>
      <c r="I10" s="44">
        <v>58979.649</v>
      </c>
      <c r="J10" s="54"/>
      <c r="K10" s="54"/>
      <c r="O10" s="54"/>
      <c r="P10" s="54"/>
      <c r="Q10" s="54"/>
      <c r="R10" s="54"/>
    </row>
    <row r="11" spans="1:18" ht="15">
      <c r="A11" s="43" t="str">
        <f>HLOOKUP(INDICE!$F$2,Nombres!$C$3:$D$636,135,FALSE)</f>
        <v>Activos financieros a coste amortizado</v>
      </c>
      <c r="B11" s="44">
        <v>363753.935</v>
      </c>
      <c r="C11" s="44">
        <v>368025.67999999993</v>
      </c>
      <c r="D11" s="44">
        <v>370217.123</v>
      </c>
      <c r="E11" s="44">
        <v>372675.89300000004</v>
      </c>
      <c r="F11" s="44">
        <v>388412.92799999996</v>
      </c>
      <c r="G11" s="44">
        <v>408147.555</v>
      </c>
      <c r="H11" s="44">
        <v>425854.20199999993</v>
      </c>
      <c r="I11" s="44">
        <v>422060.635</v>
      </c>
      <c r="J11" s="54"/>
      <c r="K11" s="54"/>
      <c r="O11" s="54"/>
      <c r="P11" s="54"/>
      <c r="Q11" s="54"/>
      <c r="R11" s="54"/>
    </row>
    <row r="12" spans="1:18" ht="15">
      <c r="A12" s="55" t="str">
        <f>HLOOKUP(INDICE!$F$2,Nombres!$C$3:$D$636,136,FALSE)</f>
        <v>. Préstamos y anticipos en bancos centrales  y entidades de crédito</v>
      </c>
      <c r="B12" s="56">
        <v>16963.208</v>
      </c>
      <c r="C12" s="56">
        <v>16946.555</v>
      </c>
      <c r="D12" s="56">
        <v>18237.243</v>
      </c>
      <c r="E12" s="56">
        <v>18956.595999999998</v>
      </c>
      <c r="F12" s="56">
        <v>16749.572</v>
      </c>
      <c r="G12" s="56">
        <v>19761.975</v>
      </c>
      <c r="H12" s="56">
        <v>22797.36</v>
      </c>
      <c r="I12" s="56">
        <v>20431.347</v>
      </c>
      <c r="J12" s="54"/>
      <c r="K12" s="54"/>
      <c r="O12" s="54"/>
      <c r="P12" s="54"/>
      <c r="Q12" s="54"/>
      <c r="R12" s="54"/>
    </row>
    <row r="13" spans="1:18" ht="15">
      <c r="A13" s="55" t="str">
        <f>HLOOKUP(INDICE!$F$2,Nombres!$C$3:$D$636,137,FALSE)</f>
        <v>. Préstamos y anticipos a la clientela</v>
      </c>
      <c r="B13" s="56">
        <v>310683.014</v>
      </c>
      <c r="C13" s="56">
        <v>315751.932</v>
      </c>
      <c r="D13" s="56">
        <v>316499.159</v>
      </c>
      <c r="E13" s="56">
        <v>318938.684</v>
      </c>
      <c r="F13" s="56">
        <v>335016.241</v>
      </c>
      <c r="G13" s="56">
        <v>350109.576</v>
      </c>
      <c r="H13" s="56">
        <v>361730.513</v>
      </c>
      <c r="I13" s="56">
        <v>358022.819</v>
      </c>
      <c r="J13" s="54"/>
      <c r="K13" s="54"/>
      <c r="O13" s="54"/>
      <c r="P13" s="54"/>
      <c r="Q13" s="54"/>
      <c r="R13" s="54"/>
    </row>
    <row r="14" spans="1:18" ht="15">
      <c r="A14" s="55" t="str">
        <f>HLOOKUP(INDICE!$F$2,Nombres!$C$3:$D$636,138,FALSE)</f>
        <v>. Valores representativos de deuda</v>
      </c>
      <c r="B14" s="56">
        <v>36107.713</v>
      </c>
      <c r="C14" s="56">
        <v>35327.193</v>
      </c>
      <c r="D14" s="56">
        <v>35480.721</v>
      </c>
      <c r="E14" s="56">
        <v>34780.613</v>
      </c>
      <c r="F14" s="56">
        <v>36647.115</v>
      </c>
      <c r="G14" s="56">
        <v>38276.004</v>
      </c>
      <c r="H14" s="56">
        <v>41326.329</v>
      </c>
      <c r="I14" s="56">
        <v>43606.469</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1416.136</v>
      </c>
      <c r="C16" s="44">
        <v>1399.922</v>
      </c>
      <c r="D16" s="44">
        <v>880.324</v>
      </c>
      <c r="E16" s="44">
        <v>900.377</v>
      </c>
      <c r="F16" s="44">
        <v>911.008</v>
      </c>
      <c r="G16" s="44">
        <v>894.393</v>
      </c>
      <c r="H16" s="44">
        <v>902.557</v>
      </c>
      <c r="I16" s="44">
        <v>915.887</v>
      </c>
      <c r="J16" s="54"/>
      <c r="K16" s="54"/>
      <c r="O16" s="54"/>
      <c r="P16" s="54"/>
      <c r="Q16" s="54"/>
      <c r="R16" s="54"/>
    </row>
    <row r="17" spans="1:18" ht="15">
      <c r="A17" s="43" t="str">
        <f>HLOOKUP(INDICE!$F$2,Nombres!$C$3:$D$636,56,FALSE)</f>
        <v>Activos tangibles</v>
      </c>
      <c r="B17" s="44">
        <v>7703.314</v>
      </c>
      <c r="C17" s="44">
        <v>7321.364</v>
      </c>
      <c r="D17" s="44">
        <v>7291.122</v>
      </c>
      <c r="E17" s="44">
        <v>7297.848</v>
      </c>
      <c r="F17" s="44">
        <v>7628.42</v>
      </c>
      <c r="G17" s="44">
        <v>8336.727</v>
      </c>
      <c r="H17" s="44">
        <v>8566.853</v>
      </c>
      <c r="I17" s="44">
        <v>8737.019</v>
      </c>
      <c r="J17" s="54"/>
      <c r="K17" s="54"/>
      <c r="O17" s="54"/>
      <c r="P17" s="54"/>
      <c r="Q17" s="54"/>
      <c r="R17" s="54"/>
    </row>
    <row r="18" spans="1:18" ht="15">
      <c r="A18" s="43" t="str">
        <f>HLOOKUP(INDICE!$F$2,Nombres!$C$3:$D$636,141,FALSE)</f>
        <v>Activos Intangibles</v>
      </c>
      <c r="B18" s="44">
        <v>2297.155</v>
      </c>
      <c r="C18" s="44">
        <v>2303.017</v>
      </c>
      <c r="D18" s="44">
        <v>2270.716</v>
      </c>
      <c r="E18" s="44">
        <v>2197.305</v>
      </c>
      <c r="F18" s="44">
        <v>2055.793</v>
      </c>
      <c r="G18" s="44">
        <v>2139.492</v>
      </c>
      <c r="H18" s="44">
        <v>2210.858</v>
      </c>
      <c r="I18" s="44">
        <v>2156.35</v>
      </c>
      <c r="J18" s="54"/>
      <c r="K18" s="54"/>
      <c r="O18" s="54"/>
      <c r="P18" s="54"/>
      <c r="Q18" s="54"/>
      <c r="R18" s="54"/>
    </row>
    <row r="19" spans="1:18" ht="15">
      <c r="A19" s="43" t="str">
        <f>HLOOKUP(INDICE!$F$2,Nombres!$C$3:$D$636,57,FALSE)</f>
        <v>Otros activos</v>
      </c>
      <c r="B19" s="44">
        <v>109164.539</v>
      </c>
      <c r="C19" s="44">
        <v>21874.225000000002</v>
      </c>
      <c r="D19" s="44">
        <v>21890.901</v>
      </c>
      <c r="E19" s="44">
        <v>20922.711</v>
      </c>
      <c r="F19" s="44">
        <v>21419.78</v>
      </c>
      <c r="G19" s="44">
        <v>22444.371</v>
      </c>
      <c r="H19" s="44">
        <v>22311.974</v>
      </c>
      <c r="I19" s="44">
        <v>22062.493</v>
      </c>
      <c r="J19" s="54"/>
      <c r="K19" s="54"/>
      <c r="O19" s="54"/>
      <c r="P19" s="54"/>
      <c r="Q19" s="54"/>
      <c r="R19" s="54"/>
    </row>
    <row r="20" spans="1:18" ht="15">
      <c r="A20" s="47" t="str">
        <f>HLOOKUP(INDICE!$F$2,Nombres!$C$3:$D$636,58,FALSE)</f>
        <v>Total activo / pasivo</v>
      </c>
      <c r="B20" s="47">
        <f aca="true" t="shared" si="0" ref="B20:I20">+SUM(B6:B11,B16:B19)</f>
        <v>716929.3520000002</v>
      </c>
      <c r="C20" s="47">
        <f t="shared" si="0"/>
        <v>645292.4799999999</v>
      </c>
      <c r="D20" s="47">
        <f t="shared" si="0"/>
        <v>649261.0839999999</v>
      </c>
      <c r="E20" s="47">
        <f t="shared" si="0"/>
        <v>662884.6840000001</v>
      </c>
      <c r="F20" s="47">
        <f t="shared" si="0"/>
        <v>676259.236</v>
      </c>
      <c r="G20" s="47">
        <f t="shared" si="0"/>
        <v>715293.7490000001</v>
      </c>
      <c r="H20" s="47">
        <f t="shared" si="0"/>
        <v>738679.943</v>
      </c>
      <c r="I20" s="47">
        <f t="shared" si="0"/>
        <v>713140.329</v>
      </c>
      <c r="J20" s="54"/>
      <c r="K20" s="54"/>
      <c r="O20" s="54"/>
      <c r="P20" s="54"/>
      <c r="Q20" s="54"/>
      <c r="R20" s="54"/>
    </row>
    <row r="21" spans="1:18" ht="15">
      <c r="A21" s="43" t="str">
        <f>HLOOKUP(INDICE!$F$2,Nombres!$C$3:$D$636,59,FALSE)</f>
        <v>Pasivos financieros mantenidos para negociar y designados a valor razonable con cambios en resultados</v>
      </c>
      <c r="B21" s="58">
        <v>78477.095</v>
      </c>
      <c r="C21" s="58">
        <v>79985.634</v>
      </c>
      <c r="D21" s="58">
        <v>80785.706</v>
      </c>
      <c r="E21" s="58">
        <v>91134.514</v>
      </c>
      <c r="F21" s="58">
        <v>85960.376</v>
      </c>
      <c r="G21" s="58">
        <v>102304.847</v>
      </c>
      <c r="H21" s="58">
        <v>104534.31</v>
      </c>
      <c r="I21" s="58">
        <v>95611.195</v>
      </c>
      <c r="O21" s="54"/>
      <c r="P21" s="54"/>
      <c r="Q21" s="54"/>
      <c r="R21" s="54"/>
    </row>
    <row r="22" spans="1:18" ht="15">
      <c r="A22" s="43" t="str">
        <f>HLOOKUP(INDICE!$F$2,Nombres!$C$3:$D$636,142,FALSE)</f>
        <v>Pasivos financieros designados a valor razonable con cambios en resultados</v>
      </c>
      <c r="B22" s="58">
        <v>9713.58</v>
      </c>
      <c r="C22" s="58">
        <v>9811.104</v>
      </c>
      <c r="D22" s="58">
        <v>9725.514</v>
      </c>
      <c r="E22" s="58">
        <v>9683.471</v>
      </c>
      <c r="F22" s="58">
        <v>9761.475</v>
      </c>
      <c r="G22" s="58">
        <v>9878.266</v>
      </c>
      <c r="H22" s="58">
        <v>10677.657</v>
      </c>
      <c r="I22" s="58">
        <v>10579.771</v>
      </c>
      <c r="J22" s="59"/>
      <c r="K22" s="59"/>
      <c r="L22" s="59"/>
      <c r="M22" s="59"/>
      <c r="N22" s="59"/>
      <c r="O22" s="54"/>
      <c r="P22" s="54"/>
      <c r="Q22" s="54"/>
      <c r="R22" s="54"/>
    </row>
    <row r="23" spans="1:18" ht="15">
      <c r="A23" s="43" t="str">
        <f>HLOOKUP(INDICE!$F$2,Nombres!$C$3:$D$636,143,FALSE)</f>
        <v>Pasivos financieros a coste amortizado</v>
      </c>
      <c r="B23" s="58">
        <v>475812.855</v>
      </c>
      <c r="C23" s="58">
        <v>479617.829</v>
      </c>
      <c r="D23" s="58">
        <v>481662.365</v>
      </c>
      <c r="E23" s="58">
        <v>487892.72</v>
      </c>
      <c r="F23" s="58">
        <v>504479.77</v>
      </c>
      <c r="G23" s="58">
        <v>527274.907</v>
      </c>
      <c r="H23" s="58">
        <v>544718.808</v>
      </c>
      <c r="I23" s="58">
        <v>528629.263</v>
      </c>
      <c r="J23" s="59"/>
      <c r="K23" s="59"/>
      <c r="L23" s="59"/>
      <c r="M23" s="59"/>
      <c r="N23" s="59"/>
      <c r="O23" s="54"/>
      <c r="P23" s="54"/>
      <c r="Q23" s="54"/>
      <c r="R23" s="54"/>
    </row>
    <row r="24" spans="1:18" ht="15">
      <c r="A24" s="55" t="str">
        <f>HLOOKUP(INDICE!$F$2,Nombres!$C$3:$D$636,60,FALSE)</f>
        <v>Depósitos de bancos centrales y entidades de crédito</v>
      </c>
      <c r="B24" s="58">
        <v>74123.35800000001</v>
      </c>
      <c r="C24" s="58">
        <v>71644.65699999999</v>
      </c>
      <c r="D24" s="58">
        <v>71507.343</v>
      </c>
      <c r="E24" s="58">
        <v>67185.341</v>
      </c>
      <c r="F24" s="58">
        <v>73160.91500000001</v>
      </c>
      <c r="G24" s="58">
        <v>79126.674</v>
      </c>
      <c r="H24" s="58">
        <v>84196.282</v>
      </c>
      <c r="I24" s="58">
        <v>65257.985</v>
      </c>
      <c r="O24" s="54"/>
      <c r="P24" s="54"/>
      <c r="Q24" s="54"/>
      <c r="R24" s="54"/>
    </row>
    <row r="25" spans="1:18" ht="15">
      <c r="A25" s="55" t="str">
        <f>HLOOKUP(INDICE!$F$2,Nombres!$C$3:$D$636,61,FALSE)</f>
        <v>Depósitos de la clientela</v>
      </c>
      <c r="B25" s="58">
        <v>331063.659</v>
      </c>
      <c r="C25" s="58">
        <v>338794.954</v>
      </c>
      <c r="D25" s="58">
        <v>340827.854</v>
      </c>
      <c r="E25" s="58">
        <v>349761.487</v>
      </c>
      <c r="F25" s="58">
        <v>360716.419</v>
      </c>
      <c r="G25" s="58">
        <v>376973.2</v>
      </c>
      <c r="H25" s="58">
        <v>389705.252</v>
      </c>
      <c r="I25" s="58">
        <v>393856.302</v>
      </c>
      <c r="O25" s="54"/>
      <c r="P25" s="54"/>
      <c r="Q25" s="54"/>
      <c r="R25" s="54"/>
    </row>
    <row r="26" spans="1:18" ht="15">
      <c r="A26" s="55" t="str">
        <f>HLOOKUP(INDICE!$F$2,Nombres!$C$3:$D$636,62,FALSE)</f>
        <v>Valores representativos de deuda emitidos</v>
      </c>
      <c r="B26" s="58">
        <v>57417.941</v>
      </c>
      <c r="C26" s="58">
        <v>55046.618</v>
      </c>
      <c r="D26" s="58">
        <v>55396.81</v>
      </c>
      <c r="E26" s="58">
        <v>55763.274</v>
      </c>
      <c r="F26" s="58">
        <v>53539.702</v>
      </c>
      <c r="G26" s="58">
        <v>54757.069</v>
      </c>
      <c r="H26" s="58">
        <v>54811.115</v>
      </c>
      <c r="I26" s="58">
        <v>55429.375</v>
      </c>
      <c r="O26" s="54"/>
      <c r="P26" s="54"/>
      <c r="Q26" s="54"/>
      <c r="R26" s="54"/>
    </row>
    <row r="27" spans="1:18" ht="15">
      <c r="A27" s="55" t="str">
        <f>HLOOKUP(INDICE!$F$2,Nombres!$C$3:$D$636,144,FALSE)</f>
        <v>. Otros pasivos financieros</v>
      </c>
      <c r="B27" s="58">
        <v>13207.897</v>
      </c>
      <c r="C27" s="58">
        <v>14131.6</v>
      </c>
      <c r="D27" s="58">
        <v>13930.358</v>
      </c>
      <c r="E27" s="58">
        <v>15182.618</v>
      </c>
      <c r="F27" s="58">
        <v>17062.734</v>
      </c>
      <c r="G27" s="58">
        <v>16417.964</v>
      </c>
      <c r="H27" s="58">
        <v>16006.159</v>
      </c>
      <c r="I27" s="58">
        <v>14085.601</v>
      </c>
      <c r="O27" s="54"/>
      <c r="P27" s="54"/>
      <c r="Q27" s="54"/>
      <c r="R27" s="54"/>
    </row>
    <row r="28" spans="1:18" ht="15">
      <c r="A28" s="43" t="str">
        <f>HLOOKUP(INDICE!$F$2,Nombres!$C$3:$D$636,145,FALSE)</f>
        <v>Pasivos amparados por contratos de seguros o reaseguro</v>
      </c>
      <c r="B28" s="58">
        <v>10325.477</v>
      </c>
      <c r="C28" s="58">
        <v>10535.323</v>
      </c>
      <c r="D28" s="58">
        <v>10564.065</v>
      </c>
      <c r="E28" s="58">
        <v>10864.78</v>
      </c>
      <c r="F28" s="58">
        <v>11093.977</v>
      </c>
      <c r="G28" s="58">
        <v>11622.079</v>
      </c>
      <c r="H28" s="58">
        <v>12274.917</v>
      </c>
      <c r="I28" s="58">
        <v>11847.527</v>
      </c>
      <c r="O28" s="54"/>
      <c r="P28" s="54"/>
      <c r="Q28" s="54"/>
      <c r="R28" s="54"/>
    </row>
    <row r="29" spans="1:18" ht="15">
      <c r="A29" s="43" t="str">
        <f>HLOOKUP(INDICE!$F$2,Nombres!$C$3:$D$636,63,FALSE)</f>
        <v>Otros pasivos</v>
      </c>
      <c r="B29" s="58">
        <v>91889.053</v>
      </c>
      <c r="C29" s="58">
        <v>15398.419999999998</v>
      </c>
      <c r="D29" s="58">
        <v>15956.514</v>
      </c>
      <c r="E29" s="58">
        <v>14549.081</v>
      </c>
      <c r="F29" s="58">
        <v>16338.436</v>
      </c>
      <c r="G29" s="58">
        <v>15420.692</v>
      </c>
      <c r="H29" s="58">
        <v>16577.662</v>
      </c>
      <c r="I29" s="58">
        <v>15858.051999999998</v>
      </c>
      <c r="O29" s="54"/>
      <c r="P29" s="54"/>
      <c r="Q29" s="54"/>
      <c r="R29" s="54"/>
    </row>
    <row r="30" spans="1:18" ht="15">
      <c r="A30" s="41" t="str">
        <f>HLOOKUP(INDICE!$F$2,Nombres!$C$3:$D$636,146,FALSE)</f>
        <v>Total pasivo</v>
      </c>
      <c r="B30" s="60">
        <f aca="true" t="shared" si="1" ref="B30:I30">+SUM(B21:B23,B28:B29)</f>
        <v>666218.0599999999</v>
      </c>
      <c r="C30" s="60">
        <f t="shared" si="1"/>
        <v>595348.31</v>
      </c>
      <c r="D30" s="60">
        <f t="shared" si="1"/>
        <v>598694.1639999999</v>
      </c>
      <c r="E30" s="60">
        <f t="shared" si="1"/>
        <v>614124.566</v>
      </c>
      <c r="F30" s="60">
        <f t="shared" si="1"/>
        <v>627634.034</v>
      </c>
      <c r="G30" s="60">
        <f t="shared" si="1"/>
        <v>666500.7910000001</v>
      </c>
      <c r="H30" s="60">
        <f t="shared" si="1"/>
        <v>688783.3539999999</v>
      </c>
      <c r="I30" s="60">
        <f t="shared" si="1"/>
        <v>662525.8080000001</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5395.961</v>
      </c>
      <c r="C32" s="58">
        <v>5428.254</v>
      </c>
      <c r="D32" s="58">
        <v>5628.132</v>
      </c>
      <c r="E32" s="58">
        <v>4853.013</v>
      </c>
      <c r="F32" s="58">
        <v>5513.72</v>
      </c>
      <c r="G32" s="58">
        <v>3350.523</v>
      </c>
      <c r="H32" s="58">
        <v>3654.23</v>
      </c>
      <c r="I32" s="58">
        <v>3623.73</v>
      </c>
      <c r="O32" s="54"/>
      <c r="P32" s="54"/>
      <c r="Q32" s="54"/>
      <c r="R32" s="54"/>
    </row>
    <row r="33" spans="1:18" ht="15" customHeight="1" hidden="1">
      <c r="A33" s="43" t="str">
        <f>HLOOKUP(INDICE!$F$2,Nombres!$C$3:$D$636,148,FALSE)</f>
        <v>Otro resultado global acumulado</v>
      </c>
      <c r="B33" s="58">
        <v>-14718.02</v>
      </c>
      <c r="C33" s="58">
        <v>-15348.027</v>
      </c>
      <c r="D33" s="58">
        <v>-15683.672</v>
      </c>
      <c r="E33" s="58">
        <v>-16476.239</v>
      </c>
      <c r="F33" s="58">
        <v>-14158.546</v>
      </c>
      <c r="G33" s="58">
        <v>-16451.839</v>
      </c>
      <c r="H33" s="58">
        <v>-16648.541</v>
      </c>
      <c r="I33" s="58">
        <v>-17431.627</v>
      </c>
      <c r="O33" s="54"/>
      <c r="P33" s="54"/>
      <c r="Q33" s="54"/>
      <c r="R33" s="54"/>
    </row>
    <row r="34" spans="1:18" ht="15" customHeight="1" hidden="1">
      <c r="A34" s="43" t="str">
        <f>HLOOKUP(INDICE!$F$2,Nombres!$C$3:$D$636,149,FALSE)</f>
        <v>Fondos propios</v>
      </c>
      <c r="B34" s="58">
        <v>60033.351</v>
      </c>
      <c r="C34" s="58">
        <v>59863.941</v>
      </c>
      <c r="D34" s="58">
        <v>60622.46</v>
      </c>
      <c r="E34" s="58">
        <v>60383.344</v>
      </c>
      <c r="F34" s="58">
        <v>57270.026</v>
      </c>
      <c r="G34" s="58">
        <v>61894.274</v>
      </c>
      <c r="H34" s="58">
        <v>62890.9</v>
      </c>
      <c r="I34" s="58">
        <v>64422.418000000005</v>
      </c>
      <c r="O34" s="54"/>
      <c r="P34" s="54"/>
      <c r="Q34" s="54"/>
      <c r="R34" s="54"/>
    </row>
    <row r="35" spans="1:18" ht="15">
      <c r="A35" s="41" t="str">
        <f>HLOOKUP(INDICE!$F$2,Nombres!$C$3:$D$636,150,FALSE)</f>
        <v>Patrimonio neto</v>
      </c>
      <c r="B35" s="60">
        <f aca="true" t="shared" si="2" ref="B35:I35">+B32+B33+B34</f>
        <v>50711.292</v>
      </c>
      <c r="C35" s="60">
        <f t="shared" si="2"/>
        <v>49944.168</v>
      </c>
      <c r="D35" s="60">
        <f t="shared" si="2"/>
        <v>50566.92</v>
      </c>
      <c r="E35" s="60">
        <f t="shared" si="2"/>
        <v>48760.117999999995</v>
      </c>
      <c r="F35" s="60">
        <f t="shared" si="2"/>
        <v>48625.2</v>
      </c>
      <c r="G35" s="60">
        <f t="shared" si="2"/>
        <v>48792.958</v>
      </c>
      <c r="H35" s="60">
        <f t="shared" si="2"/>
        <v>49896.589</v>
      </c>
      <c r="I35" s="60">
        <f t="shared" si="2"/>
        <v>50614.52100000001</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716929.3520000002</v>
      </c>
      <c r="C37" s="47">
        <f aca="true" t="shared" si="3" ref="C37:I37">+C20</f>
        <v>645292.4799999999</v>
      </c>
      <c r="D37" s="47">
        <f t="shared" si="3"/>
        <v>649261.0839999999</v>
      </c>
      <c r="E37" s="47">
        <f t="shared" si="3"/>
        <v>662884.6840000001</v>
      </c>
      <c r="F37" s="47">
        <f t="shared" si="3"/>
        <v>676259.236</v>
      </c>
      <c r="G37" s="47">
        <f t="shared" si="3"/>
        <v>715293.7490000001</v>
      </c>
      <c r="H37" s="47">
        <f t="shared" si="3"/>
        <v>738679.943</v>
      </c>
      <c r="I37" s="47">
        <f t="shared" si="3"/>
        <v>713140.329</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299" t="str">
        <f>HLOOKUP(INDICE!$F$2,Nombres!$C$3:$D$636,297,FALSE)</f>
        <v>Nota general : Cifras considerando la clasificación de las sociedades incluidas en el acuerdo de venta suscrito con PNC como Activos y Pasivos No corrientes en Venta.</v>
      </c>
      <c r="B40" s="299"/>
      <c r="C40" s="299"/>
      <c r="D40" s="299"/>
      <c r="E40" s="299"/>
      <c r="F40" s="299"/>
      <c r="G40" s="299"/>
      <c r="H40" s="299"/>
      <c r="I40" s="299"/>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3">
        <v>5.0175003707408905E-08</v>
      </c>
      <c r="C43" s="273">
        <v>5.972106009721756E-08</v>
      </c>
      <c r="D43" s="273">
        <v>-6.007030606269836E-08</v>
      </c>
      <c r="E43" s="273">
        <v>-1.0989606380462646E-07</v>
      </c>
      <c r="F43" s="273">
        <v>-0.0010000496404245496</v>
      </c>
      <c r="G43" s="273">
        <v>-1.0011717677116394E-08</v>
      </c>
      <c r="H43" s="273">
        <v>3.9814040064811707E-08</v>
      </c>
      <c r="I43" s="273">
        <v>2.0139850676059723E-08</v>
      </c>
    </row>
    <row r="44" ht="15">
      <c r="B44" s="54"/>
    </row>
    <row r="46" ht="15">
      <c r="B46" s="54"/>
    </row>
    <row r="1000" ht="15">
      <c r="A1000" s="31" t="s">
        <v>391</v>
      </c>
    </row>
  </sheetData>
  <sheetProtection/>
  <mergeCells count="1">
    <mergeCell ref="A40:I40"/>
  </mergeCells>
  <conditionalFormatting sqref="F39:I39">
    <cfRule type="cellIs" priority="11" dxfId="132" operator="notBetween">
      <formula>0.5</formula>
      <formula>-0.5</formula>
    </cfRule>
  </conditionalFormatting>
  <conditionalFormatting sqref="I38">
    <cfRule type="cellIs" priority="10" dxfId="78" operator="notBetween">
      <formula>0.001</formula>
      <formula>-0.001</formula>
    </cfRule>
  </conditionalFormatting>
  <conditionalFormatting sqref="H38">
    <cfRule type="cellIs" priority="9" dxfId="78" operator="notBetween">
      <formula>0.001</formula>
      <formula>-0.001</formula>
    </cfRule>
  </conditionalFormatting>
  <conditionalFormatting sqref="G38">
    <cfRule type="cellIs" priority="8" dxfId="78" operator="notBetween">
      <formula>0.001</formula>
      <formula>-0.001</formula>
    </cfRule>
  </conditionalFormatting>
  <conditionalFormatting sqref="F38">
    <cfRule type="cellIs" priority="7" dxfId="78" operator="notBetween">
      <formula>0.001</formula>
      <formula>-0.001</formula>
    </cfRule>
  </conditionalFormatting>
  <conditionalFormatting sqref="B39:E39">
    <cfRule type="cellIs" priority="6" dxfId="132" operator="notBetween">
      <formula>0.5</formula>
      <formula>-0.5</formula>
    </cfRule>
  </conditionalFormatting>
  <conditionalFormatting sqref="E38">
    <cfRule type="cellIs" priority="5" dxfId="78" operator="notBetween">
      <formula>0.001</formula>
      <formula>-0.001</formula>
    </cfRule>
  </conditionalFormatting>
  <conditionalFormatting sqref="D38">
    <cfRule type="cellIs" priority="4" dxfId="78" operator="notBetween">
      <formula>0.001</formula>
      <formula>-0.001</formula>
    </cfRule>
  </conditionalFormatting>
  <conditionalFormatting sqref="C38">
    <cfRule type="cellIs" priority="3" dxfId="78" operator="notBetween">
      <formula>0.001</formula>
      <formula>-0.001</formula>
    </cfRule>
  </conditionalFormatting>
  <conditionalFormatting sqref="B38">
    <cfRule type="cellIs" priority="2" dxfId="78" operator="notBetween">
      <formula>0.001</formula>
      <formula>-0.001</formula>
    </cfRule>
  </conditionalFormatting>
  <conditionalFormatting sqref="B43:I43">
    <cfRule type="cellIs" priority="1" dxfId="132"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v>2021</v>
      </c>
      <c r="C6" s="300"/>
      <c r="D6" s="300"/>
      <c r="E6" s="301"/>
      <c r="F6" s="300">
        <v>2022</v>
      </c>
      <c r="G6" s="300"/>
      <c r="H6" s="300"/>
      <c r="I6" s="300"/>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866.1733313800001</v>
      </c>
      <c r="C8" s="41">
        <v>894.9913202700002</v>
      </c>
      <c r="D8" s="41">
        <v>872.3806724699999</v>
      </c>
      <c r="E8" s="42">
        <v>867.0898095700002</v>
      </c>
      <c r="F8" s="50">
        <v>859.0991665799999</v>
      </c>
      <c r="G8" s="50">
        <v>904.0867053699999</v>
      </c>
      <c r="H8" s="50">
        <v>931.3667737999999</v>
      </c>
      <c r="I8" s="50">
        <v>1089.48340617</v>
      </c>
    </row>
    <row r="9" spans="1:9" ht="15">
      <c r="A9" s="43" t="str">
        <f>HLOOKUP(INDICE!$F$2,Nombres!$C$3:$D$636,34,FALSE)</f>
        <v>Comisiones netas</v>
      </c>
      <c r="B9" s="44">
        <v>508.5603078900001</v>
      </c>
      <c r="C9" s="44">
        <v>552.2360509</v>
      </c>
      <c r="D9" s="44">
        <v>535.41188663</v>
      </c>
      <c r="E9" s="45">
        <v>598.4288345199999</v>
      </c>
      <c r="F9" s="44">
        <v>535.9141621699999</v>
      </c>
      <c r="G9" s="44">
        <v>573.70344127</v>
      </c>
      <c r="H9" s="44">
        <v>525.69729174</v>
      </c>
      <c r="I9" s="44">
        <v>520.7863193</v>
      </c>
    </row>
    <row r="10" spans="1:9" ht="15">
      <c r="A10" s="43" t="str">
        <f>HLOOKUP(INDICE!$F$2,Nombres!$C$3:$D$636,35,FALSE)</f>
        <v>Resultados de operaciones financieras</v>
      </c>
      <c r="B10" s="44">
        <v>187.42350033999998</v>
      </c>
      <c r="C10" s="44">
        <v>71.74822754</v>
      </c>
      <c r="D10" s="44">
        <v>6.268376649999986</v>
      </c>
      <c r="E10" s="45">
        <v>38.771783889999995</v>
      </c>
      <c r="F10" s="44">
        <v>189.81198705999998</v>
      </c>
      <c r="G10" s="44">
        <v>98.41779986</v>
      </c>
      <c r="H10" s="44">
        <v>40.902432300000015</v>
      </c>
      <c r="I10" s="44">
        <v>66.6324375</v>
      </c>
    </row>
    <row r="11" spans="1:9" ht="15">
      <c r="A11" s="43" t="str">
        <f>HLOOKUP(INDICE!$F$2,Nombres!$C$3:$D$636,36,FALSE)</f>
        <v>Otros ingresos y cargas de explotación</v>
      </c>
      <c r="B11" s="44">
        <v>70.82128579</v>
      </c>
      <c r="C11" s="44">
        <v>-117.29963506999995</v>
      </c>
      <c r="D11" s="44">
        <v>65.01331009999991</v>
      </c>
      <c r="E11" s="45">
        <v>-127.63029758999994</v>
      </c>
      <c r="F11" s="44">
        <v>78.52728025999998</v>
      </c>
      <c r="G11" s="44">
        <v>-170.95063194</v>
      </c>
      <c r="H11" s="44">
        <v>79.69922849000014</v>
      </c>
      <c r="I11" s="44">
        <v>-178.26904010000007</v>
      </c>
    </row>
    <row r="12" spans="1:9" ht="15">
      <c r="A12" s="41" t="str">
        <f>HLOOKUP(INDICE!$F$2,Nombres!$C$3:$D$636,37,FALSE)</f>
        <v>Margen bruto</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1405.25731456</v>
      </c>
      <c r="H12" s="50">
        <f t="shared" si="0"/>
        <v>1577.66572633</v>
      </c>
      <c r="I12" s="50">
        <f t="shared" si="0"/>
        <v>1498.63312287</v>
      </c>
    </row>
    <row r="13" spans="1:9" ht="15">
      <c r="A13" s="43" t="str">
        <f>HLOOKUP(INDICE!$F$2,Nombres!$C$3:$D$636,38,FALSE)</f>
        <v>Gastos de explotación</v>
      </c>
      <c r="B13" s="44">
        <v>-756.01776594</v>
      </c>
      <c r="C13" s="44">
        <v>-749.490817</v>
      </c>
      <c r="D13" s="44">
        <v>-748.9192592500001</v>
      </c>
      <c r="E13" s="45">
        <v>-788.5616905500001</v>
      </c>
      <c r="F13" s="44">
        <v>-713.5149379100001</v>
      </c>
      <c r="G13" s="44">
        <v>-720.4461926700001</v>
      </c>
      <c r="H13" s="44">
        <v>-723.12625897</v>
      </c>
      <c r="I13" s="44">
        <v>-762.11302984</v>
      </c>
    </row>
    <row r="14" spans="1:9" ht="15">
      <c r="A14" s="43" t="str">
        <f>HLOOKUP(INDICE!$F$2,Nombres!$C$3:$D$636,39,FALSE)</f>
        <v>  Gastos de administración</v>
      </c>
      <c r="B14" s="44">
        <v>-645.9175883</v>
      </c>
      <c r="C14" s="44">
        <v>-640.0504873599999</v>
      </c>
      <c r="D14" s="44">
        <v>-641.95983161</v>
      </c>
      <c r="E14" s="45">
        <v>-684.2307109100001</v>
      </c>
      <c r="F14" s="44">
        <v>-608.89190927</v>
      </c>
      <c r="G14" s="44">
        <v>-616.31195703</v>
      </c>
      <c r="H14" s="44">
        <v>-624.78909533</v>
      </c>
      <c r="I14" s="44">
        <v>-665.6525122</v>
      </c>
    </row>
    <row r="15" spans="1:9" ht="15">
      <c r="A15" s="46" t="str">
        <f>HLOOKUP(INDICE!$F$2,Nombres!$C$3:$D$636,40,FALSE)</f>
        <v>  Gastos de personal</v>
      </c>
      <c r="B15" s="44">
        <v>-427.62491108000006</v>
      </c>
      <c r="C15" s="44">
        <v>-423.71259944999997</v>
      </c>
      <c r="D15" s="44">
        <v>-428.12319434</v>
      </c>
      <c r="E15" s="45">
        <v>-458.05536249000005</v>
      </c>
      <c r="F15" s="44">
        <v>-382.61152745000004</v>
      </c>
      <c r="G15" s="44">
        <v>-385.73259383000004</v>
      </c>
      <c r="H15" s="44">
        <v>-400.77492499000004</v>
      </c>
      <c r="I15" s="44">
        <v>-439.25569838</v>
      </c>
    </row>
    <row r="16" spans="1:9" ht="15">
      <c r="A16" s="46" t="str">
        <f>HLOOKUP(INDICE!$F$2,Nombres!$C$3:$D$636,41,FALSE)</f>
        <v>  Otros gastos de administración</v>
      </c>
      <c r="B16" s="44">
        <v>-218.29267722</v>
      </c>
      <c r="C16" s="44">
        <v>-216.33788791</v>
      </c>
      <c r="D16" s="44">
        <v>-213.83663726999998</v>
      </c>
      <c r="E16" s="45">
        <v>-226.17534842</v>
      </c>
      <c r="F16" s="44">
        <v>-226.28038182000003</v>
      </c>
      <c r="G16" s="44">
        <v>-230.57936320000005</v>
      </c>
      <c r="H16" s="44">
        <v>-224.01417034000002</v>
      </c>
      <c r="I16" s="44">
        <v>-226.39681382000003</v>
      </c>
    </row>
    <row r="17" spans="1:9" ht="15">
      <c r="A17" s="43" t="str">
        <f>HLOOKUP(INDICE!$F$2,Nombres!$C$3:$D$636,42,FALSE)</f>
        <v>  Amortización</v>
      </c>
      <c r="B17" s="44">
        <v>-110.10017764</v>
      </c>
      <c r="C17" s="44">
        <v>-109.44032964000002</v>
      </c>
      <c r="D17" s="44">
        <v>-106.95942764000002</v>
      </c>
      <c r="E17" s="45">
        <v>-104.33097963999998</v>
      </c>
      <c r="F17" s="44">
        <v>-104.62302864</v>
      </c>
      <c r="G17" s="44">
        <v>-104.13423564</v>
      </c>
      <c r="H17" s="44">
        <v>-98.33716364</v>
      </c>
      <c r="I17" s="44">
        <v>-96.46051764</v>
      </c>
    </row>
    <row r="18" spans="1:9" ht="15">
      <c r="A18" s="41" t="str">
        <f>HLOOKUP(INDICE!$F$2,Nombres!$C$3:$D$636,43,FALSE)</f>
        <v>Margen neto</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684.8111218899999</v>
      </c>
      <c r="H18" s="50">
        <f t="shared" si="1"/>
        <v>854.5394673600001</v>
      </c>
      <c r="I18" s="50">
        <f t="shared" si="1"/>
        <v>736.5200930300001</v>
      </c>
    </row>
    <row r="19" spans="1:9" ht="15">
      <c r="A19" s="43" t="str">
        <f>HLOOKUP(INDICE!$F$2,Nombres!$C$3:$D$636,44,FALSE)</f>
        <v>Deterioro de activos financieros no valorados a valor razonable con cambios en resultados</v>
      </c>
      <c r="B19" s="44">
        <v>-185.07156827999998</v>
      </c>
      <c r="C19" s="44">
        <v>-157.79771086000002</v>
      </c>
      <c r="D19" s="44">
        <v>-58.88365385999998</v>
      </c>
      <c r="E19" s="45">
        <v>-100.76156113000005</v>
      </c>
      <c r="F19" s="44">
        <v>-89.41895372000002</v>
      </c>
      <c r="G19" s="44">
        <v>-103.64080966000006</v>
      </c>
      <c r="H19" s="44">
        <v>-139.18189950999997</v>
      </c>
      <c r="I19" s="44">
        <v>-190.22596205000002</v>
      </c>
    </row>
    <row r="20" spans="1:9" ht="15">
      <c r="A20" s="43" t="str">
        <f>HLOOKUP(INDICE!$F$2,Nombres!$C$3:$D$636,45,FALSE)</f>
        <v>Provisiones o reversión de provisiones y otros resultados</v>
      </c>
      <c r="B20" s="44">
        <v>-185.51916521</v>
      </c>
      <c r="C20" s="44">
        <v>-16.201349169999986</v>
      </c>
      <c r="D20" s="44">
        <v>-40.184533</v>
      </c>
      <c r="E20" s="45">
        <v>-28.34556425999998</v>
      </c>
      <c r="F20" s="44">
        <v>-19.42208866</v>
      </c>
      <c r="G20" s="44">
        <v>-7.68210607999999</v>
      </c>
      <c r="H20" s="44">
        <v>-10.027560550000004</v>
      </c>
      <c r="I20" s="44">
        <v>-40.63434929999998</v>
      </c>
    </row>
    <row r="21" spans="1:9" ht="15">
      <c r="A21" s="41" t="str">
        <f>HLOOKUP(INDICE!$F$2,Nombres!$C$3:$D$636,46,FALSE)</f>
        <v>Resultado antes de impuestos</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573.4882061499998</v>
      </c>
      <c r="H21" s="50">
        <f t="shared" si="2"/>
        <v>705.3300073000001</v>
      </c>
      <c r="I21" s="50">
        <f t="shared" si="2"/>
        <v>505.6597816800001</v>
      </c>
    </row>
    <row r="22" spans="1:9" ht="15">
      <c r="A22" s="43" t="str">
        <f>HLOOKUP(INDICE!$F$2,Nombres!$C$3:$D$636,47,FALSE)</f>
        <v>Impuesto sobre beneficios</v>
      </c>
      <c r="B22" s="44">
        <v>-135.70944273</v>
      </c>
      <c r="C22" s="44">
        <v>-122.18198357999998</v>
      </c>
      <c r="D22" s="44">
        <v>-165.33251455999996</v>
      </c>
      <c r="E22" s="45">
        <v>-100.86645799000004</v>
      </c>
      <c r="F22" s="44">
        <v>-239.42309053999998</v>
      </c>
      <c r="G22" s="44">
        <v>-163.28002520999996</v>
      </c>
      <c r="H22" s="44">
        <v>-200.80905827000007</v>
      </c>
      <c r="I22" s="44">
        <v>-139.63020916000005</v>
      </c>
    </row>
    <row r="23" spans="1:9" ht="15">
      <c r="A23" s="41" t="str">
        <f>HLOOKUP(INDICE!$F$2,Nombres!$C$3:$D$636,48,FALSE)</f>
        <v>Resultado del ejercicio</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410.2081809399998</v>
      </c>
      <c r="H23" s="50">
        <f t="shared" si="3"/>
        <v>504.5209490300001</v>
      </c>
      <c r="I23" s="50">
        <f t="shared" si="3"/>
        <v>366.02957252000004</v>
      </c>
    </row>
    <row r="24" spans="1:9" ht="15">
      <c r="A24" s="43" t="str">
        <f>HLOOKUP(INDICE!$F$2,Nombres!$C$3:$D$636,49,FALSE)</f>
        <v>Minoritarios</v>
      </c>
      <c r="B24" s="44">
        <v>-0.6923230899999999</v>
      </c>
      <c r="C24" s="44">
        <v>-0.7216836099999999</v>
      </c>
      <c r="D24" s="44">
        <v>-0.4960173900000002</v>
      </c>
      <c r="E24" s="45">
        <v>-0.43946732999999993</v>
      </c>
      <c r="F24" s="44">
        <v>-0.9564782700000001</v>
      </c>
      <c r="G24" s="44">
        <v>-0.9767035999999999</v>
      </c>
      <c r="H24" s="44">
        <v>-0.65651427</v>
      </c>
      <c r="I24" s="44">
        <v>-0.6592063400000001</v>
      </c>
    </row>
    <row r="25" spans="1:9" ht="15">
      <c r="A25" s="47" t="str">
        <f>HLOOKUP(INDICE!$F$2,Nombres!$C$3:$D$636,305,FALSE)</f>
        <v>Resultado atribuido excluyendo impactos no recurrentes</v>
      </c>
      <c r="B25" s="47">
        <f>+B23+B24</f>
        <v>369.9681601500004</v>
      </c>
      <c r="C25" s="47">
        <f aca="true" t="shared" si="4" ref="C25:I25">+C23+C24</f>
        <v>355.2824194200002</v>
      </c>
      <c r="D25" s="47">
        <f t="shared" si="4"/>
        <v>465.25826778999965</v>
      </c>
      <c r="E25" s="70">
        <f t="shared" si="4"/>
        <v>357.68538913000003</v>
      </c>
      <c r="F25" s="51">
        <f t="shared" si="4"/>
        <v>600.6170469699996</v>
      </c>
      <c r="G25" s="51">
        <f t="shared" si="4"/>
        <v>409.2314773399998</v>
      </c>
      <c r="H25" s="51">
        <f t="shared" si="4"/>
        <v>503.8644347600001</v>
      </c>
      <c r="I25" s="51">
        <f t="shared" si="4"/>
        <v>365.37036618</v>
      </c>
    </row>
    <row r="26" spans="1:9" ht="15">
      <c r="A26" s="43" t="str">
        <f>HLOOKUP(INDICE!$F$2,Nombres!$C$3:$D$636,319,FALSE)</f>
        <v>Impacto neto de la compra de oficinas en España</v>
      </c>
      <c r="B26" s="44">
        <v>0</v>
      </c>
      <c r="C26" s="44">
        <v>0</v>
      </c>
      <c r="D26" s="44">
        <v>0</v>
      </c>
      <c r="E26" s="45">
        <v>0</v>
      </c>
      <c r="F26" s="44">
        <v>0</v>
      </c>
      <c r="G26" s="44">
        <v>-201.39716995</v>
      </c>
      <c r="H26" s="44">
        <v>0</v>
      </c>
      <c r="I26" s="44">
        <v>0</v>
      </c>
    </row>
    <row r="27" spans="1:9" ht="15">
      <c r="A27" s="47" t="str">
        <f>HLOOKUP(INDICE!$F$2,Nombres!$C$3:$D$636,50,FALSE)</f>
        <v>Resultado atribuido</v>
      </c>
      <c r="B27" s="47">
        <f>+B25+B26</f>
        <v>369.9681601500004</v>
      </c>
      <c r="C27" s="47">
        <f aca="true" t="shared" si="5" ref="C27:I27">+C25+C26</f>
        <v>355.2824194200002</v>
      </c>
      <c r="D27" s="47">
        <f t="shared" si="5"/>
        <v>465.25826778999965</v>
      </c>
      <c r="E27" s="70">
        <f t="shared" si="5"/>
        <v>357.68538913000003</v>
      </c>
      <c r="F27" s="47">
        <f t="shared" si="5"/>
        <v>600.6170469699996</v>
      </c>
      <c r="G27" s="47">
        <f t="shared" si="5"/>
        <v>207.8343073899998</v>
      </c>
      <c r="H27" s="47">
        <f t="shared" si="5"/>
        <v>503.8644347600001</v>
      </c>
      <c r="I27" s="47">
        <f t="shared" si="5"/>
        <v>365.37036618</v>
      </c>
    </row>
    <row r="28" spans="1:9" ht="15">
      <c r="A28" s="299"/>
      <c r="B28" s="299"/>
      <c r="C28" s="299"/>
      <c r="D28" s="299"/>
      <c r="E28" s="299"/>
      <c r="F28" s="299"/>
      <c r="G28" s="299"/>
      <c r="H28" s="299"/>
      <c r="I28" s="299"/>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44286</v>
      </c>
      <c r="C32" s="53">
        <v>44377</v>
      </c>
      <c r="D32" s="53">
        <v>44469</v>
      </c>
      <c r="E32" s="53">
        <v>44561</v>
      </c>
      <c r="F32" s="53">
        <v>44651</v>
      </c>
      <c r="G32" s="53">
        <v>44742</v>
      </c>
      <c r="H32" s="53">
        <v>44834</v>
      </c>
      <c r="I32" s="53">
        <v>44926</v>
      </c>
      <c r="K32" s="54"/>
    </row>
    <row r="33" spans="1:11" ht="15">
      <c r="A33" s="43" t="str">
        <f>HLOOKUP(INDICE!$F$2,Nombres!$C$3:$D$636,52,FALSE)</f>
        <v>Efectivo, saldos en efectivo en bancos centrales y otros depósitos a la vista</v>
      </c>
      <c r="B33" s="44">
        <v>26118.438437</v>
      </c>
      <c r="C33" s="44">
        <v>22583.024074</v>
      </c>
      <c r="D33" s="44">
        <v>23137.774776000002</v>
      </c>
      <c r="E33" s="45">
        <v>26386.000189</v>
      </c>
      <c r="F33" s="44">
        <v>28567.499893</v>
      </c>
      <c r="G33" s="44">
        <v>37732.410629</v>
      </c>
      <c r="H33" s="44">
        <v>48898.329535</v>
      </c>
      <c r="I33" s="44">
        <v>49184.983630999996</v>
      </c>
      <c r="K33" s="54"/>
    </row>
    <row r="34" spans="1:11" ht="15">
      <c r="A34" s="43" t="str">
        <f>HLOOKUP(INDICE!$F$2,Nombres!$C$3:$D$636,53,FALSE)</f>
        <v>Activos financieros a valor razonable</v>
      </c>
      <c r="B34" s="58">
        <v>133138.23764593</v>
      </c>
      <c r="C34" s="58">
        <v>137229.11167526</v>
      </c>
      <c r="D34" s="58">
        <v>138939.90451837002</v>
      </c>
      <c r="E34" s="64">
        <v>145545.80849313</v>
      </c>
      <c r="F34" s="44">
        <v>136353.24551016</v>
      </c>
      <c r="G34" s="44">
        <v>140377.23086860002</v>
      </c>
      <c r="H34" s="44">
        <v>135010.53182518</v>
      </c>
      <c r="I34" s="44">
        <v>126413.47969942997</v>
      </c>
      <c r="K34" s="54"/>
    </row>
    <row r="35" spans="1:11" ht="15">
      <c r="A35" s="43" t="str">
        <f>HLOOKUP(INDICE!$F$2,Nombres!$C$3:$D$636,54,FALSE)</f>
        <v>Activos financieros a coste amortizado</v>
      </c>
      <c r="B35" s="44">
        <v>195608.45913719</v>
      </c>
      <c r="C35" s="44">
        <v>198897.14261369998</v>
      </c>
      <c r="D35" s="44">
        <v>197505.0617502</v>
      </c>
      <c r="E35" s="45">
        <v>199646.47363823</v>
      </c>
      <c r="F35" s="44">
        <v>199698.84029615996</v>
      </c>
      <c r="G35" s="44">
        <v>204749.47282411</v>
      </c>
      <c r="H35" s="44">
        <v>206925.08819379006</v>
      </c>
      <c r="I35" s="44">
        <v>204587.65562357003</v>
      </c>
      <c r="K35" s="54"/>
    </row>
    <row r="36" spans="1:11" ht="15">
      <c r="A36" s="43" t="str">
        <f>HLOOKUP(INDICE!$F$2,Nombres!$C$3:$D$636,55,FALSE)</f>
        <v>    de los que préstamos y anticipos a la clientela</v>
      </c>
      <c r="B36" s="44">
        <v>166080.40653619</v>
      </c>
      <c r="C36" s="44">
        <v>169916.61111769997</v>
      </c>
      <c r="D36" s="44">
        <v>168385.3284432</v>
      </c>
      <c r="E36" s="45">
        <v>171081.07912722998</v>
      </c>
      <c r="F36" s="44">
        <v>171949.96412115998</v>
      </c>
      <c r="G36" s="44">
        <v>176108.72322811</v>
      </c>
      <c r="H36" s="44">
        <v>176151.89635379</v>
      </c>
      <c r="I36" s="44">
        <v>174030.89145257004</v>
      </c>
      <c r="K36" s="54"/>
    </row>
    <row r="37" spans="1:11" ht="15">
      <c r="A37" s="43" t="str">
        <f>HLOOKUP(INDICE!$F$2,Nombres!$C$3:$D$636,121,FALSE)</f>
        <v>Posiciones inter-áreas activo</v>
      </c>
      <c r="B37" s="44">
        <v>28497.30744309991</v>
      </c>
      <c r="C37" s="44">
        <v>28861.87703562004</v>
      </c>
      <c r="D37" s="44">
        <v>30083.44213207008</v>
      </c>
      <c r="E37" s="45">
        <v>33971.89627377008</v>
      </c>
      <c r="F37" s="44">
        <v>37241.85153339</v>
      </c>
      <c r="G37" s="44">
        <v>39466.278595489915</v>
      </c>
      <c r="H37" s="44">
        <v>37725.85807774996</v>
      </c>
      <c r="I37" s="44">
        <v>38924.15075850987</v>
      </c>
      <c r="K37" s="54"/>
    </row>
    <row r="38" spans="1:11" ht="15">
      <c r="A38" s="43" t="str">
        <f>HLOOKUP(INDICE!$F$2,Nombres!$C$3:$D$636,56,FALSE)</f>
        <v>Activos tangibles</v>
      </c>
      <c r="B38" s="58">
        <v>2825.418143</v>
      </c>
      <c r="C38" s="58">
        <v>2499.116668</v>
      </c>
      <c r="D38" s="58">
        <v>2458.447295</v>
      </c>
      <c r="E38" s="64">
        <v>2533.746048</v>
      </c>
      <c r="F38" s="44">
        <v>2508.384579</v>
      </c>
      <c r="G38" s="44">
        <v>2972.7728279999997</v>
      </c>
      <c r="H38" s="44">
        <v>2941.4989960000003</v>
      </c>
      <c r="I38" s="44">
        <v>2989.8220039999997</v>
      </c>
      <c r="K38" s="54"/>
    </row>
    <row r="39" spans="1:11" ht="15">
      <c r="A39" s="43" t="str">
        <f>HLOOKUP(INDICE!$F$2,Nombres!$C$3:$D$636,57,FALSE)</f>
        <v>Otros activos</v>
      </c>
      <c r="B39" s="58">
        <f aca="true" t="shared" si="6" ref="B39:I39">+B40-B38-B35-B34-B33-B37</f>
        <v>5926.097213200032</v>
      </c>
      <c r="C39" s="58">
        <f t="shared" si="6"/>
        <v>6205.514388499942</v>
      </c>
      <c r="D39" s="58">
        <f t="shared" si="6"/>
        <v>6105.163002499932</v>
      </c>
      <c r="E39" s="64">
        <f t="shared" si="6"/>
        <v>5345.920737759981</v>
      </c>
      <c r="F39" s="44">
        <f t="shared" si="6"/>
        <v>5675.292589749966</v>
      </c>
      <c r="G39" s="44">
        <f t="shared" si="6"/>
        <v>6714.101317719957</v>
      </c>
      <c r="H39" s="44">
        <f t="shared" si="6"/>
        <v>5952.6267668600485</v>
      </c>
      <c r="I39" s="44">
        <f t="shared" si="6"/>
        <v>5093.253933880143</v>
      </c>
      <c r="K39" s="54"/>
    </row>
    <row r="40" spans="1:11" ht="15">
      <c r="A40" s="47" t="str">
        <f>HLOOKUP(INDICE!$F$2,Nombres!$C$3:$D$636,58,FALSE)</f>
        <v>Total activo / pasivo</v>
      </c>
      <c r="B40" s="47">
        <v>392113.9580194199</v>
      </c>
      <c r="C40" s="47">
        <v>396275.78645508</v>
      </c>
      <c r="D40" s="47">
        <v>398229.79347414005</v>
      </c>
      <c r="E40" s="47">
        <v>413429.84537989006</v>
      </c>
      <c r="F40" s="51">
        <v>410045.1144014599</v>
      </c>
      <c r="G40" s="51">
        <v>432012.2670629199</v>
      </c>
      <c r="H40" s="51">
        <v>437453.93339458003</v>
      </c>
      <c r="I40" s="51">
        <v>427193.34565039</v>
      </c>
      <c r="K40" s="54"/>
    </row>
    <row r="41" spans="1:11" ht="15.75" customHeight="1">
      <c r="A41" s="43" t="str">
        <f>HLOOKUP(INDICE!$F$2,Nombres!$C$3:$D$636,59,FALSE)</f>
        <v>Pasivos financieros mantenidos para negociar y designados a valor razonable con cambios en resultados</v>
      </c>
      <c r="B41" s="58">
        <v>68174.10991900001</v>
      </c>
      <c r="C41" s="58">
        <v>68217.13019400001</v>
      </c>
      <c r="D41" s="58">
        <v>70081.506403</v>
      </c>
      <c r="E41" s="64">
        <v>81375.588126</v>
      </c>
      <c r="F41" s="44">
        <v>75723.90047499997</v>
      </c>
      <c r="G41" s="44">
        <v>89118.859321</v>
      </c>
      <c r="H41" s="44">
        <v>87972.36668900002</v>
      </c>
      <c r="I41" s="44">
        <v>84619.36384300001</v>
      </c>
      <c r="K41" s="54"/>
    </row>
    <row r="42" spans="1:11" ht="15">
      <c r="A42" s="43" t="str">
        <f>HLOOKUP(INDICE!$F$2,Nombres!$C$3:$D$636,60,FALSE)</f>
        <v>Depósitos de bancos centrales y entidades de crédito</v>
      </c>
      <c r="B42" s="58">
        <v>59594.62790700001</v>
      </c>
      <c r="C42" s="58">
        <v>58397.536383</v>
      </c>
      <c r="D42" s="58">
        <v>58351.436717</v>
      </c>
      <c r="E42" s="64">
        <v>54759.088316</v>
      </c>
      <c r="F42" s="44">
        <v>59875.795284</v>
      </c>
      <c r="G42" s="44">
        <v>62815.157738</v>
      </c>
      <c r="H42" s="44">
        <v>67373.417516</v>
      </c>
      <c r="I42" s="44">
        <v>51701.969221</v>
      </c>
      <c r="K42" s="54"/>
    </row>
    <row r="43" spans="1:11" ht="15">
      <c r="A43" s="43" t="str">
        <f>HLOOKUP(INDICE!$F$2,Nombres!$C$3:$D$636,61,FALSE)</f>
        <v>Depósitos de la clientela</v>
      </c>
      <c r="B43" s="58">
        <v>196589.82502999998</v>
      </c>
      <c r="C43" s="58">
        <v>200196.62135399994</v>
      </c>
      <c r="D43" s="58">
        <v>200221.75234999997</v>
      </c>
      <c r="E43" s="64">
        <v>206662.599628</v>
      </c>
      <c r="F43" s="44">
        <v>206451.20086399995</v>
      </c>
      <c r="G43" s="44">
        <v>211023.38771599997</v>
      </c>
      <c r="H43" s="44">
        <v>212862.898358</v>
      </c>
      <c r="I43" s="44">
        <v>220471.42903399997</v>
      </c>
      <c r="K43" s="54"/>
    </row>
    <row r="44" spans="1:11" ht="15">
      <c r="A44" s="43" t="str">
        <f>HLOOKUP(INDICE!$F$2,Nombres!$C$3:$D$636,62,FALSE)</f>
        <v>Valores representativos de deuda emitidos</v>
      </c>
      <c r="B44" s="44">
        <v>37855.50019108</v>
      </c>
      <c r="C44" s="44">
        <v>36939.20894884</v>
      </c>
      <c r="D44" s="44">
        <v>37604.80932516</v>
      </c>
      <c r="E44" s="45">
        <v>38224.42574456</v>
      </c>
      <c r="F44" s="44">
        <v>36027.34682829</v>
      </c>
      <c r="G44" s="44">
        <v>36804.73515928</v>
      </c>
      <c r="H44" s="44">
        <v>38976.324485089994</v>
      </c>
      <c r="I44" s="44">
        <v>40782.29655009001</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+B40-B41-B42-B43-B44-B47-B45</f>
        <v>17240.302730739917</v>
      </c>
      <c r="C46" s="44">
        <f aca="true" t="shared" si="7" ref="C46:I46">+C40-C41-C42-C43-C44-C47-C45</f>
        <v>19348.15331624003</v>
      </c>
      <c r="D46" s="44">
        <f t="shared" si="7"/>
        <v>18449.931319000076</v>
      </c>
      <c r="E46" s="45">
        <f t="shared" si="7"/>
        <v>18405.911814720035</v>
      </c>
      <c r="F46" s="44">
        <f t="shared" si="7"/>
        <v>17622.15769804001</v>
      </c>
      <c r="G46" s="44">
        <f t="shared" si="7"/>
        <v>17744.713558699972</v>
      </c>
      <c r="H46" s="44">
        <f t="shared" si="7"/>
        <v>16302.400092970001</v>
      </c>
      <c r="I46" s="44">
        <f t="shared" si="7"/>
        <v>16495.028376760038</v>
      </c>
    </row>
    <row r="47" spans="1:9" ht="15">
      <c r="A47" s="43" t="str">
        <f>HLOOKUP(INDICE!$F$2,Nombres!$C$3:$D$636,282,FALSE)</f>
        <v>Dotación de capital regulatorio</v>
      </c>
      <c r="B47" s="44">
        <v>12659.592241600001</v>
      </c>
      <c r="C47" s="44">
        <v>13177.136259</v>
      </c>
      <c r="D47" s="44">
        <v>13520.357359980002</v>
      </c>
      <c r="E47" s="45">
        <v>14002.23175061</v>
      </c>
      <c r="F47" s="44">
        <v>14344.713252129997</v>
      </c>
      <c r="G47" s="44">
        <v>14505.41356994</v>
      </c>
      <c r="H47" s="44">
        <v>13966.526253519998</v>
      </c>
      <c r="I47" s="44">
        <v>13123.258625539998</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I52">+B$32</f>
        <v>44286</v>
      </c>
      <c r="C52" s="53">
        <f t="shared" si="8"/>
        <v>44377</v>
      </c>
      <c r="D52" s="53">
        <f t="shared" si="8"/>
        <v>44469</v>
      </c>
      <c r="E52" s="67">
        <f t="shared" si="8"/>
        <v>44561</v>
      </c>
      <c r="F52" s="53">
        <f t="shared" si="8"/>
        <v>44651</v>
      </c>
      <c r="G52" s="53">
        <f t="shared" si="8"/>
        <v>44742</v>
      </c>
      <c r="H52" s="53">
        <f t="shared" si="8"/>
        <v>44834</v>
      </c>
      <c r="I52" s="53">
        <f t="shared" si="8"/>
        <v>44926</v>
      </c>
    </row>
    <row r="53" spans="1:9" ht="15">
      <c r="A53" s="43" t="str">
        <f>HLOOKUP(INDICE!$F$2,Nombres!$C$3:$D$636,66,FALSE)</f>
        <v>Préstamos y anticipos a la clientela bruto (*)</v>
      </c>
      <c r="B53" s="44">
        <v>171552.249247</v>
      </c>
      <c r="C53" s="44">
        <v>175059.77363900002</v>
      </c>
      <c r="D53" s="44">
        <v>173463.88169537002</v>
      </c>
      <c r="E53" s="45">
        <v>176132.589933</v>
      </c>
      <c r="F53" s="44">
        <v>176978.40858599998</v>
      </c>
      <c r="G53" s="44">
        <v>181107.749283</v>
      </c>
      <c r="H53" s="44">
        <v>181079.07291500003</v>
      </c>
      <c r="I53" s="44">
        <v>178555.60762500003</v>
      </c>
    </row>
    <row r="54" spans="1:9" ht="15">
      <c r="A54" s="43" t="str">
        <f>HLOOKUP(INDICE!$F$2,Nombres!$C$3:$D$636,67,FALSE)</f>
        <v>Depósitos de clientes en gestión (**)</v>
      </c>
      <c r="B54" s="44">
        <v>196004.84808</v>
      </c>
      <c r="C54" s="44">
        <v>199580.71829100003</v>
      </c>
      <c r="D54" s="44">
        <v>199599.51979</v>
      </c>
      <c r="E54" s="45">
        <v>205908.21971</v>
      </c>
      <c r="F54" s="44">
        <v>205926.96363399999</v>
      </c>
      <c r="G54" s="44">
        <v>210532.6971</v>
      </c>
      <c r="H54" s="44">
        <v>212298.719874</v>
      </c>
      <c r="I54" s="44">
        <v>219591.833066</v>
      </c>
    </row>
    <row r="55" spans="1:9" ht="15">
      <c r="A55" s="43" t="str">
        <f>HLOOKUP(INDICE!$F$2,Nombres!$C$3:$D$636,68,FALSE)</f>
        <v>Fondos de inversión y carteras gestionadas</v>
      </c>
      <c r="B55" s="44">
        <v>61372.16300718999</v>
      </c>
      <c r="C55" s="44">
        <v>64034.103564149984</v>
      </c>
      <c r="D55" s="44">
        <v>64957.206182949994</v>
      </c>
      <c r="E55" s="45">
        <v>68596.89542821</v>
      </c>
      <c r="F55" s="44">
        <v>66158.73053186998</v>
      </c>
      <c r="G55" s="44">
        <v>63270.89122094001</v>
      </c>
      <c r="H55" s="44">
        <v>62261.04950350999</v>
      </c>
      <c r="I55" s="44">
        <v>63785.98545200001</v>
      </c>
    </row>
    <row r="56" spans="1:9" ht="15">
      <c r="A56" s="43" t="str">
        <f>HLOOKUP(INDICE!$F$2,Nombres!$C$3:$D$636,69,FALSE)</f>
        <v>Fondos de pensiones</v>
      </c>
      <c r="B56" s="44">
        <v>24581.019303769997</v>
      </c>
      <c r="C56" s="44">
        <v>24953.45475065</v>
      </c>
      <c r="D56" s="44">
        <v>24964.93470501</v>
      </c>
      <c r="E56" s="45">
        <v>25498.115497730003</v>
      </c>
      <c r="F56" s="44">
        <v>24669.120722600004</v>
      </c>
      <c r="G56" s="44">
        <v>23557.51709119</v>
      </c>
      <c r="H56" s="44">
        <v>22919.576148710003</v>
      </c>
      <c r="I56" s="44">
        <v>22972.52035825</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391</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1366.2208904400004</v>
      </c>
      <c r="C8" s="41">
        <v>1404.86537968</v>
      </c>
      <c r="D8" s="41">
        <v>1508.9767515400004</v>
      </c>
      <c r="E8" s="42">
        <v>1556.1925747199998</v>
      </c>
      <c r="F8" s="50">
        <v>1746.27672984</v>
      </c>
      <c r="G8" s="50">
        <v>1937.7151103</v>
      </c>
      <c r="H8" s="50">
        <v>2237.2312695</v>
      </c>
      <c r="I8" s="50">
        <v>2457.19734959</v>
      </c>
    </row>
    <row r="9" spans="1:9" ht="15">
      <c r="A9" s="43" t="str">
        <f>HLOOKUP(INDICE!$F$2,Nombres!$C$3:$D$636,34,FALSE)</f>
        <v>Comisiones netas</v>
      </c>
      <c r="B9" s="44">
        <v>281.56553275000005</v>
      </c>
      <c r="C9" s="44">
        <v>299.25340747000007</v>
      </c>
      <c r="D9" s="44">
        <v>317.05162781</v>
      </c>
      <c r="E9" s="45">
        <v>313.07270378</v>
      </c>
      <c r="F9" s="44">
        <v>342.73184430000003</v>
      </c>
      <c r="G9" s="44">
        <v>400.7794829999999</v>
      </c>
      <c r="H9" s="44">
        <v>430.27848954000007</v>
      </c>
      <c r="I9" s="44">
        <v>447.0861026299999</v>
      </c>
    </row>
    <row r="10" spans="1:9" ht="15">
      <c r="A10" s="43" t="str">
        <f>HLOOKUP(INDICE!$F$2,Nombres!$C$3:$D$636,35,FALSE)</f>
        <v>Resultados de operaciones financieras</v>
      </c>
      <c r="B10" s="44">
        <v>69.14014961999999</v>
      </c>
      <c r="C10" s="44">
        <v>95.77761064</v>
      </c>
      <c r="D10" s="44">
        <v>87.99758012</v>
      </c>
      <c r="E10" s="45">
        <v>113.48441278000001</v>
      </c>
      <c r="F10" s="44">
        <v>91.93280934999999</v>
      </c>
      <c r="G10" s="44">
        <v>135.35992679</v>
      </c>
      <c r="H10" s="44">
        <v>96.26793705</v>
      </c>
      <c r="I10" s="44">
        <v>115.79044319999997</v>
      </c>
    </row>
    <row r="11" spans="1:9" ht="15">
      <c r="A11" s="43" t="str">
        <f>HLOOKUP(INDICE!$F$2,Nombres!$C$3:$D$636,36,FALSE)</f>
        <v>Otros ingresos y cargas de explotación</v>
      </c>
      <c r="B11" s="44">
        <v>43.80699996999996</v>
      </c>
      <c r="C11" s="44">
        <v>43.580000020000156</v>
      </c>
      <c r="D11" s="44">
        <v>39.27400001999999</v>
      </c>
      <c r="E11" s="45">
        <v>63.059000019999765</v>
      </c>
      <c r="F11" s="44">
        <v>63.78499999999998</v>
      </c>
      <c r="G11" s="44">
        <v>168.39799999000007</v>
      </c>
      <c r="H11" s="44">
        <v>103.66899998999956</v>
      </c>
      <c r="I11" s="44">
        <v>64.24300003000062</v>
      </c>
    </row>
    <row r="12" spans="1:9" ht="15">
      <c r="A12" s="41" t="str">
        <f>HLOOKUP(INDICE!$F$2,Nombres!$C$3:$D$636,37,FALSE)</f>
        <v>Margen bruto</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2642.25252008</v>
      </c>
      <c r="H12" s="50">
        <f t="shared" si="0"/>
        <v>2867.4466960799996</v>
      </c>
      <c r="I12" s="50">
        <f t="shared" si="0"/>
        <v>3084.3168954500006</v>
      </c>
    </row>
    <row r="13" spans="1:9" ht="15">
      <c r="A13" s="43" t="str">
        <f>HLOOKUP(INDICE!$F$2,Nombres!$C$3:$D$636,38,FALSE)</f>
        <v>Gastos de explotación</v>
      </c>
      <c r="B13" s="44">
        <v>-628.11218591</v>
      </c>
      <c r="C13" s="44">
        <v>-650.6963467599999</v>
      </c>
      <c r="D13" s="44">
        <v>-686.9838591500001</v>
      </c>
      <c r="E13" s="45">
        <v>-716.50771291</v>
      </c>
      <c r="F13" s="44">
        <v>-756.39848289</v>
      </c>
      <c r="G13" s="44">
        <v>-814.8303415300002</v>
      </c>
      <c r="H13" s="44">
        <v>-899.26300052</v>
      </c>
      <c r="I13" s="44">
        <v>-961.78216701</v>
      </c>
    </row>
    <row r="14" spans="1:9" ht="15">
      <c r="A14" s="43" t="str">
        <f>HLOOKUP(INDICE!$F$2,Nombres!$C$3:$D$636,39,FALSE)</f>
        <v>  Gastos de administración</v>
      </c>
      <c r="B14" s="44">
        <v>-549.71538089</v>
      </c>
      <c r="C14" s="44">
        <v>-571.39577177</v>
      </c>
      <c r="D14" s="44">
        <v>-602.89568223</v>
      </c>
      <c r="E14" s="45">
        <v>-632.4380449199999</v>
      </c>
      <c r="F14" s="44">
        <v>-665.9002018599999</v>
      </c>
      <c r="G14" s="44">
        <v>-717.3522109700001</v>
      </c>
      <c r="H14" s="44">
        <v>-796.25096754</v>
      </c>
      <c r="I14" s="44">
        <v>-855.11955798</v>
      </c>
    </row>
    <row r="15" spans="1:9" ht="15">
      <c r="A15" s="46" t="str">
        <f>HLOOKUP(INDICE!$F$2,Nombres!$C$3:$D$636,40,FALSE)</f>
        <v>  Gastos de personal</v>
      </c>
      <c r="B15" s="44">
        <v>-255.18485251</v>
      </c>
      <c r="C15" s="44">
        <v>-269.27963647</v>
      </c>
      <c r="D15" s="44">
        <v>-328.77337014000005</v>
      </c>
      <c r="E15" s="45">
        <v>-345.93384104999996</v>
      </c>
      <c r="F15" s="44">
        <v>-334.39717567</v>
      </c>
      <c r="G15" s="44">
        <v>-364.68165961000005</v>
      </c>
      <c r="H15" s="44">
        <v>-418.01823077999995</v>
      </c>
      <c r="I15" s="44">
        <v>-459.02121413000003</v>
      </c>
    </row>
    <row r="16" spans="1:9" ht="15">
      <c r="A16" s="46" t="str">
        <f>HLOOKUP(INDICE!$F$2,Nombres!$C$3:$D$636,41,FALSE)</f>
        <v>  Otros gastos de administración</v>
      </c>
      <c r="B16" s="44">
        <v>-294.53052838</v>
      </c>
      <c r="C16" s="44">
        <v>-302.1161353</v>
      </c>
      <c r="D16" s="44">
        <v>-274.12231209</v>
      </c>
      <c r="E16" s="45">
        <v>-286.50420386999997</v>
      </c>
      <c r="F16" s="44">
        <v>-331.50302619</v>
      </c>
      <c r="G16" s="44">
        <v>-352.67055136</v>
      </c>
      <c r="H16" s="44">
        <v>-378.23273675999997</v>
      </c>
      <c r="I16" s="44">
        <v>-396.09834385</v>
      </c>
    </row>
    <row r="17" spans="1:9" ht="15">
      <c r="A17" s="43" t="str">
        <f>HLOOKUP(INDICE!$F$2,Nombres!$C$3:$D$636,42,FALSE)</f>
        <v>  Amortización</v>
      </c>
      <c r="B17" s="44">
        <v>-78.39680502</v>
      </c>
      <c r="C17" s="44">
        <v>-79.30057498999999</v>
      </c>
      <c r="D17" s="44">
        <v>-84.08817692</v>
      </c>
      <c r="E17" s="45">
        <v>-84.06966799</v>
      </c>
      <c r="F17" s="44">
        <v>-90.49828102999999</v>
      </c>
      <c r="G17" s="44">
        <v>-97.47813055999998</v>
      </c>
      <c r="H17" s="44">
        <v>-103.01203298</v>
      </c>
      <c r="I17" s="44">
        <v>-106.66260903</v>
      </c>
    </row>
    <row r="18" spans="1:9" ht="15">
      <c r="A18" s="41" t="str">
        <f>HLOOKUP(INDICE!$F$2,Nombres!$C$3:$D$636,43,FALSE)</f>
        <v>Margen neto</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1827.42217855</v>
      </c>
      <c r="H18" s="50">
        <f t="shared" si="1"/>
        <v>1968.1836955599997</v>
      </c>
      <c r="I18" s="50">
        <f t="shared" si="1"/>
        <v>2122.5347284400004</v>
      </c>
    </row>
    <row r="19" spans="1:9" ht="15">
      <c r="A19" s="43" t="str">
        <f>HLOOKUP(INDICE!$F$2,Nombres!$C$3:$D$636,44,FALSE)</f>
        <v>Deterioro de activos financieros no valorados a valor razonable con cambios en resultados</v>
      </c>
      <c r="B19" s="44">
        <v>-457.89600006</v>
      </c>
      <c r="C19" s="44">
        <v>-283.35099992</v>
      </c>
      <c r="D19" s="44">
        <v>-334.22599998000004</v>
      </c>
      <c r="E19" s="45">
        <v>-365.00800002000005</v>
      </c>
      <c r="F19" s="44">
        <v>-418.7609999500001</v>
      </c>
      <c r="G19" s="44">
        <v>-386.5470000499996</v>
      </c>
      <c r="H19" s="44">
        <v>-471.44299999999953</v>
      </c>
      <c r="I19" s="44">
        <v>-416.1310000000001</v>
      </c>
    </row>
    <row r="20" spans="1:9" ht="15">
      <c r="A20" s="43" t="str">
        <f>HLOOKUP(INDICE!$F$2,Nombres!$C$3:$D$636,45,FALSE)</f>
        <v>Provisiones o reversión de provisiones y otros resultados</v>
      </c>
      <c r="B20" s="44">
        <v>1.8089999800000047</v>
      </c>
      <c r="C20" s="44">
        <v>7.059000009999996</v>
      </c>
      <c r="D20" s="44">
        <v>8.894000000000005</v>
      </c>
      <c r="E20" s="45">
        <v>6.701999990000015</v>
      </c>
      <c r="F20" s="44">
        <v>-1.2699999999999996</v>
      </c>
      <c r="G20" s="44">
        <v>-7.59599998</v>
      </c>
      <c r="H20" s="44">
        <v>-36.347000019999996</v>
      </c>
      <c r="I20" s="44">
        <v>21.35300000000002</v>
      </c>
    </row>
    <row r="21" spans="1:9" ht="15">
      <c r="A21" s="41" t="str">
        <f>HLOOKUP(INDICE!$F$2,Nombres!$C$3:$D$636,46,FALSE)</f>
        <v>Resultado antes de impuestos</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1433.2791785200004</v>
      </c>
      <c r="H21" s="50">
        <f t="shared" si="2"/>
        <v>1460.3936955400002</v>
      </c>
      <c r="I21" s="50">
        <f t="shared" si="2"/>
        <v>1727.7567284400004</v>
      </c>
    </row>
    <row r="22" spans="1:9" ht="15">
      <c r="A22" s="43" t="str">
        <f>HLOOKUP(INDICE!$F$2,Nombres!$C$3:$D$636,47,FALSE)</f>
        <v>Impuesto sobre beneficios</v>
      </c>
      <c r="B22" s="44">
        <v>-187.61025693999994</v>
      </c>
      <c r="C22" s="44">
        <v>-286.5987951000001</v>
      </c>
      <c r="D22" s="44">
        <v>-260.32351461</v>
      </c>
      <c r="E22" s="45">
        <v>-218.54690595</v>
      </c>
      <c r="F22" s="44">
        <v>-290.98884173999994</v>
      </c>
      <c r="G22" s="44">
        <v>-389.63307662</v>
      </c>
      <c r="H22" s="44">
        <v>-317.12326769000003</v>
      </c>
      <c r="I22" s="44">
        <v>-509.48547139000004</v>
      </c>
    </row>
    <row r="23" spans="1:9" ht="15">
      <c r="A23" s="41" t="str">
        <f>HLOOKUP(INDICE!$F$2,Nombres!$C$3:$D$636,48,FALSE)</f>
        <v>Resultado del ejercicio</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1043.6461019000003</v>
      </c>
      <c r="H23" s="50">
        <f t="shared" si="3"/>
        <v>1143.27042785</v>
      </c>
      <c r="I23" s="50">
        <f t="shared" si="3"/>
        <v>1218.2712570500003</v>
      </c>
    </row>
    <row r="24" spans="1:9" ht="15">
      <c r="A24" s="43" t="str">
        <f>HLOOKUP(INDICE!$F$2,Nombres!$C$3:$D$636,49,FALSE)</f>
        <v>Minoritarios</v>
      </c>
      <c r="B24" s="44">
        <v>-0.085</v>
      </c>
      <c r="C24" s="44">
        <v>-0.121</v>
      </c>
      <c r="D24" s="44">
        <v>-0.123</v>
      </c>
      <c r="E24" s="45">
        <v>-0.14200000000000002</v>
      </c>
      <c r="F24" s="44">
        <v>-0.139</v>
      </c>
      <c r="G24" s="44">
        <v>-0.18500000000000003</v>
      </c>
      <c r="H24" s="44">
        <v>-0.21099999999999997</v>
      </c>
      <c r="I24" s="44">
        <v>-0.22199999999999998</v>
      </c>
    </row>
    <row r="25" spans="1:9" ht="15">
      <c r="A25" s="47" t="str">
        <f>HLOOKUP(INDICE!$F$2,Nombres!$C$3:$D$636,50,FALSE)</f>
        <v>Resultado atribuido</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1043.4611019000004</v>
      </c>
      <c r="H25" s="51">
        <f t="shared" si="4"/>
        <v>1143.05942785</v>
      </c>
      <c r="I25" s="51">
        <f t="shared" si="4"/>
        <v>1218.0492570500003</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10641.473</v>
      </c>
      <c r="C31" s="44">
        <v>13097.19699999</v>
      </c>
      <c r="D31" s="44">
        <v>13776.94199999</v>
      </c>
      <c r="E31" s="45">
        <v>12984.86099999</v>
      </c>
      <c r="F31" s="44">
        <v>14926.70000001</v>
      </c>
      <c r="G31" s="44">
        <v>16588.829999989997</v>
      </c>
      <c r="H31" s="44">
        <v>16580.39899999</v>
      </c>
      <c r="I31" s="44">
        <v>13228.10800001</v>
      </c>
    </row>
    <row r="32" spans="1:9" ht="15">
      <c r="A32" s="43" t="str">
        <f>HLOOKUP(INDICE!$F$2,Nombres!$C$3:$D$636,53,FALSE)</f>
        <v>Activos financieros a valor razonable</v>
      </c>
      <c r="B32" s="58">
        <v>33914.793000030004</v>
      </c>
      <c r="C32" s="58">
        <v>34697.42699999</v>
      </c>
      <c r="D32" s="58">
        <v>33472.055000019995</v>
      </c>
      <c r="E32" s="64">
        <v>35125.59400001</v>
      </c>
      <c r="F32" s="44">
        <v>37487.704</v>
      </c>
      <c r="G32" s="44">
        <v>39991.07999997</v>
      </c>
      <c r="H32" s="44">
        <v>44090.551999999996</v>
      </c>
      <c r="I32" s="44">
        <v>40355.608999979995</v>
      </c>
    </row>
    <row r="33" spans="1:9" ht="15">
      <c r="A33" s="43" t="str">
        <f>HLOOKUP(INDICE!$F$2,Nombres!$C$3:$D$636,54,FALSE)</f>
        <v>Activos financieros a coste amortizado</v>
      </c>
      <c r="B33" s="44">
        <v>60857.970999929996</v>
      </c>
      <c r="C33" s="44">
        <v>61847.353999880004</v>
      </c>
      <c r="D33" s="44">
        <v>62195.73199995</v>
      </c>
      <c r="E33" s="45">
        <v>65311.473000109996</v>
      </c>
      <c r="F33" s="44">
        <v>70951.68300008001</v>
      </c>
      <c r="G33" s="44">
        <v>78487.42600005</v>
      </c>
      <c r="H33" s="44">
        <v>85836.08699997</v>
      </c>
      <c r="I33" s="44">
        <v>84464.60200001</v>
      </c>
    </row>
    <row r="34" spans="1:9" ht="15">
      <c r="A34" s="43" t="str">
        <f>HLOOKUP(INDICE!$F$2,Nombres!$C$3:$D$636,55,FALSE)</f>
        <v>    de los que préstamos y anticipos a la clientela</v>
      </c>
      <c r="B34" s="44">
        <v>51524.61899994</v>
      </c>
      <c r="C34" s="44">
        <v>52873.54899988</v>
      </c>
      <c r="D34" s="44">
        <v>53014.019999970005</v>
      </c>
      <c r="E34" s="45">
        <v>55808.891000100004</v>
      </c>
      <c r="F34" s="44">
        <v>60743.74800004</v>
      </c>
      <c r="G34" s="44">
        <v>67020.08700003</v>
      </c>
      <c r="H34" s="44">
        <v>73530.23399998999</v>
      </c>
      <c r="I34" s="44">
        <v>71753.88500003998</v>
      </c>
    </row>
    <row r="35" spans="1:9" ht="15" customHeight="1" hidden="1">
      <c r="A35" s="43"/>
      <c r="B35" s="44"/>
      <c r="C35" s="44"/>
      <c r="D35" s="44"/>
      <c r="E35" s="45"/>
      <c r="F35" s="44"/>
      <c r="G35" s="44"/>
      <c r="H35" s="44"/>
      <c r="I35" s="44"/>
    </row>
    <row r="36" spans="1:9" ht="15">
      <c r="A36" s="43" t="str">
        <f>HLOOKUP(INDICE!$F$2,Nombres!$C$3:$D$636,56,FALSE)</f>
        <v>Activos tangibles</v>
      </c>
      <c r="B36" s="44">
        <v>1643.95599999</v>
      </c>
      <c r="C36" s="44">
        <v>1661.2619999899998</v>
      </c>
      <c r="D36" s="44">
        <v>1643.6710000100002</v>
      </c>
      <c r="E36" s="45">
        <v>1731.02100002</v>
      </c>
      <c r="F36" s="44">
        <v>1770.6509999999998</v>
      </c>
      <c r="G36" s="44">
        <v>1853.8629999999998</v>
      </c>
      <c r="H36" s="44">
        <v>1993.324</v>
      </c>
      <c r="I36" s="44">
        <v>1969.42399999</v>
      </c>
    </row>
    <row r="37" spans="1:9" ht="15">
      <c r="A37" s="43" t="str">
        <f>HLOOKUP(INDICE!$F$2,Nombres!$C$3:$D$636,57,FALSE)</f>
        <v>Otros activos</v>
      </c>
      <c r="B37" s="58">
        <f>+B38-B36-B33-B32-B31</f>
        <v>3354.1150824799897</v>
      </c>
      <c r="C37" s="58">
        <f aca="true" t="shared" si="5" ref="C37:I37">+C38-C36-C33-C32-C31</f>
        <v>3197.313482180016</v>
      </c>
      <c r="D37" s="58">
        <f t="shared" si="5"/>
        <v>2866.143132019997</v>
      </c>
      <c r="E37" s="64">
        <f t="shared" si="5"/>
        <v>2952.7950398300018</v>
      </c>
      <c r="F37" s="44">
        <f t="shared" si="5"/>
        <v>3084.5814611400074</v>
      </c>
      <c r="G37" s="44">
        <f t="shared" si="5"/>
        <v>3438.695897040001</v>
      </c>
      <c r="H37" s="44">
        <f t="shared" si="5"/>
        <v>3595.5422239900145</v>
      </c>
      <c r="I37" s="44">
        <f t="shared" si="5"/>
        <v>3387.218565970017</v>
      </c>
    </row>
    <row r="38" spans="1:9" ht="15">
      <c r="A38" s="47" t="str">
        <f>HLOOKUP(INDICE!$F$2,Nombres!$C$3:$D$636,58,FALSE)</f>
        <v>Total activo / pasivo</v>
      </c>
      <c r="B38" s="47">
        <v>110412.30808242998</v>
      </c>
      <c r="C38" s="47">
        <v>114500.55348203002</v>
      </c>
      <c r="D38" s="47">
        <v>113954.54313199</v>
      </c>
      <c r="E38" s="70">
        <v>118105.74403996</v>
      </c>
      <c r="F38" s="47">
        <v>128221.31946123001</v>
      </c>
      <c r="G38" s="51">
        <v>140359.89489705002</v>
      </c>
      <c r="H38" s="51">
        <v>152095.90422395</v>
      </c>
      <c r="I38" s="51">
        <v>143404.96156596</v>
      </c>
    </row>
    <row r="39" spans="1:9" ht="15">
      <c r="A39" s="43" t="str">
        <f>HLOOKUP(INDICE!$F$2,Nombres!$C$3:$D$636,59,FALSE)</f>
        <v>Pasivos financieros mantenidos para negociar y designados a valor razonable con cambios en resultados</v>
      </c>
      <c r="B39" s="58">
        <v>21138.311000000005</v>
      </c>
      <c r="C39" s="58">
        <v>22387.819</v>
      </c>
      <c r="D39" s="58">
        <v>21232.270999999997</v>
      </c>
      <c r="E39" s="64">
        <v>19843.148</v>
      </c>
      <c r="F39" s="44">
        <v>22773.464000000004</v>
      </c>
      <c r="G39" s="44">
        <v>26796.22899999</v>
      </c>
      <c r="H39" s="44">
        <v>30800.799</v>
      </c>
      <c r="I39" s="44">
        <v>25839.737999999998</v>
      </c>
    </row>
    <row r="40" spans="1:9" ht="15.75" customHeight="1">
      <c r="A40" s="43" t="str">
        <f>HLOOKUP(INDICE!$F$2,Nombres!$C$3:$D$636,60,FALSE)</f>
        <v>Depósitos de bancos centrales y entidades de crédito</v>
      </c>
      <c r="B40" s="58">
        <v>5023.461999990001</v>
      </c>
      <c r="C40" s="58">
        <v>5348.857</v>
      </c>
      <c r="D40" s="58">
        <v>5509.04000001</v>
      </c>
      <c r="E40" s="64">
        <v>3267.822</v>
      </c>
      <c r="F40" s="44">
        <v>2797.4640000100003</v>
      </c>
      <c r="G40" s="44">
        <v>5140.61300001</v>
      </c>
      <c r="H40" s="44">
        <v>7319.008999979999</v>
      </c>
      <c r="I40" s="44">
        <v>4402.09899999</v>
      </c>
    </row>
    <row r="41" spans="1:9" ht="15">
      <c r="A41" s="43" t="str">
        <f>HLOOKUP(INDICE!$F$2,Nombres!$C$3:$D$636,61,FALSE)</f>
        <v>Depósitos de la clientela</v>
      </c>
      <c r="B41" s="58">
        <v>56832.47199999</v>
      </c>
      <c r="C41" s="58">
        <v>58727.88499998</v>
      </c>
      <c r="D41" s="58">
        <v>58440.05500003</v>
      </c>
      <c r="E41" s="64">
        <v>64003.282999970004</v>
      </c>
      <c r="F41" s="44">
        <v>69536.84699998</v>
      </c>
      <c r="G41" s="44">
        <v>72691.78799998</v>
      </c>
      <c r="H41" s="44">
        <v>76623.00800001</v>
      </c>
      <c r="I41" s="44">
        <v>77750.15499996</v>
      </c>
    </row>
    <row r="42" spans="1:9" ht="15">
      <c r="A42" s="43" t="str">
        <f>HLOOKUP(INDICE!$F$2,Nombres!$C$3:$D$636,62,FALSE)</f>
        <v>Valores representativos de deuda emitidos</v>
      </c>
      <c r="B42" s="44">
        <v>7575.2311366700005</v>
      </c>
      <c r="C42" s="44">
        <v>7896.9549924</v>
      </c>
      <c r="D42" s="44">
        <v>7810.507309169999</v>
      </c>
      <c r="E42" s="45">
        <v>7983.72892324</v>
      </c>
      <c r="F42" s="44">
        <v>8285.599972</v>
      </c>
      <c r="G42" s="44">
        <v>9353.47107761</v>
      </c>
      <c r="H42" s="44">
        <v>8510.65974108</v>
      </c>
      <c r="I42" s="44">
        <v>7757.534650130001</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12742.700482829983</v>
      </c>
      <c r="C44" s="58">
        <f aca="true" t="shared" si="6" ref="C44:I44">+C38-C39-C40-C41-C42-C45</f>
        <v>12923.637425000012</v>
      </c>
      <c r="D44" s="58">
        <f t="shared" si="6"/>
        <v>13623.665553149996</v>
      </c>
      <c r="E44" s="64">
        <f t="shared" si="6"/>
        <v>15779.165142289998</v>
      </c>
      <c r="F44" s="44">
        <f t="shared" si="6"/>
        <v>16986.916416210002</v>
      </c>
      <c r="G44" s="44">
        <f t="shared" si="6"/>
        <v>17428.650425560023</v>
      </c>
      <c r="H44" s="44">
        <f t="shared" si="6"/>
        <v>19205.854862440003</v>
      </c>
      <c r="I44" s="44">
        <f t="shared" si="6"/>
        <v>17824.656062409995</v>
      </c>
    </row>
    <row r="45" spans="1:9" ht="15">
      <c r="A45" s="43" t="str">
        <f>HLOOKUP(INDICE!$F$2,Nombres!$C$3:$D$636,282,FALSE)</f>
        <v>Dotación de capital regulatorio</v>
      </c>
      <c r="B45" s="44">
        <v>7100.131462949998</v>
      </c>
      <c r="C45" s="44">
        <v>7215.400064650003</v>
      </c>
      <c r="D45" s="44">
        <v>7339.004269630001</v>
      </c>
      <c r="E45" s="44">
        <v>7228.596974459999</v>
      </c>
      <c r="F45" s="44">
        <v>7841.02807303</v>
      </c>
      <c r="G45" s="44">
        <v>8949.143393900002</v>
      </c>
      <c r="H45" s="44">
        <v>9636.573620439998</v>
      </c>
      <c r="I45" s="44">
        <v>9830.778853470003</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Préstamos y anticipos a la clientela bruto (*)</v>
      </c>
      <c r="B51" s="44">
        <v>53660.751639430004</v>
      </c>
      <c r="C51" s="44">
        <v>54930.87369089</v>
      </c>
      <c r="D51" s="44">
        <v>54922.70150471001</v>
      </c>
      <c r="E51" s="45">
        <v>57846.473149410005</v>
      </c>
      <c r="F51" s="44">
        <v>62982.134498670006</v>
      </c>
      <c r="G51" s="44">
        <v>69459.52832365</v>
      </c>
      <c r="H51" s="44">
        <v>76215.96165617</v>
      </c>
      <c r="I51" s="44">
        <v>74249.94379523</v>
      </c>
    </row>
    <row r="52" spans="1:9" ht="15">
      <c r="A52" s="43" t="str">
        <f>HLOOKUP(INDICE!$F$2,Nombres!$C$3:$D$636,67,FALSE)</f>
        <v>Depósitos de clientes en gestión (**)</v>
      </c>
      <c r="B52" s="44">
        <v>56488.99468851</v>
      </c>
      <c r="C52" s="44">
        <v>57410.62207279001</v>
      </c>
      <c r="D52" s="44">
        <v>57893.08033935</v>
      </c>
      <c r="E52" s="45">
        <v>63348.80836991</v>
      </c>
      <c r="F52" s="44">
        <v>69088.75408645002</v>
      </c>
      <c r="G52" s="44">
        <v>72038.34278516001</v>
      </c>
      <c r="H52" s="44">
        <v>75529.62383208</v>
      </c>
      <c r="I52" s="44">
        <v>76785.17918572002</v>
      </c>
    </row>
    <row r="53" spans="1:9" ht="15">
      <c r="A53" s="43" t="str">
        <f>HLOOKUP(INDICE!$F$2,Nombres!$C$3:$D$636,68,FALSE)</f>
        <v>Fondos de inversión y carteras gestionadas</v>
      </c>
      <c r="B53" s="44">
        <v>27614.32512653</v>
      </c>
      <c r="C53" s="44">
        <v>28698.502462099998</v>
      </c>
      <c r="D53" s="44">
        <v>28985.397012190002</v>
      </c>
      <c r="E53" s="45">
        <v>30185.21800207</v>
      </c>
      <c r="F53" s="44">
        <v>31973.31093321</v>
      </c>
      <c r="G53" s="44">
        <v>33942.19299997</v>
      </c>
      <c r="H53" s="44">
        <v>37239.87531460999</v>
      </c>
      <c r="I53" s="44">
        <v>35613.51563138</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1898.5095293499999</v>
      </c>
      <c r="C55" s="44">
        <v>2074.3120314</v>
      </c>
      <c r="D55" s="44">
        <v>2036.87402643</v>
      </c>
      <c r="E55" s="45">
        <v>2194.56725774</v>
      </c>
      <c r="F55" s="44">
        <v>2461.04517101</v>
      </c>
      <c r="G55" s="44">
        <v>2965.88928613</v>
      </c>
      <c r="H55" s="44">
        <v>3011.4003447799996</v>
      </c>
      <c r="I55" s="44">
        <v>2582.00699414</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1581.469240583012</v>
      </c>
      <c r="C64" s="41">
        <v>1599.5574402959178</v>
      </c>
      <c r="D64" s="41">
        <v>1682.2592746412895</v>
      </c>
      <c r="E64" s="42">
        <v>1742.892478684289</v>
      </c>
      <c r="F64" s="50">
        <v>1894.8676630713794</v>
      </c>
      <c r="G64" s="50">
        <v>1958.274902475318</v>
      </c>
      <c r="H64" s="50">
        <v>2170.4078596958</v>
      </c>
      <c r="I64" s="50">
        <v>2354.870033987502</v>
      </c>
    </row>
    <row r="65" spans="1:9" ht="15">
      <c r="A65" s="43" t="str">
        <f>HLOOKUP(INDICE!$F$2,Nombres!$C$3:$D$636,34,FALSE)</f>
        <v>Comisiones netas</v>
      </c>
      <c r="B65" s="44">
        <v>325.92623372131726</v>
      </c>
      <c r="C65" s="44">
        <v>340.8161068264691</v>
      </c>
      <c r="D65" s="44">
        <v>353.47659110749976</v>
      </c>
      <c r="E65" s="45">
        <v>350.4728064238642</v>
      </c>
      <c r="F65" s="44">
        <v>371.8949452692919</v>
      </c>
      <c r="G65" s="44">
        <v>405.75475307447033</v>
      </c>
      <c r="H65" s="44">
        <v>416.4249074350704</v>
      </c>
      <c r="I65" s="44">
        <v>426.80131369116737</v>
      </c>
    </row>
    <row r="66" spans="1:9" ht="15">
      <c r="A66" s="43" t="str">
        <f>HLOOKUP(INDICE!$F$2,Nombres!$C$3:$D$636,35,FALSE)</f>
        <v>Resultados de operaciones financieras</v>
      </c>
      <c r="B66" s="44">
        <v>80.0331927863602</v>
      </c>
      <c r="C66" s="44">
        <v>109.28166225607667</v>
      </c>
      <c r="D66" s="44">
        <v>98.0640028344317</v>
      </c>
      <c r="E66" s="45">
        <v>127.35660181149557</v>
      </c>
      <c r="F66" s="44">
        <v>99.75538506350136</v>
      </c>
      <c r="G66" s="44">
        <v>137.9735118678573</v>
      </c>
      <c r="H66" s="44">
        <v>91.42337355349198</v>
      </c>
      <c r="I66" s="44">
        <v>110.19884590514937</v>
      </c>
    </row>
    <row r="67" spans="1:9" ht="15">
      <c r="A67" s="43" t="str">
        <f>HLOOKUP(INDICE!$F$2,Nombres!$C$3:$D$636,36,FALSE)</f>
        <v>Otros ingresos y cargas de explotación</v>
      </c>
      <c r="B67" s="44">
        <v>50.708800794624075</v>
      </c>
      <c r="C67" s="44">
        <v>49.60578757729224</v>
      </c>
      <c r="D67" s="44">
        <v>43.60587713138632</v>
      </c>
      <c r="E67" s="45">
        <v>70.82752694460392</v>
      </c>
      <c r="F67" s="44">
        <v>69.21247464603275</v>
      </c>
      <c r="G67" s="44">
        <v>173.63122291867177</v>
      </c>
      <c r="H67" s="44">
        <v>98.81231164807164</v>
      </c>
      <c r="I67" s="44">
        <v>58.438990797224044</v>
      </c>
    </row>
    <row r="68" spans="1:9" ht="15">
      <c r="A68" s="41" t="str">
        <f>HLOOKUP(INDICE!$F$2,Nombres!$C$3:$D$636,37,FALSE)</f>
        <v>Margen bruto</v>
      </c>
      <c r="B68" s="41">
        <f>+SUM(B64:B67)</f>
        <v>2038.1374678853133</v>
      </c>
      <c r="C68" s="41">
        <f aca="true" t="shared" si="9" ref="C68:I68">+SUM(C64:C67)</f>
        <v>2099.2609969557557</v>
      </c>
      <c r="D68" s="41">
        <f t="shared" si="9"/>
        <v>2177.4057457146077</v>
      </c>
      <c r="E68" s="42">
        <f t="shared" si="9"/>
        <v>2291.549413864253</v>
      </c>
      <c r="F68" s="50">
        <f t="shared" si="9"/>
        <v>2435.730468050205</v>
      </c>
      <c r="G68" s="50">
        <f t="shared" si="9"/>
        <v>2675.6343903363177</v>
      </c>
      <c r="H68" s="50">
        <f t="shared" si="9"/>
        <v>2777.0684523324344</v>
      </c>
      <c r="I68" s="50">
        <f t="shared" si="9"/>
        <v>2950.309184381043</v>
      </c>
    </row>
    <row r="69" spans="1:9" ht="15">
      <c r="A69" s="43" t="str">
        <f>HLOOKUP(INDICE!$F$2,Nombres!$C$3:$D$636,38,FALSE)</f>
        <v>Gastos de explotación</v>
      </c>
      <c r="B69" s="44">
        <v>-727.0713752094011</v>
      </c>
      <c r="C69" s="44">
        <v>-740.9175885491129</v>
      </c>
      <c r="D69" s="44">
        <v>-765.6721954874142</v>
      </c>
      <c r="E69" s="45">
        <v>-802.4898134638152</v>
      </c>
      <c r="F69" s="44">
        <v>-820.7605364791368</v>
      </c>
      <c r="G69" s="44">
        <v>-822.6113618029528</v>
      </c>
      <c r="H69" s="44">
        <v>-869.8136053089412</v>
      </c>
      <c r="I69" s="44">
        <v>-919.0884883589692</v>
      </c>
    </row>
    <row r="70" spans="1:9" ht="15">
      <c r="A70" s="43" t="str">
        <f>HLOOKUP(INDICE!$F$2,Nombres!$C$3:$D$636,39,FALSE)</f>
        <v>  Gastos de administración</v>
      </c>
      <c r="B70" s="44">
        <v>-636.3231392786911</v>
      </c>
      <c r="C70" s="44">
        <v>-650.6394960231523</v>
      </c>
      <c r="D70" s="44">
        <v>-671.9660498392417</v>
      </c>
      <c r="E70" s="45">
        <v>-708.3800180706309</v>
      </c>
      <c r="F70" s="44">
        <v>-722.5617439527056</v>
      </c>
      <c r="G70" s="44">
        <v>-724.2027935517801</v>
      </c>
      <c r="H70" s="44">
        <v>-770.4038195316937</v>
      </c>
      <c r="I70" s="44">
        <v>-817.4545813138205</v>
      </c>
    </row>
    <row r="71" spans="1:9" ht="15">
      <c r="A71" s="46" t="str">
        <f>HLOOKUP(INDICE!$F$2,Nombres!$C$3:$D$636,40,FALSE)</f>
        <v>  Gastos de personal</v>
      </c>
      <c r="B71" s="44">
        <v>-295.38927250432124</v>
      </c>
      <c r="C71" s="44">
        <v>-306.6618258711427</v>
      </c>
      <c r="D71" s="44">
        <v>-367.45324676547716</v>
      </c>
      <c r="E71" s="45">
        <v>-387.8629075004749</v>
      </c>
      <c r="F71" s="44">
        <v>-362.8510785100701</v>
      </c>
      <c r="G71" s="44">
        <v>-368.32600704715844</v>
      </c>
      <c r="H71" s="44">
        <v>-405.2250365563503</v>
      </c>
      <c r="I71" s="44">
        <v>-439.71615807642115</v>
      </c>
    </row>
    <row r="72" spans="1:9" ht="15">
      <c r="A72" s="46" t="str">
        <f>HLOOKUP(INDICE!$F$2,Nombres!$C$3:$D$636,41,FALSE)</f>
        <v>  Otros gastos de administración</v>
      </c>
      <c r="B72" s="44">
        <v>-340.93386677436985</v>
      </c>
      <c r="C72" s="44">
        <v>-343.97767015200964</v>
      </c>
      <c r="D72" s="44">
        <v>-304.5128030737644</v>
      </c>
      <c r="E72" s="45">
        <v>-320.51711057015604</v>
      </c>
      <c r="F72" s="44">
        <v>-359.7106654426354</v>
      </c>
      <c r="G72" s="44">
        <v>-355.87678650462175</v>
      </c>
      <c r="H72" s="44">
        <v>-365.17878297534344</v>
      </c>
      <c r="I72" s="44">
        <v>-377.73842323739945</v>
      </c>
    </row>
    <row r="73" spans="1:9" ht="15">
      <c r="A73" s="43" t="str">
        <f>HLOOKUP(INDICE!$F$2,Nombres!$C$3:$D$636,42,FALSE)</f>
        <v>  Amortización</v>
      </c>
      <c r="B73" s="44">
        <v>-90.74823593071002</v>
      </c>
      <c r="C73" s="44">
        <v>-90.27809252596066</v>
      </c>
      <c r="D73" s="44">
        <v>-93.70614564817264</v>
      </c>
      <c r="E73" s="45">
        <v>-94.10979539318426</v>
      </c>
      <c r="F73" s="44">
        <v>-98.19879252643128</v>
      </c>
      <c r="G73" s="44">
        <v>-98.40856825117282</v>
      </c>
      <c r="H73" s="44">
        <v>-99.40978577724725</v>
      </c>
      <c r="I73" s="44">
        <v>-101.63390704514863</v>
      </c>
    </row>
    <row r="74" spans="1:9" ht="15">
      <c r="A74" s="41" t="str">
        <f>HLOOKUP(INDICE!$F$2,Nombres!$C$3:$D$636,43,FALSE)</f>
        <v>Margen neto</v>
      </c>
      <c r="B74" s="41">
        <f>+B68+B69</f>
        <v>1311.0660926759122</v>
      </c>
      <c r="C74" s="41">
        <f aca="true" t="shared" si="10" ref="C74:I74">+C68+C69</f>
        <v>1358.3434084066428</v>
      </c>
      <c r="D74" s="41">
        <f t="shared" si="10"/>
        <v>1411.7335502271935</v>
      </c>
      <c r="E74" s="42">
        <f t="shared" si="10"/>
        <v>1489.0596004004378</v>
      </c>
      <c r="F74" s="50">
        <f t="shared" si="10"/>
        <v>1614.9699315710684</v>
      </c>
      <c r="G74" s="50">
        <f t="shared" si="10"/>
        <v>1853.0230285333648</v>
      </c>
      <c r="H74" s="50">
        <f t="shared" si="10"/>
        <v>1907.2548470234933</v>
      </c>
      <c r="I74" s="50">
        <f t="shared" si="10"/>
        <v>2031.2206960220738</v>
      </c>
    </row>
    <row r="75" spans="1:9" ht="15">
      <c r="A75" s="43" t="str">
        <f>HLOOKUP(INDICE!$F$2,Nombres!$C$3:$D$636,44,FALSE)</f>
        <v>Deterioro de activos financieros no valorados a valor razonable con cambios en resultados</v>
      </c>
      <c r="B75" s="44">
        <v>-530.0375982742222</v>
      </c>
      <c r="C75" s="44">
        <v>-320.8657133558898</v>
      </c>
      <c r="D75" s="44">
        <v>-371.11905340929525</v>
      </c>
      <c r="E75" s="45">
        <v>-408.48787561072254</v>
      </c>
      <c r="F75" s="44">
        <v>-454.3934324964597</v>
      </c>
      <c r="G75" s="44">
        <v>-387.8903368012922</v>
      </c>
      <c r="H75" s="44">
        <v>-456.5313380840668</v>
      </c>
      <c r="I75" s="44">
        <v>-394.0668926181811</v>
      </c>
    </row>
    <row r="76" spans="1:9" ht="15">
      <c r="A76" s="43" t="str">
        <f>HLOOKUP(INDICE!$F$2,Nombres!$C$3:$D$636,45,FALSE)</f>
        <v>Provisiones o reversión de provisiones y otros resultados</v>
      </c>
      <c r="B76" s="44">
        <v>2.0940082563544484</v>
      </c>
      <c r="C76" s="44">
        <v>8.085878554965397</v>
      </c>
      <c r="D76" s="44">
        <v>10.002452714095508</v>
      </c>
      <c r="E76" s="45">
        <v>7.508968096974961</v>
      </c>
      <c r="F76" s="44">
        <v>-1.3780644791167447</v>
      </c>
      <c r="G76" s="44">
        <v>-7.895018467716258</v>
      </c>
      <c r="H76" s="44">
        <v>-36.72126320997767</v>
      </c>
      <c r="I76" s="44">
        <v>22.134346156810643</v>
      </c>
    </row>
    <row r="77" spans="1:9" ht="15">
      <c r="A77" s="41" t="str">
        <f>HLOOKUP(INDICE!$F$2,Nombres!$C$3:$D$636,46,FALSE)</f>
        <v>Resultado antes de impuestos</v>
      </c>
      <c r="B77" s="41">
        <f>+B74+B75+B76</f>
        <v>783.1225026580444</v>
      </c>
      <c r="C77" s="41">
        <f aca="true" t="shared" si="11" ref="C77:I77">+C74+C75+C76</f>
        <v>1045.5635736057184</v>
      </c>
      <c r="D77" s="41">
        <f t="shared" si="11"/>
        <v>1050.6169495319937</v>
      </c>
      <c r="E77" s="42">
        <f t="shared" si="11"/>
        <v>1088.0806928866903</v>
      </c>
      <c r="F77" s="50">
        <f t="shared" si="11"/>
        <v>1159.198434595492</v>
      </c>
      <c r="G77" s="50">
        <f t="shared" si="11"/>
        <v>1457.2376732643563</v>
      </c>
      <c r="H77" s="50">
        <f t="shared" si="11"/>
        <v>1414.0022457294488</v>
      </c>
      <c r="I77" s="50">
        <f t="shared" si="11"/>
        <v>1659.2881495607032</v>
      </c>
    </row>
    <row r="78" spans="1:9" ht="15">
      <c r="A78" s="43" t="str">
        <f>HLOOKUP(INDICE!$F$2,Nombres!$C$3:$D$636,47,FALSE)</f>
        <v>Impuesto sobre beneficios</v>
      </c>
      <c r="B78" s="44">
        <v>-217.16828709370085</v>
      </c>
      <c r="C78" s="44">
        <v>-327.1928405691422</v>
      </c>
      <c r="D78" s="44">
        <v>-290.26254427451306</v>
      </c>
      <c r="E78" s="45">
        <v>-244.1866978275358</v>
      </c>
      <c r="F78" s="44">
        <v>-315.7491233237937</v>
      </c>
      <c r="G78" s="44">
        <v>-396.1235947703113</v>
      </c>
      <c r="H78" s="44">
        <v>-303.1149505736491</v>
      </c>
      <c r="I78" s="44">
        <v>-492.242988772246</v>
      </c>
    </row>
    <row r="79" spans="1:9" ht="15">
      <c r="A79" s="41" t="str">
        <f>HLOOKUP(INDICE!$F$2,Nombres!$C$3:$D$636,48,FALSE)</f>
        <v>Resultado del ejercicio</v>
      </c>
      <c r="B79" s="41">
        <f>+B77+B78</f>
        <v>565.9542155643435</v>
      </c>
      <c r="C79" s="41">
        <f aca="true" t="shared" si="12" ref="C79:I79">+C77+C78</f>
        <v>718.3707330365762</v>
      </c>
      <c r="D79" s="41">
        <f t="shared" si="12"/>
        <v>760.3544052574806</v>
      </c>
      <c r="E79" s="42">
        <f t="shared" si="12"/>
        <v>843.8939950591545</v>
      </c>
      <c r="F79" s="50">
        <f t="shared" si="12"/>
        <v>843.4493112716983</v>
      </c>
      <c r="G79" s="50">
        <f t="shared" si="12"/>
        <v>1061.114078494045</v>
      </c>
      <c r="H79" s="50">
        <f t="shared" si="12"/>
        <v>1110.8872951557996</v>
      </c>
      <c r="I79" s="50">
        <f t="shared" si="12"/>
        <v>1167.0451607884572</v>
      </c>
    </row>
    <row r="80" spans="1:9" ht="15">
      <c r="A80" s="43" t="str">
        <f>HLOOKUP(INDICE!$F$2,Nombres!$C$3:$D$636,49,FALSE)</f>
        <v>Minoritarios</v>
      </c>
      <c r="B80" s="44">
        <v>-0.09839176548256676</v>
      </c>
      <c r="C80" s="44">
        <v>-0.13808282692796928</v>
      </c>
      <c r="D80" s="44">
        <v>-0.13735660382862408</v>
      </c>
      <c r="E80" s="45">
        <v>-0.1593034465342426</v>
      </c>
      <c r="F80" s="44">
        <v>-0.15082752960411613</v>
      </c>
      <c r="G80" s="44">
        <v>-0.18804895150928597</v>
      </c>
      <c r="H80" s="44">
        <v>-0.20536909413915155</v>
      </c>
      <c r="I80" s="44">
        <v>-0.21275442474744632</v>
      </c>
    </row>
    <row r="81" spans="1:9" ht="15">
      <c r="A81" s="47" t="str">
        <f>HLOOKUP(INDICE!$F$2,Nombres!$C$3:$D$636,50,FALSE)</f>
        <v>Resultado atribuido</v>
      </c>
      <c r="B81" s="47">
        <f>+B79+B80</f>
        <v>565.8558237988609</v>
      </c>
      <c r="C81" s="47">
        <f aca="true" t="shared" si="13" ref="C81:I81">+C79+C80</f>
        <v>718.2326502096482</v>
      </c>
      <c r="D81" s="47">
        <f t="shared" si="13"/>
        <v>760.217048653652</v>
      </c>
      <c r="E81" s="47">
        <f t="shared" si="13"/>
        <v>843.7346916126202</v>
      </c>
      <c r="F81" s="51">
        <f t="shared" si="13"/>
        <v>843.2984837420942</v>
      </c>
      <c r="G81" s="51">
        <f t="shared" si="13"/>
        <v>1060.9260295425358</v>
      </c>
      <c r="H81" s="51">
        <f t="shared" si="13"/>
        <v>1110.6819260616605</v>
      </c>
      <c r="I81" s="51">
        <f t="shared" si="13"/>
        <v>1166.8324063637099</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12271.471544594022</v>
      </c>
      <c r="C87" s="44">
        <v>14806.8157721946</v>
      </c>
      <c r="D87" s="44">
        <v>15684.615129986756</v>
      </c>
      <c r="E87" s="45">
        <v>14409.235999649463</v>
      </c>
      <c r="F87" s="44">
        <v>15810.092108401843</v>
      </c>
      <c r="G87" s="44">
        <v>16674.81257219901</v>
      </c>
      <c r="H87" s="44">
        <v>15613.129559057006</v>
      </c>
      <c r="I87" s="44">
        <v>13228.10800001</v>
      </c>
    </row>
    <row r="88" spans="1:9" ht="15">
      <c r="A88" s="43" t="str">
        <f>HLOOKUP(INDICE!$F$2,Nombres!$C$3:$D$636,53,FALSE)</f>
        <v>Activos financieros a valor razonable</v>
      </c>
      <c r="B88" s="58">
        <v>39109.662472541604</v>
      </c>
      <c r="C88" s="58">
        <v>39226.59248069758</v>
      </c>
      <c r="D88" s="58">
        <v>38106.88179462784</v>
      </c>
      <c r="E88" s="64">
        <v>38978.697852399426</v>
      </c>
      <c r="F88" s="44">
        <v>39706.30167231251</v>
      </c>
      <c r="G88" s="44">
        <v>40198.360195367495</v>
      </c>
      <c r="H88" s="44">
        <v>41518.39172909863</v>
      </c>
      <c r="I88" s="44">
        <v>40355.608999979995</v>
      </c>
    </row>
    <row r="89" spans="1:9" ht="15">
      <c r="A89" s="43" t="str">
        <f>HLOOKUP(INDICE!$F$2,Nombres!$C$3:$D$636,54,FALSE)</f>
        <v>Activos financieros a coste amortizado</v>
      </c>
      <c r="B89" s="44">
        <v>70179.83876737452</v>
      </c>
      <c r="C89" s="44">
        <v>69920.48578597582</v>
      </c>
      <c r="D89" s="44">
        <v>70807.88459062435</v>
      </c>
      <c r="E89" s="45">
        <v>72475.81841222972</v>
      </c>
      <c r="F89" s="44">
        <v>75150.74621159685</v>
      </c>
      <c r="G89" s="44">
        <v>78894.23894427529</v>
      </c>
      <c r="H89" s="44">
        <v>80828.570360329</v>
      </c>
      <c r="I89" s="44">
        <v>84464.60200001</v>
      </c>
    </row>
    <row r="90" spans="1:9" ht="15">
      <c r="A90" s="43" t="str">
        <f>HLOOKUP(INDICE!$F$2,Nombres!$C$3:$D$636,55,FALSE)</f>
        <v>    de los que préstamos y anticipos a la clientela</v>
      </c>
      <c r="B90" s="44">
        <v>59416.85854052463</v>
      </c>
      <c r="C90" s="44">
        <v>59775.301483510164</v>
      </c>
      <c r="D90" s="44">
        <v>60354.794278262445</v>
      </c>
      <c r="E90" s="45">
        <v>61930.8501877512</v>
      </c>
      <c r="F90" s="44">
        <v>64338.685100493705</v>
      </c>
      <c r="G90" s="44">
        <v>67367.46288307526</v>
      </c>
      <c r="H90" s="44">
        <v>69240.6177891325</v>
      </c>
      <c r="I90" s="44">
        <v>71753.88500003998</v>
      </c>
    </row>
    <row r="91" spans="1:9" ht="15" customHeight="1" hidden="1">
      <c r="A91" s="43"/>
      <c r="B91" s="44"/>
      <c r="C91" s="44"/>
      <c r="D91" s="44"/>
      <c r="E91" s="45"/>
      <c r="F91" s="44"/>
      <c r="G91" s="44"/>
      <c r="H91" s="44"/>
      <c r="I91" s="44"/>
    </row>
    <row r="92" spans="1:9" ht="15">
      <c r="A92" s="43" t="str">
        <f>HLOOKUP(INDICE!$F$2,Nombres!$C$3:$D$636,56,FALSE)</f>
        <v>Activos tangibles</v>
      </c>
      <c r="B92" s="44">
        <v>1895.767557220875</v>
      </c>
      <c r="C92" s="44">
        <v>1878.111811498159</v>
      </c>
      <c r="D92" s="44">
        <v>1871.2677338335332</v>
      </c>
      <c r="E92" s="45">
        <v>1920.9054382373909</v>
      </c>
      <c r="F92" s="44">
        <v>1875.4416851557999</v>
      </c>
      <c r="G92" s="44">
        <v>1863.4718698999995</v>
      </c>
      <c r="H92" s="44">
        <v>1877.0372091284726</v>
      </c>
      <c r="I92" s="44">
        <v>1969.42399999</v>
      </c>
    </row>
    <row r="93" spans="1:9" ht="15">
      <c r="A93" s="43" t="str">
        <f>HLOOKUP(INDICE!$F$2,Nombres!$C$3:$D$636,57,FALSE)</f>
        <v>Otros activos</v>
      </c>
      <c r="B93" s="58">
        <f>+B94-B92-B89-B88-B87</f>
        <v>3867.8787976013573</v>
      </c>
      <c r="C93" s="58">
        <f aca="true" t="shared" si="15" ref="C93:I93">+C94-C92-C89-C88-C87</f>
        <v>3614.6689781507775</v>
      </c>
      <c r="D93" s="58">
        <f t="shared" si="15"/>
        <v>3263.013804748589</v>
      </c>
      <c r="E93" s="64">
        <f t="shared" si="15"/>
        <v>3276.702044599275</v>
      </c>
      <c r="F93" s="44">
        <f t="shared" si="15"/>
        <v>3267.1331919620116</v>
      </c>
      <c r="G93" s="44">
        <f t="shared" si="15"/>
        <v>3456.5192105752612</v>
      </c>
      <c r="H93" s="44">
        <f t="shared" si="15"/>
        <v>3385.785021111342</v>
      </c>
      <c r="I93" s="44">
        <f t="shared" si="15"/>
        <v>3387.218565970017</v>
      </c>
    </row>
    <row r="94" spans="1:9" ht="15">
      <c r="A94" s="47" t="str">
        <f>HLOOKUP(INDICE!$F$2,Nombres!$C$3:$D$636,58,FALSE)</f>
        <v>Total activo / pasivo</v>
      </c>
      <c r="B94" s="47">
        <v>127324.61913933237</v>
      </c>
      <c r="C94" s="47">
        <v>129446.67482851695</v>
      </c>
      <c r="D94" s="47">
        <v>129733.66305382107</v>
      </c>
      <c r="E94" s="47">
        <v>131061.35974711528</v>
      </c>
      <c r="F94" s="51">
        <v>135809.714869429</v>
      </c>
      <c r="G94" s="51">
        <v>141087.40279231707</v>
      </c>
      <c r="H94" s="51">
        <v>143222.91387872444</v>
      </c>
      <c r="I94" s="51">
        <v>143404.96156596</v>
      </c>
    </row>
    <row r="95" spans="1:9" ht="15">
      <c r="A95" s="43" t="str">
        <f>HLOOKUP(INDICE!$F$2,Nombres!$C$3:$D$636,59,FALSE)</f>
        <v>Pasivos financieros mantenidos para negociar y designados a valor razonable con cambios en resultados</v>
      </c>
      <c r="B95" s="58">
        <v>24376.153746504722</v>
      </c>
      <c r="C95" s="58">
        <v>25310.1722051284</v>
      </c>
      <c r="D95" s="58">
        <v>24172.272698166315</v>
      </c>
      <c r="E95" s="64">
        <v>22019.84314719984</v>
      </c>
      <c r="F95" s="44">
        <v>24121.243373761936</v>
      </c>
      <c r="G95" s="44">
        <v>26935.118161849052</v>
      </c>
      <c r="H95" s="44">
        <v>29003.93804212815</v>
      </c>
      <c r="I95" s="44">
        <v>25839.737999999998</v>
      </c>
    </row>
    <row r="96" spans="1:9" ht="15">
      <c r="A96" s="43" t="str">
        <f>HLOOKUP(INDICE!$F$2,Nombres!$C$3:$D$636,60,FALSE)</f>
        <v>Depósitos de bancos centrales y entidades de crédito</v>
      </c>
      <c r="B96" s="58">
        <v>5792.92650446293</v>
      </c>
      <c r="C96" s="58">
        <v>6047.060313048201</v>
      </c>
      <c r="D96" s="58">
        <v>6271.86875983958</v>
      </c>
      <c r="E96" s="64">
        <v>3626.2859034750372</v>
      </c>
      <c r="F96" s="44">
        <v>2963.0235423815534</v>
      </c>
      <c r="G96" s="44">
        <v>5167.25762343867</v>
      </c>
      <c r="H96" s="44">
        <v>6892.031715320055</v>
      </c>
      <c r="I96" s="44">
        <v>4402.09899999</v>
      </c>
    </row>
    <row r="97" spans="1:9" ht="15">
      <c r="A97" s="43" t="str">
        <f>HLOOKUP(INDICE!$F$2,Nombres!$C$3:$D$636,61,FALSE)</f>
        <v>Depósitos de la clientela</v>
      </c>
      <c r="B97" s="58">
        <v>65537.73739376248</v>
      </c>
      <c r="C97" s="58">
        <v>66393.82257791485</v>
      </c>
      <c r="D97" s="58">
        <v>66532.16445648056</v>
      </c>
      <c r="E97" s="64">
        <v>71024.12644229541</v>
      </c>
      <c r="F97" s="44">
        <v>73652.17737321672</v>
      </c>
      <c r="G97" s="44">
        <v>73068.56122091929</v>
      </c>
      <c r="H97" s="44">
        <v>72152.96514333214</v>
      </c>
      <c r="I97" s="44">
        <v>77750.15499996</v>
      </c>
    </row>
    <row r="98" spans="1:9" ht="15">
      <c r="A98" s="43" t="str">
        <f>HLOOKUP(INDICE!$F$2,Nombres!$C$3:$D$636,62,FALSE)</f>
        <v>Valores representativos de deuda emitidos</v>
      </c>
      <c r="B98" s="44">
        <v>8735.56070079476</v>
      </c>
      <c r="C98" s="44">
        <v>8927.769639096708</v>
      </c>
      <c r="D98" s="44">
        <v>8892.016901455263</v>
      </c>
      <c r="E98" s="45">
        <v>8859.504480816626</v>
      </c>
      <c r="F98" s="44">
        <v>8775.958432245841</v>
      </c>
      <c r="G98" s="44">
        <v>9401.951621586639</v>
      </c>
      <c r="H98" s="44">
        <v>8014.163782826502</v>
      </c>
      <c r="I98" s="44">
        <v>7757.534650130001</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14694.552753771317</v>
      </c>
      <c r="C100" s="58">
        <f aca="true" t="shared" si="16" ref="C100:I100">+C94-C95-C96-C97-C98-C101</f>
        <v>14610.600913978793</v>
      </c>
      <c r="D100" s="58">
        <f t="shared" si="16"/>
        <v>15510.114716384118</v>
      </c>
      <c r="E100" s="64">
        <f t="shared" si="16"/>
        <v>17510.061479508608</v>
      </c>
      <c r="F100" s="44">
        <f t="shared" si="16"/>
        <v>17992.23627310947</v>
      </c>
      <c r="G100" s="44">
        <f t="shared" si="16"/>
        <v>17518.985922018946</v>
      </c>
      <c r="H100" s="44">
        <f t="shared" si="16"/>
        <v>18085.42124106308</v>
      </c>
      <c r="I100" s="44">
        <f t="shared" si="16"/>
        <v>17824.656062409995</v>
      </c>
    </row>
    <row r="101" spans="1:9" ht="15">
      <c r="A101" s="43" t="str">
        <f>HLOOKUP(INDICE!$F$2,Nombres!$C$3:$D$636,282,FALSE)</f>
        <v>Dotación de capital regulatorio</v>
      </c>
      <c r="B101" s="44">
        <v>8187.688040036152</v>
      </c>
      <c r="C101" s="44">
        <v>8157.249179349987</v>
      </c>
      <c r="D101" s="44">
        <v>8355.22552149524</v>
      </c>
      <c r="E101" s="44">
        <v>8021.538293819736</v>
      </c>
      <c r="F101" s="44">
        <v>8305.075874713491</v>
      </c>
      <c r="G101" s="44">
        <v>8995.52824250447</v>
      </c>
      <c r="H101" s="44">
        <v>9074.393954054513</v>
      </c>
      <c r="I101" s="44">
        <v>9830.778853470003</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61880.191473942774</v>
      </c>
      <c r="C107" s="44">
        <v>62101.17530852751</v>
      </c>
      <c r="D107" s="44">
        <v>62527.76813614706</v>
      </c>
      <c r="E107" s="45">
        <v>64191.945016421545</v>
      </c>
      <c r="F107" s="44">
        <v>66709.54381122816</v>
      </c>
      <c r="G107" s="44">
        <v>69819.54822316648</v>
      </c>
      <c r="H107" s="44">
        <v>71769.66512124472</v>
      </c>
      <c r="I107" s="44">
        <v>74249.94379523</v>
      </c>
    </row>
    <row r="108" spans="1:9" ht="15">
      <c r="A108" s="43" t="str">
        <f>HLOOKUP(INDICE!$F$2,Nombres!$C$3:$D$636,67,FALSE)</f>
        <v>Depósitos de clientes en gestión (**)</v>
      </c>
      <c r="B108" s="44">
        <v>65141.64823824421</v>
      </c>
      <c r="C108" s="44">
        <v>64904.61313207242</v>
      </c>
      <c r="D108" s="44">
        <v>65909.45100972094</v>
      </c>
      <c r="E108" s="45">
        <v>70297.85918380687</v>
      </c>
      <c r="F108" s="44">
        <v>73177.56542040552</v>
      </c>
      <c r="G108" s="44">
        <v>72411.72909452276</v>
      </c>
      <c r="H108" s="44">
        <v>71123.36696106145</v>
      </c>
      <c r="I108" s="44">
        <v>76785.17918572002</v>
      </c>
    </row>
    <row r="109" spans="1:9" ht="15">
      <c r="A109" s="43" t="str">
        <f>HLOOKUP(INDICE!$F$2,Nombres!$C$3:$D$636,68,FALSE)</f>
        <v>Fondos de inversión y carteras gestionadas</v>
      </c>
      <c r="B109" s="44">
        <v>31844.12580978034</v>
      </c>
      <c r="C109" s="44">
        <v>32444.609246887885</v>
      </c>
      <c r="D109" s="44">
        <v>32998.962797868946</v>
      </c>
      <c r="E109" s="45">
        <v>33496.387053587176</v>
      </c>
      <c r="F109" s="44">
        <v>33865.555740001684</v>
      </c>
      <c r="G109" s="44">
        <v>34118.120841810196</v>
      </c>
      <c r="H109" s="44">
        <v>35067.37069780319</v>
      </c>
      <c r="I109" s="44">
        <v>35613.51563138</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2189.3121061867196</v>
      </c>
      <c r="C111" s="44">
        <v>2345.0785769665054</v>
      </c>
      <c r="D111" s="44">
        <v>2318.917011688386</v>
      </c>
      <c r="E111" s="45">
        <v>2435.300426697179</v>
      </c>
      <c r="F111" s="44">
        <v>2606.6947708857015</v>
      </c>
      <c r="G111" s="44">
        <v>2981.261967006756</v>
      </c>
      <c r="H111" s="44">
        <v>2835.720885683597</v>
      </c>
      <c r="I111" s="44">
        <v>2582.00699414</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33509.60308059932</v>
      </c>
      <c r="C120" s="41">
        <v>33892.87224402525</v>
      </c>
      <c r="D120" s="41">
        <v>35645.2336379966</v>
      </c>
      <c r="E120" s="42">
        <v>36929.98489894235</v>
      </c>
      <c r="F120" s="50">
        <v>40150.17279525254</v>
      </c>
      <c r="G120" s="50">
        <v>41493.70283070188</v>
      </c>
      <c r="H120" s="50">
        <v>45988.56812074795</v>
      </c>
      <c r="I120" s="50">
        <v>49897.11979236979</v>
      </c>
    </row>
    <row r="121" spans="1:9" ht="15">
      <c r="A121" s="43" t="str">
        <f>HLOOKUP(INDICE!$F$2,Nombres!$C$3:$D$636,34,FALSE)</f>
        <v>Comisiones netas</v>
      </c>
      <c r="B121" s="44">
        <v>6906.020329253886</v>
      </c>
      <c r="C121" s="44">
        <v>7221.520450830826</v>
      </c>
      <c r="D121" s="44">
        <v>7489.782262176015</v>
      </c>
      <c r="E121" s="45">
        <v>7426.1353508702405</v>
      </c>
      <c r="F121" s="44">
        <v>7880.047037184879</v>
      </c>
      <c r="G121" s="44">
        <v>8597.499321946752</v>
      </c>
      <c r="H121" s="44">
        <v>8823.588219698959</v>
      </c>
      <c r="I121" s="44">
        <v>9043.452916477172</v>
      </c>
    </row>
    <row r="122" spans="1:9" ht="15">
      <c r="A122" s="43" t="str">
        <f>HLOOKUP(INDICE!$F$2,Nombres!$C$3:$D$636,35,FALSE)</f>
        <v>Resultados de operaciones financieras</v>
      </c>
      <c r="B122" s="44">
        <v>1695.8157988297858</v>
      </c>
      <c r="C122" s="44">
        <v>2315.558869067377</v>
      </c>
      <c r="D122" s="44">
        <v>2077.868938042165</v>
      </c>
      <c r="E122" s="45">
        <v>2698.547064262767</v>
      </c>
      <c r="F122" s="44">
        <v>2113.707477103988</v>
      </c>
      <c r="G122" s="44">
        <v>2923.5077734574324</v>
      </c>
      <c r="H122" s="44">
        <v>1937.1612684275092</v>
      </c>
      <c r="I122" s="44">
        <v>2334.9929871923123</v>
      </c>
    </row>
    <row r="123" spans="1:9" ht="15">
      <c r="A123" s="43" t="str">
        <f>HLOOKUP(INDICE!$F$2,Nombres!$C$3:$D$636,36,FALSE)</f>
        <v>Otros ingresos y cargas de explotación</v>
      </c>
      <c r="B123" s="44">
        <v>1074.464013409838</v>
      </c>
      <c r="C123" s="44">
        <v>1051.0923700310425</v>
      </c>
      <c r="D123" s="44">
        <v>923.9608315843525</v>
      </c>
      <c r="E123" s="45">
        <v>1500.7578106414214</v>
      </c>
      <c r="F123" s="44">
        <v>1466.536619301929</v>
      </c>
      <c r="G123" s="44">
        <v>3679.055661088182</v>
      </c>
      <c r="H123" s="44">
        <v>2093.7247831533646</v>
      </c>
      <c r="I123" s="44">
        <v>1238.258282737033</v>
      </c>
    </row>
    <row r="124" spans="1:9" ht="15">
      <c r="A124" s="41" t="str">
        <f>HLOOKUP(INDICE!$F$2,Nombres!$C$3:$D$636,37,FALSE)</f>
        <v>Margen bruto</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56693.76558719424</v>
      </c>
      <c r="H124" s="50">
        <f t="shared" si="19"/>
        <v>58843.04239202778</v>
      </c>
      <c r="I124" s="50">
        <f t="shared" si="19"/>
        <v>62513.823978776316</v>
      </c>
    </row>
    <row r="125" spans="1:9" ht="15">
      <c r="A125" s="43" t="str">
        <f>HLOOKUP(INDICE!$F$2,Nombres!$C$3:$D$636,38,FALSE)</f>
        <v>Gastos de explotación</v>
      </c>
      <c r="B125" s="44">
        <v>-15405.8470246002</v>
      </c>
      <c r="C125" s="44">
        <v>-15699.233137511255</v>
      </c>
      <c r="D125" s="44">
        <v>-16223.756176993777</v>
      </c>
      <c r="E125" s="45">
        <v>-17003.881223439526</v>
      </c>
      <c r="F125" s="44">
        <v>-17391.017855963146</v>
      </c>
      <c r="G125" s="44">
        <v>-17430.234819771904</v>
      </c>
      <c r="H125" s="44">
        <v>-18430.398720409226</v>
      </c>
      <c r="I125" s="44">
        <v>-19474.479585517096</v>
      </c>
    </row>
    <row r="126" spans="1:9" ht="15">
      <c r="A126" s="43" t="str">
        <f>HLOOKUP(INDICE!$F$2,Nombres!$C$3:$D$636,39,FALSE)</f>
        <v>  Gastos de administración</v>
      </c>
      <c r="B126" s="44">
        <v>-13482.991183798877</v>
      </c>
      <c r="C126" s="44">
        <v>-13786.339121119687</v>
      </c>
      <c r="D126" s="44">
        <v>-14238.225465232661</v>
      </c>
      <c r="E126" s="45">
        <v>-15009.797615174439</v>
      </c>
      <c r="F126" s="44">
        <v>-15310.292871807433</v>
      </c>
      <c r="G126" s="44">
        <v>-15345.064917503558</v>
      </c>
      <c r="H126" s="44">
        <v>-16324.014114095342</v>
      </c>
      <c r="I126" s="44">
        <v>-17320.968282725058</v>
      </c>
    </row>
    <row r="127" spans="1:9" ht="15">
      <c r="A127" s="46" t="str">
        <f>HLOOKUP(INDICE!$F$2,Nombres!$C$3:$D$636,40,FALSE)</f>
        <v>  Gastos de personal</v>
      </c>
      <c r="B127" s="44">
        <v>-6258.97552850142</v>
      </c>
      <c r="C127" s="44">
        <v>-6497.828602170945</v>
      </c>
      <c r="D127" s="44">
        <v>-7785.932305107218</v>
      </c>
      <c r="E127" s="45">
        <v>-8218.39068791291</v>
      </c>
      <c r="F127" s="44">
        <v>-7688.417394547235</v>
      </c>
      <c r="G127" s="44">
        <v>-7804.425140676298</v>
      </c>
      <c r="H127" s="44">
        <v>-8586.27520843766</v>
      </c>
      <c r="I127" s="44">
        <v>-9317.104340160899</v>
      </c>
    </row>
    <row r="128" spans="1:9" ht="15">
      <c r="A128" s="46" t="str">
        <f>HLOOKUP(INDICE!$F$2,Nombres!$C$3:$D$636,41,FALSE)</f>
        <v>  Otros gastos de administración</v>
      </c>
      <c r="B128" s="44">
        <v>-7224.015655297459</v>
      </c>
      <c r="C128" s="44">
        <v>-7288.510518948745</v>
      </c>
      <c r="D128" s="44">
        <v>-6452.293160125444</v>
      </c>
      <c r="E128" s="45">
        <v>-6791.406927261529</v>
      </c>
      <c r="F128" s="44">
        <v>-7621.875477260197</v>
      </c>
      <c r="G128" s="44">
        <v>-7540.639776827262</v>
      </c>
      <c r="H128" s="44">
        <v>-7737.738905657681</v>
      </c>
      <c r="I128" s="44">
        <v>-8003.863942564156</v>
      </c>
    </row>
    <row r="129" spans="1:9" ht="15">
      <c r="A129" s="43" t="str">
        <f>HLOOKUP(INDICE!$F$2,Nombres!$C$3:$D$636,42,FALSE)</f>
        <v>  Amortización</v>
      </c>
      <c r="B129" s="44">
        <v>-1922.8558408013214</v>
      </c>
      <c r="C129" s="44">
        <v>-1912.894016391569</v>
      </c>
      <c r="D129" s="44">
        <v>-1985.5307117611126</v>
      </c>
      <c r="E129" s="45">
        <v>-1994.0836082650867</v>
      </c>
      <c r="F129" s="44">
        <v>-2080.724984155713</v>
      </c>
      <c r="G129" s="44">
        <v>-2085.1699022683433</v>
      </c>
      <c r="H129" s="44">
        <v>-2106.3846063138835</v>
      </c>
      <c r="I129" s="44">
        <v>-2153.5113027920384</v>
      </c>
    </row>
    <row r="130" spans="1:9" ht="15">
      <c r="A130" s="41" t="str">
        <f>HLOOKUP(INDICE!$F$2,Nombres!$C$3:$D$636,43,FALSE)</f>
        <v>Margen neto</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39263.53076742234</v>
      </c>
      <c r="H130" s="50">
        <f t="shared" si="20"/>
        <v>40412.643671618556</v>
      </c>
      <c r="I130" s="50">
        <f t="shared" si="20"/>
        <v>43039.34439325922</v>
      </c>
    </row>
    <row r="131" spans="1:9" ht="15">
      <c r="A131" s="43" t="str">
        <f>HLOOKUP(INDICE!$F$2,Nombres!$C$3:$D$636,44,FALSE)</f>
        <v>Deterioro de activos financieros no valorados a valor razonable con cambios en resultados</v>
      </c>
      <c r="B131" s="44">
        <v>-11230.916846296415</v>
      </c>
      <c r="C131" s="44">
        <v>-6798.793438919782</v>
      </c>
      <c r="D131" s="44">
        <v>-7863.606737497242</v>
      </c>
      <c r="E131" s="45">
        <v>-8655.411198453878</v>
      </c>
      <c r="F131" s="44">
        <v>-9628.09972818325</v>
      </c>
      <c r="G131" s="44">
        <v>-8218.971884789578</v>
      </c>
      <c r="H131" s="44">
        <v>-9673.399608715932</v>
      </c>
      <c r="I131" s="44">
        <v>-8349.84634539736</v>
      </c>
    </row>
    <row r="132" spans="1:9" ht="15">
      <c r="A132" s="43" t="str">
        <f>HLOOKUP(INDICE!$F$2,Nombres!$C$3:$D$636,45,FALSE)</f>
        <v>Provisiones o reversión de provisiones y otros resultados</v>
      </c>
      <c r="B132" s="44">
        <v>44.36974410711076</v>
      </c>
      <c r="C132" s="44">
        <v>171.33092062854925</v>
      </c>
      <c r="D132" s="44">
        <v>211.9410303283798</v>
      </c>
      <c r="E132" s="45">
        <v>159.10681916377524</v>
      </c>
      <c r="F132" s="44">
        <v>-29.199678709938837</v>
      </c>
      <c r="G132" s="44">
        <v>-167.28680418067648</v>
      </c>
      <c r="H132" s="44">
        <v>-778.0833943573473</v>
      </c>
      <c r="I132" s="44">
        <v>469.00258008804553</v>
      </c>
    </row>
    <row r="133" spans="1:9" ht="15">
      <c r="A133" s="41" t="str">
        <f>HLOOKUP(INDICE!$F$2,Nombres!$C$3:$D$636,46,FALSE)</f>
        <v>Resultado antes de impuestos</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30877.272078452082</v>
      </c>
      <c r="H133" s="50">
        <f t="shared" si="21"/>
        <v>29961.160668545275</v>
      </c>
      <c r="I133" s="50">
        <f t="shared" si="21"/>
        <v>35158.50062794991</v>
      </c>
    </row>
    <row r="134" spans="1:9" ht="15">
      <c r="A134" s="43" t="str">
        <f>HLOOKUP(INDICE!$F$2,Nombres!$C$3:$D$636,47,FALSE)</f>
        <v>Impuesto sobre beneficios</v>
      </c>
      <c r="B134" s="44">
        <v>-4601.558421408685</v>
      </c>
      <c r="C134" s="44">
        <v>-6932.858342691405</v>
      </c>
      <c r="D134" s="44">
        <v>-6150.345765952483</v>
      </c>
      <c r="E134" s="45">
        <v>-5174.048986717215</v>
      </c>
      <c r="F134" s="44">
        <v>-6690.378493689175</v>
      </c>
      <c r="G134" s="44">
        <v>-8393.425613968842</v>
      </c>
      <c r="H134" s="44">
        <v>-6422.67419489864</v>
      </c>
      <c r="I134" s="44">
        <v>-10430.090418252463</v>
      </c>
    </row>
    <row r="135" spans="1:9" ht="15">
      <c r="A135" s="41" t="str">
        <f>HLOOKUP(INDICE!$F$2,Nombres!$C$3:$D$636,48,FALSE)</f>
        <v>Resultado del ejercicio</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22483.846464483242</v>
      </c>
      <c r="H135" s="50">
        <f t="shared" si="22"/>
        <v>23538.486473646633</v>
      </c>
      <c r="I135" s="50">
        <f t="shared" si="22"/>
        <v>24728.410209697446</v>
      </c>
    </row>
    <row r="136" spans="1:9" ht="15">
      <c r="A136" s="43" t="str">
        <f>HLOOKUP(INDICE!$F$2,Nombres!$C$3:$D$636,49,FALSE)</f>
        <v>Minoritarios</v>
      </c>
      <c r="B136" s="44">
        <v>-2.084813869983809</v>
      </c>
      <c r="C136" s="44">
        <v>-2.9258240399905304</v>
      </c>
      <c r="D136" s="44">
        <v>-2.9104361670034775</v>
      </c>
      <c r="E136" s="45">
        <v>-3.3754657540895385</v>
      </c>
      <c r="F136" s="44">
        <v>-3.19587034699331</v>
      </c>
      <c r="G136" s="44">
        <v>-3.9845515569281647</v>
      </c>
      <c r="H136" s="44">
        <v>-4.351546431018919</v>
      </c>
      <c r="I136" s="44">
        <v>-4.508033507056972</v>
      </c>
    </row>
    <row r="137" spans="1:9" ht="15">
      <c r="A137" s="47" t="str">
        <f>HLOOKUP(INDICE!$F$2,Nombres!$C$3:$D$636,50,FALSE)</f>
        <v>Resultado atribuido</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22479.861912926313</v>
      </c>
      <c r="H137" s="51">
        <f t="shared" si="23"/>
        <v>23534.134927215615</v>
      </c>
      <c r="I137" s="51">
        <f t="shared" si="23"/>
        <v>24723.90217619039</v>
      </c>
    </row>
    <row r="138" spans="1:9" ht="15">
      <c r="A138" s="62"/>
      <c r="B138" s="63">
        <v>-1.4551915228366852E-11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255933.81053383587</v>
      </c>
      <c r="C143" s="44">
        <v>308810.9497446287</v>
      </c>
      <c r="D143" s="44">
        <v>327118.33315072645</v>
      </c>
      <c r="E143" s="45">
        <v>300519.02600843436</v>
      </c>
      <c r="F143" s="44">
        <v>329735.28101254924</v>
      </c>
      <c r="G143" s="44">
        <v>347769.8910054877</v>
      </c>
      <c r="H143" s="44">
        <v>325627.43008341675</v>
      </c>
      <c r="I143" s="44">
        <v>275885.42044797464</v>
      </c>
    </row>
    <row r="144" spans="1:9" ht="15">
      <c r="A144" s="43" t="str">
        <f>HLOOKUP(INDICE!$F$2,Nombres!$C$3:$D$636,53,FALSE)</f>
        <v>Activos financieros a valor razonable</v>
      </c>
      <c r="B144" s="58">
        <v>815671.120526636</v>
      </c>
      <c r="C144" s="58">
        <v>818109.812776735</v>
      </c>
      <c r="D144" s="58">
        <v>794757.1267080844</v>
      </c>
      <c r="E144" s="64">
        <v>812939.722408953</v>
      </c>
      <c r="F144" s="44">
        <v>828114.6276770476</v>
      </c>
      <c r="G144" s="44">
        <v>838377.0002338736</v>
      </c>
      <c r="H144" s="44">
        <v>865907.5779013468</v>
      </c>
      <c r="I144" s="44">
        <v>841656.5813028693</v>
      </c>
    </row>
    <row r="145" spans="1:9" ht="15">
      <c r="A145" s="43" t="str">
        <f>HLOOKUP(INDICE!$F$2,Nombres!$C$3:$D$636,54,FALSE)</f>
        <v>Activos financieros a coste amortizado</v>
      </c>
      <c r="B145" s="44">
        <v>1463670.7173311217</v>
      </c>
      <c r="C145" s="44">
        <v>1458261.6515510753</v>
      </c>
      <c r="D145" s="44">
        <v>1476769.2410208094</v>
      </c>
      <c r="E145" s="45">
        <v>1511555.6688041815</v>
      </c>
      <c r="F145" s="44">
        <v>1567343.962987735</v>
      </c>
      <c r="G145" s="44">
        <v>1645418.2474204104</v>
      </c>
      <c r="H145" s="44">
        <v>1685760.6634335923</v>
      </c>
      <c r="I145" s="44">
        <v>1761593.7393107146</v>
      </c>
    </row>
    <row r="146" spans="1:9" ht="15">
      <c r="A146" s="43" t="str">
        <f>HLOOKUP(INDICE!$F$2,Nombres!$C$3:$D$636,55,FALSE)</f>
        <v>    de los que préstamos y anticipos a la clientela</v>
      </c>
      <c r="B146" s="44">
        <v>1239198.001720131</v>
      </c>
      <c r="C146" s="44">
        <v>1246673.687739031</v>
      </c>
      <c r="D146" s="44">
        <v>1258759.5894663744</v>
      </c>
      <c r="E146" s="45">
        <v>1291629.8115146435</v>
      </c>
      <c r="F146" s="44">
        <v>1341847.616454759</v>
      </c>
      <c r="G146" s="44">
        <v>1405015.8058882265</v>
      </c>
      <c r="H146" s="44">
        <v>1444082.324608923</v>
      </c>
      <c r="I146" s="44">
        <v>1496499.025559565</v>
      </c>
    </row>
    <row r="147" spans="1:9" ht="15" customHeight="1" hidden="1">
      <c r="A147" s="43"/>
      <c r="B147" s="44"/>
      <c r="C147" s="44"/>
      <c r="D147" s="44"/>
      <c r="E147" s="45"/>
      <c r="F147" s="44"/>
      <c r="G147" s="44"/>
      <c r="H147" s="44"/>
      <c r="I147" s="44"/>
    </row>
    <row r="148" spans="1:9" ht="15">
      <c r="A148" s="43" t="str">
        <f>HLOOKUP(INDICE!$F$2,Nombres!$C$3:$D$636,56,FALSE)</f>
        <v>Activos tangibles</v>
      </c>
      <c r="B148" s="44">
        <v>39538.12817336504</v>
      </c>
      <c r="C148" s="44">
        <v>39169.899940572395</v>
      </c>
      <c r="D148" s="44">
        <v>39027.15985679908</v>
      </c>
      <c r="E148" s="45">
        <v>40062.40381984506</v>
      </c>
      <c r="F148" s="44">
        <v>39114.211785576204</v>
      </c>
      <c r="G148" s="44">
        <v>38864.56931860144</v>
      </c>
      <c r="H148" s="44">
        <v>39147.488033550224</v>
      </c>
      <c r="I148" s="44">
        <v>41074.306943756616</v>
      </c>
    </row>
    <row r="149" spans="1:9" ht="15">
      <c r="A149" s="43" t="str">
        <f>HLOOKUP(INDICE!$F$2,Nombres!$C$3:$D$636,57,FALSE)</f>
        <v>Otros activos</v>
      </c>
      <c r="B149" s="58">
        <f>+B150-B148-B145-B144-B143</f>
        <v>80668.48020270574</v>
      </c>
      <c r="C149" s="58">
        <f aca="true" t="shared" si="25" ref="C149:I149">+C150-C148-C145-C144-C143</f>
        <v>75387.53620824876</v>
      </c>
      <c r="D149" s="58">
        <f t="shared" si="25"/>
        <v>68053.41591177945</v>
      </c>
      <c r="E149" s="64">
        <f t="shared" si="25"/>
        <v>68338.8978421042</v>
      </c>
      <c r="F149" s="44">
        <f t="shared" si="25"/>
        <v>68139.32985150191</v>
      </c>
      <c r="G149" s="44">
        <f t="shared" si="25"/>
        <v>72089.1646556955</v>
      </c>
      <c r="H149" s="44">
        <f t="shared" si="25"/>
        <v>70613.93240023858</v>
      </c>
      <c r="I149" s="44">
        <f t="shared" si="25"/>
        <v>70643.83041181084</v>
      </c>
    </row>
    <row r="150" spans="1:9" ht="15">
      <c r="A150" s="47" t="str">
        <f>HLOOKUP(INDICE!$F$2,Nombres!$C$3:$D$636,58,FALSE)</f>
        <v>Total activo / pasivo</v>
      </c>
      <c r="B150" s="47">
        <v>2655482.2567676646</v>
      </c>
      <c r="C150" s="47">
        <v>2699739.85022126</v>
      </c>
      <c r="D150" s="47">
        <v>2705725.2766481987</v>
      </c>
      <c r="E150" s="47">
        <v>2733415.718883518</v>
      </c>
      <c r="F150" s="51">
        <v>2832447.41331441</v>
      </c>
      <c r="G150" s="51">
        <v>2942518.8726340686</v>
      </c>
      <c r="H150" s="51">
        <v>2987057.091852145</v>
      </c>
      <c r="I150" s="51">
        <v>2990853.878417126</v>
      </c>
    </row>
    <row r="151" spans="1:9" ht="15">
      <c r="A151" s="43" t="str">
        <f>HLOOKUP(INDICE!$F$2,Nombres!$C$3:$D$636,59,FALSE)</f>
        <v>Pasivos financieros mantenidos para negociar y designados a valor razonable con cambios en resultados</v>
      </c>
      <c r="B151" s="58">
        <v>508389.06253667135</v>
      </c>
      <c r="C151" s="58">
        <v>527868.9515097103</v>
      </c>
      <c r="D151" s="58">
        <v>504136.9193925291</v>
      </c>
      <c r="E151" s="64">
        <v>459245.8486776104</v>
      </c>
      <c r="F151" s="44">
        <v>503072.6518027524</v>
      </c>
      <c r="G151" s="44">
        <v>561758.8243830474</v>
      </c>
      <c r="H151" s="44">
        <v>604906.1318061118</v>
      </c>
      <c r="I151" s="44">
        <v>538913.5757275431</v>
      </c>
    </row>
    <row r="152" spans="1:9" ht="15">
      <c r="A152" s="43" t="str">
        <f>HLOOKUP(INDICE!$F$2,Nombres!$C$3:$D$636,60,FALSE)</f>
        <v>Depósitos de bancos centrales y entidades de crédito</v>
      </c>
      <c r="B152" s="58">
        <v>120817.27517697644</v>
      </c>
      <c r="C152" s="58">
        <v>126117.48988882633</v>
      </c>
      <c r="D152" s="58">
        <v>130806.09485510338</v>
      </c>
      <c r="E152" s="64">
        <v>75629.81880281123</v>
      </c>
      <c r="F152" s="44">
        <v>61796.81899985728</v>
      </c>
      <c r="G152" s="44">
        <v>107768.3249943455</v>
      </c>
      <c r="H152" s="44">
        <v>143740.21345459318</v>
      </c>
      <c r="I152" s="44">
        <v>91810.17674371359</v>
      </c>
    </row>
    <row r="153" spans="1:9" ht="15">
      <c r="A153" s="43" t="str">
        <f>HLOOKUP(INDICE!$F$2,Nombres!$C$3:$D$636,61,FALSE)</f>
        <v>Depósitos de la clientela</v>
      </c>
      <c r="B153" s="58">
        <v>1366855.0510831513</v>
      </c>
      <c r="C153" s="58">
        <v>1384709.5636838174</v>
      </c>
      <c r="D153" s="58">
        <v>1387594.8219031817</v>
      </c>
      <c r="E153" s="64">
        <v>1481279.181079257</v>
      </c>
      <c r="F153" s="44">
        <v>1536089.811294505</v>
      </c>
      <c r="G153" s="44">
        <v>1523917.9128222005</v>
      </c>
      <c r="H153" s="44">
        <v>1504822.2410280593</v>
      </c>
      <c r="I153" s="44">
        <v>1621557.2326777908</v>
      </c>
    </row>
    <row r="154" spans="1:9" ht="15">
      <c r="A154" s="43" t="str">
        <f>HLOOKUP(INDICE!$F$2,Nombres!$C$3:$D$636,62,FALSE)</f>
        <v>Valores representativos de deuda emitidos</v>
      </c>
      <c r="B154" s="44">
        <v>182188.85397562105</v>
      </c>
      <c r="C154" s="44">
        <v>186197.56359284304</v>
      </c>
      <c r="D154" s="44">
        <v>185451.9044965937</v>
      </c>
      <c r="E154" s="45">
        <v>184773.82545175485</v>
      </c>
      <c r="F154" s="44">
        <v>183031.389062764</v>
      </c>
      <c r="G154" s="44">
        <v>196087.10301964468</v>
      </c>
      <c r="H154" s="44">
        <v>167143.3998544878</v>
      </c>
      <c r="I154" s="44">
        <v>161791.14266297407</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306469.59223239543</v>
      </c>
      <c r="C156" s="58">
        <f aca="true" t="shared" si="26" ref="C156:I156">+C150-C151-C152-C153-C154-C157</f>
        <v>304718.6926616837</v>
      </c>
      <c r="D156" s="58">
        <f t="shared" si="26"/>
        <v>323478.95252463396</v>
      </c>
      <c r="E156" s="64">
        <f t="shared" si="26"/>
        <v>365189.84221632197</v>
      </c>
      <c r="F156" s="44">
        <f t="shared" si="26"/>
        <v>375246.07971165364</v>
      </c>
      <c r="G156" s="44">
        <f t="shared" si="26"/>
        <v>365375.9703893162</v>
      </c>
      <c r="H156" s="44">
        <f t="shared" si="26"/>
        <v>377189.54540329246</v>
      </c>
      <c r="I156" s="44">
        <f t="shared" si="26"/>
        <v>371751.026837308</v>
      </c>
    </row>
    <row r="157" spans="1:9" ht="15.75" customHeight="1">
      <c r="A157" s="43" t="str">
        <f>HLOOKUP(INDICE!$F$2,Nombres!$C$3:$D$636,282,FALSE)</f>
        <v>Dotación de capital regulatorio</v>
      </c>
      <c r="B157" s="44">
        <v>170762.42176284923</v>
      </c>
      <c r="C157" s="44">
        <v>170127.58888437907</v>
      </c>
      <c r="D157" s="44">
        <v>174256.583476157</v>
      </c>
      <c r="E157" s="44">
        <v>167297.20265576255</v>
      </c>
      <c r="F157" s="44">
        <v>173210.66244287768</v>
      </c>
      <c r="G157" s="44">
        <v>187610.73702551413</v>
      </c>
      <c r="H157" s="44">
        <v>189255.56030560046</v>
      </c>
      <c r="I157" s="44">
        <v>205030.72376779647</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1290573.2733794563</v>
      </c>
      <c r="C163" s="44">
        <v>1295182.112233551</v>
      </c>
      <c r="D163" s="44">
        <v>1304079.1322463774</v>
      </c>
      <c r="E163" s="45">
        <v>1338787.2052613527</v>
      </c>
      <c r="F163" s="44">
        <v>1391294.2457257942</v>
      </c>
      <c r="G163" s="44">
        <v>1456156.497741125</v>
      </c>
      <c r="H163" s="44">
        <v>1496828.135767411</v>
      </c>
      <c r="I163" s="44">
        <v>1548556.8277920038</v>
      </c>
    </row>
    <row r="164" spans="1:9" ht="15">
      <c r="A164" s="43" t="str">
        <f>HLOOKUP(INDICE!$F$2,Nombres!$C$3:$D$636,67,FALSE)</f>
        <v>Depósitos de clientes en gestión (**)</v>
      </c>
      <c r="B164" s="44">
        <v>1358594.2156556693</v>
      </c>
      <c r="C164" s="44">
        <v>1353650.6114813543</v>
      </c>
      <c r="D164" s="44">
        <v>1374607.5102575745</v>
      </c>
      <c r="E164" s="45">
        <v>1466132.1511362325</v>
      </c>
      <c r="F164" s="44">
        <v>1526191.3044066834</v>
      </c>
      <c r="G164" s="44">
        <v>1510219.0219940862</v>
      </c>
      <c r="H164" s="44">
        <v>1483348.9413386395</v>
      </c>
      <c r="I164" s="44">
        <v>1601431.6970960186</v>
      </c>
    </row>
    <row r="165" spans="1:9" ht="15">
      <c r="A165" s="43" t="str">
        <f>HLOOKUP(INDICE!$F$2,Nombres!$C$3:$D$636,68,FALSE)</f>
        <v>Fondos de inversión y carteras gestionadas</v>
      </c>
      <c r="B165" s="44">
        <v>664141.0878882156</v>
      </c>
      <c r="C165" s="44">
        <v>676664.77045252</v>
      </c>
      <c r="D165" s="44">
        <v>688226.3681117713</v>
      </c>
      <c r="E165" s="45">
        <v>698600.6483890217</v>
      </c>
      <c r="F165" s="44">
        <v>706300.0305128762</v>
      </c>
      <c r="G165" s="44">
        <v>711567.52827619</v>
      </c>
      <c r="H165" s="44">
        <v>731365.0832727632</v>
      </c>
      <c r="I165" s="44">
        <v>742755.4820074316</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45660.29328659152</v>
      </c>
      <c r="C167" s="44">
        <v>48908.95880117197</v>
      </c>
      <c r="D167" s="44">
        <v>48363.333195731975</v>
      </c>
      <c r="E167" s="45">
        <v>50790.6256991533</v>
      </c>
      <c r="F167" s="44">
        <v>54365.22614154609</v>
      </c>
      <c r="G167" s="44">
        <v>62177.19958384019</v>
      </c>
      <c r="H167" s="44">
        <v>59141.79479176696</v>
      </c>
      <c r="I167" s="44">
        <v>53850.33786973818</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529.5730000000001</v>
      </c>
      <c r="C8" s="41">
        <v>506.62400001000015</v>
      </c>
      <c r="D8" s="41">
        <v>614.6899999999998</v>
      </c>
      <c r="E8" s="42">
        <v>719.3530000000001</v>
      </c>
      <c r="F8" s="50">
        <v>496.60899998999975</v>
      </c>
      <c r="G8" s="50">
        <v>666.431</v>
      </c>
      <c r="H8" s="50">
        <v>812.4809998399999</v>
      </c>
      <c r="I8" s="50">
        <v>655.2039996800005</v>
      </c>
    </row>
    <row r="9" spans="1:9" ht="15">
      <c r="A9" s="43" t="str">
        <f>HLOOKUP(INDICE!$F$2,Nombres!$C$3:$D$636,34,FALSE)</f>
        <v>Comisiones netas</v>
      </c>
      <c r="B9" s="44">
        <v>154.40100001000002</v>
      </c>
      <c r="C9" s="44">
        <v>142.64500001</v>
      </c>
      <c r="D9" s="44">
        <v>145.87599999000003</v>
      </c>
      <c r="E9" s="45">
        <v>121.50100002000006</v>
      </c>
      <c r="F9" s="44">
        <v>132.87199999</v>
      </c>
      <c r="G9" s="44">
        <v>161.80900004</v>
      </c>
      <c r="H9" s="44">
        <v>157.49099966000003</v>
      </c>
      <c r="I9" s="44">
        <v>134.57699932999992</v>
      </c>
    </row>
    <row r="10" spans="1:9" ht="15">
      <c r="A10" s="43" t="str">
        <f>HLOOKUP(INDICE!$F$2,Nombres!$C$3:$D$636,35,FALSE)</f>
        <v>Resultados de operaciones financieras</v>
      </c>
      <c r="B10" s="44">
        <v>125.63700000999998</v>
      </c>
      <c r="C10" s="44">
        <v>54.027</v>
      </c>
      <c r="D10" s="44">
        <v>59.10599996999999</v>
      </c>
      <c r="E10" s="45">
        <v>174.50500001999998</v>
      </c>
      <c r="F10" s="44">
        <v>174.91700000000003</v>
      </c>
      <c r="G10" s="44">
        <v>220.159</v>
      </c>
      <c r="H10" s="44">
        <v>196.23599941000003</v>
      </c>
      <c r="I10" s="44">
        <v>150.14099989</v>
      </c>
    </row>
    <row r="11" spans="1:9" ht="15">
      <c r="A11" s="43" t="str">
        <f>HLOOKUP(INDICE!$F$2,Nombres!$C$3:$D$636,36,FALSE)</f>
        <v>Otros ingresos y cargas de explotación</v>
      </c>
      <c r="B11" s="44">
        <v>24.439999999999998</v>
      </c>
      <c r="C11" s="44">
        <v>33.91299999999998</v>
      </c>
      <c r="D11" s="44">
        <v>22.784000000000052</v>
      </c>
      <c r="E11" s="45">
        <v>-7.001000000000081</v>
      </c>
      <c r="F11" s="44">
        <v>-301.14500001</v>
      </c>
      <c r="G11" s="44">
        <v>-209.4819999800001</v>
      </c>
      <c r="H11" s="44">
        <v>-151.117</v>
      </c>
      <c r="I11" s="44">
        <v>-111.76800001000002</v>
      </c>
    </row>
    <row r="12" spans="1:9" ht="15">
      <c r="A12" s="41" t="str">
        <f>HLOOKUP(INDICE!$F$2,Nombres!$C$3:$D$636,37,FALSE)</f>
        <v>Margen bruto</v>
      </c>
      <c r="B12" s="41">
        <f>+SUM(B8:B11)</f>
        <v>834.05100002</v>
      </c>
      <c r="C12" s="41">
        <f aca="true" t="shared" si="0" ref="C12:I12">+SUM(C8:C11)</f>
        <v>737.2090000200002</v>
      </c>
      <c r="D12" s="41">
        <f t="shared" si="0"/>
        <v>842.45599996</v>
      </c>
      <c r="E12" s="42">
        <f t="shared" si="0"/>
        <v>1008.3580000400001</v>
      </c>
      <c r="F12" s="50">
        <f t="shared" si="0"/>
        <v>503.2529999699998</v>
      </c>
      <c r="G12" s="50">
        <f t="shared" si="0"/>
        <v>838.9170000599999</v>
      </c>
      <c r="H12" s="50">
        <f t="shared" si="0"/>
        <v>1015.09099891</v>
      </c>
      <c r="I12" s="50">
        <f t="shared" si="0"/>
        <v>828.1539988900004</v>
      </c>
    </row>
    <row r="13" spans="1:9" ht="15">
      <c r="A13" s="43" t="str">
        <f>HLOOKUP(INDICE!$F$2,Nombres!$C$3:$D$636,38,FALSE)</f>
        <v>Gastos de explotación</v>
      </c>
      <c r="B13" s="44">
        <v>-265.29226374000007</v>
      </c>
      <c r="C13" s="44">
        <v>-233.94551273999997</v>
      </c>
      <c r="D13" s="44">
        <v>-235.74078479000002</v>
      </c>
      <c r="E13" s="45">
        <v>-274.73369719999994</v>
      </c>
      <c r="F13" s="44">
        <v>-239.18315685</v>
      </c>
      <c r="G13" s="44">
        <v>-260.58114101</v>
      </c>
      <c r="H13" s="44">
        <v>-290.5026217</v>
      </c>
      <c r="I13" s="44">
        <v>-276.42751938999993</v>
      </c>
    </row>
    <row r="14" spans="1:9" ht="15">
      <c r="A14" s="43" t="str">
        <f>HLOOKUP(INDICE!$F$2,Nombres!$C$3:$D$636,39,FALSE)</f>
        <v>  Gastos de administración</v>
      </c>
      <c r="B14" s="44">
        <v>-231.51924174000004</v>
      </c>
      <c r="C14" s="44">
        <v>-204.13049174999998</v>
      </c>
      <c r="D14" s="44">
        <v>-204.82276278</v>
      </c>
      <c r="E14" s="45">
        <v>-250.86567622</v>
      </c>
      <c r="F14" s="44">
        <v>-209.86513485</v>
      </c>
      <c r="G14" s="44">
        <v>-226.14312001000002</v>
      </c>
      <c r="H14" s="44">
        <v>-258.26659970000003</v>
      </c>
      <c r="I14" s="44">
        <v>-243.85249639</v>
      </c>
    </row>
    <row r="15" spans="1:9" ht="15">
      <c r="A15" s="46" t="str">
        <f>HLOOKUP(INDICE!$F$2,Nombres!$C$3:$D$636,40,FALSE)</f>
        <v>  Gastos de personal</v>
      </c>
      <c r="B15" s="44">
        <v>-141.87522909</v>
      </c>
      <c r="C15" s="44">
        <v>-139.68222914</v>
      </c>
      <c r="D15" s="44">
        <v>-139.68122918000003</v>
      </c>
      <c r="E15" s="45">
        <v>-172.01340153</v>
      </c>
      <c r="F15" s="44">
        <v>-131.55028500999998</v>
      </c>
      <c r="G15" s="44">
        <v>-148.47128498</v>
      </c>
      <c r="H15" s="44">
        <v>-173.76428507000003</v>
      </c>
      <c r="I15" s="44">
        <v>-139.28546218999998</v>
      </c>
    </row>
    <row r="16" spans="1:9" ht="15">
      <c r="A16" s="46" t="str">
        <f>HLOOKUP(INDICE!$F$2,Nombres!$C$3:$D$636,41,FALSE)</f>
        <v>  Otros gastos de administración</v>
      </c>
      <c r="B16" s="44">
        <v>-89.64401265000001</v>
      </c>
      <c r="C16" s="44">
        <v>-64.44826260999999</v>
      </c>
      <c r="D16" s="44">
        <v>-65.1415336</v>
      </c>
      <c r="E16" s="45">
        <v>-78.85227469</v>
      </c>
      <c r="F16" s="44">
        <v>-78.31484984</v>
      </c>
      <c r="G16" s="44">
        <v>-77.67183503</v>
      </c>
      <c r="H16" s="44">
        <v>-84.50231463</v>
      </c>
      <c r="I16" s="44">
        <v>-104.5670342</v>
      </c>
    </row>
    <row r="17" spans="1:9" ht="15">
      <c r="A17" s="43" t="str">
        <f>HLOOKUP(INDICE!$F$2,Nombres!$C$3:$D$636,42,FALSE)</f>
        <v>  Amortización</v>
      </c>
      <c r="B17" s="44">
        <v>-33.773022</v>
      </c>
      <c r="C17" s="44">
        <v>-29.81502099</v>
      </c>
      <c r="D17" s="44">
        <v>-30.918022009999998</v>
      </c>
      <c r="E17" s="45">
        <v>-23.868020979999994</v>
      </c>
      <c r="F17" s="44">
        <v>-29.318022</v>
      </c>
      <c r="G17" s="44">
        <v>-34.43802099999999</v>
      </c>
      <c r="H17" s="44">
        <v>-32.236022000000006</v>
      </c>
      <c r="I17" s="44">
        <v>-32.575023</v>
      </c>
    </row>
    <row r="18" spans="1:9" ht="15">
      <c r="A18" s="41" t="str">
        <f>HLOOKUP(INDICE!$F$2,Nombres!$C$3:$D$636,43,FALSE)</f>
        <v>Margen neto</v>
      </c>
      <c r="B18" s="41">
        <f>+B12+B13</f>
        <v>568.7587362799999</v>
      </c>
      <c r="C18" s="41">
        <f aca="true" t="shared" si="1" ref="C18:I18">+C12+C13</f>
        <v>503.2634872800002</v>
      </c>
      <c r="D18" s="41">
        <f t="shared" si="1"/>
        <v>606.71521517</v>
      </c>
      <c r="E18" s="42">
        <f t="shared" si="1"/>
        <v>733.6243028400002</v>
      </c>
      <c r="F18" s="50">
        <f t="shared" si="1"/>
        <v>264.0698431199998</v>
      </c>
      <c r="G18" s="50">
        <f t="shared" si="1"/>
        <v>578.3358590499998</v>
      </c>
      <c r="H18" s="50">
        <f t="shared" si="1"/>
        <v>724.5883772100001</v>
      </c>
      <c r="I18" s="50">
        <f t="shared" si="1"/>
        <v>551.7264795000004</v>
      </c>
    </row>
    <row r="19" spans="1:9" ht="15">
      <c r="A19" s="43" t="str">
        <f>HLOOKUP(INDICE!$F$2,Nombres!$C$3:$D$636,44,FALSE)</f>
        <v>Deterioro de activos financieros no valorados a valor razonable con cambios en resultados</v>
      </c>
      <c r="B19" s="44">
        <v>-122.84000001000001</v>
      </c>
      <c r="C19" s="44">
        <v>-44.93799996999999</v>
      </c>
      <c r="D19" s="44">
        <v>-67.13700002999998</v>
      </c>
      <c r="E19" s="45">
        <v>-259.22800002</v>
      </c>
      <c r="F19" s="44">
        <v>-95.88099999</v>
      </c>
      <c r="G19" s="44">
        <v>-75.47300002</v>
      </c>
      <c r="H19" s="44">
        <v>-113.48000000000002</v>
      </c>
      <c r="I19" s="44">
        <v>-101.79900100000003</v>
      </c>
    </row>
    <row r="20" spans="1:9" ht="15">
      <c r="A20" s="43" t="str">
        <f>HLOOKUP(INDICE!$F$2,Nombres!$C$3:$D$636,45,FALSE)</f>
        <v>Provisiones o reversión de provisiones y otros resultados</v>
      </c>
      <c r="B20" s="44">
        <v>34.80999999999998</v>
      </c>
      <c r="C20" s="44">
        <v>12.811999999999989</v>
      </c>
      <c r="D20" s="44">
        <v>11.643000000000022</v>
      </c>
      <c r="E20" s="45">
        <v>-25.86500000000006</v>
      </c>
      <c r="F20" s="44">
        <v>-10.823000009999998</v>
      </c>
      <c r="G20" s="44">
        <v>-23.199999990000002</v>
      </c>
      <c r="H20" s="44">
        <v>-37.114999999999995</v>
      </c>
      <c r="I20" s="44">
        <v>-17.00899999000002</v>
      </c>
    </row>
    <row r="21" spans="1:9" ht="15">
      <c r="A21" s="41" t="str">
        <f>HLOOKUP(INDICE!$F$2,Nombres!$C$3:$D$636,46,FALSE)</f>
        <v>Resultado antes de impuestos</v>
      </c>
      <c r="B21" s="41">
        <f>+B18+B19+B20</f>
        <v>480.72873626999984</v>
      </c>
      <c r="C21" s="41">
        <f aca="true" t="shared" si="2" ref="C21:I21">+C18+C19+C20</f>
        <v>471.1374873100002</v>
      </c>
      <c r="D21" s="41">
        <f t="shared" si="2"/>
        <v>551.22121514</v>
      </c>
      <c r="E21" s="42">
        <f t="shared" si="2"/>
        <v>448.53130282000006</v>
      </c>
      <c r="F21" s="50">
        <f t="shared" si="2"/>
        <v>157.3658431199998</v>
      </c>
      <c r="G21" s="50">
        <f t="shared" si="2"/>
        <v>479.6628590399999</v>
      </c>
      <c r="H21" s="50">
        <f t="shared" si="2"/>
        <v>573.9933772100001</v>
      </c>
      <c r="I21" s="50">
        <f t="shared" si="2"/>
        <v>432.9184785100004</v>
      </c>
    </row>
    <row r="22" spans="1:9" ht="15">
      <c r="A22" s="43" t="str">
        <f>HLOOKUP(INDICE!$F$2,Nombres!$C$3:$D$636,47,FALSE)</f>
        <v>Impuesto sobre beneficios</v>
      </c>
      <c r="B22" s="44">
        <v>-93.79882088</v>
      </c>
      <c r="C22" s="44">
        <v>-80.54364616</v>
      </c>
      <c r="D22" s="44">
        <v>-148.25646458</v>
      </c>
      <c r="E22" s="45">
        <v>-132.20889083000003</v>
      </c>
      <c r="F22" s="44">
        <v>-308.62485294000004</v>
      </c>
      <c r="G22" s="44">
        <v>-327.21515770999997</v>
      </c>
      <c r="H22" s="44">
        <v>-255.65751372</v>
      </c>
      <c r="I22" s="44">
        <v>-213.95584417</v>
      </c>
    </row>
    <row r="23" spans="1:9" ht="15">
      <c r="A23" s="41" t="str">
        <f>HLOOKUP(INDICE!$F$2,Nombres!$C$3:$D$636,48,FALSE)</f>
        <v>Resultado del ejercicio</v>
      </c>
      <c r="B23" s="41">
        <f>+B21+B22</f>
        <v>386.92991538999985</v>
      </c>
      <c r="C23" s="41">
        <f aca="true" t="shared" si="3" ref="C23:I23">+C21+C22</f>
        <v>390.59384115000023</v>
      </c>
      <c r="D23" s="41">
        <f t="shared" si="3"/>
        <v>402.96475056</v>
      </c>
      <c r="E23" s="42">
        <f t="shared" si="3"/>
        <v>316.32241199000003</v>
      </c>
      <c r="F23" s="50">
        <f t="shared" si="3"/>
        <v>-151.25900982000024</v>
      </c>
      <c r="G23" s="50">
        <f t="shared" si="3"/>
        <v>152.44770132999992</v>
      </c>
      <c r="H23" s="50">
        <f t="shared" si="3"/>
        <v>318.33586349000007</v>
      </c>
      <c r="I23" s="50">
        <f t="shared" si="3"/>
        <v>218.9626343400004</v>
      </c>
    </row>
    <row r="24" spans="1:9" ht="15">
      <c r="A24" s="43" t="str">
        <f>HLOOKUP(INDICE!$F$2,Nombres!$C$3:$D$636,49,FALSE)</f>
        <v>Minoritarios</v>
      </c>
      <c r="B24" s="44">
        <v>-196.24699999</v>
      </c>
      <c r="C24" s="44">
        <v>-197.59500002000001</v>
      </c>
      <c r="D24" s="44">
        <v>-203.94899999000006</v>
      </c>
      <c r="E24" s="45">
        <v>-160.35</v>
      </c>
      <c r="F24" s="44">
        <v>76.003</v>
      </c>
      <c r="G24" s="44">
        <v>-15.663999989999972</v>
      </c>
      <c r="H24" s="44">
        <v>-43.82000008</v>
      </c>
      <c r="I24" s="44">
        <v>-45.68799971000003</v>
      </c>
    </row>
    <row r="25" spans="1:9" ht="15">
      <c r="A25" s="47" t="str">
        <f>HLOOKUP(INDICE!$F$2,Nombres!$C$3:$D$636,50,FALSE)</f>
        <v>Resultado atribuido</v>
      </c>
      <c r="B25" s="47">
        <f>+B23+B24</f>
        <v>190.68291539999984</v>
      </c>
      <c r="C25" s="47">
        <f aca="true" t="shared" si="4" ref="C25:I25">+C23+C24</f>
        <v>192.99884113000022</v>
      </c>
      <c r="D25" s="47">
        <f t="shared" si="4"/>
        <v>199.01575056999997</v>
      </c>
      <c r="E25" s="47">
        <f t="shared" si="4"/>
        <v>155.97241199000004</v>
      </c>
      <c r="F25" s="51">
        <f t="shared" si="4"/>
        <v>-75.25600982000024</v>
      </c>
      <c r="G25" s="51">
        <f t="shared" si="4"/>
        <v>136.78370133999994</v>
      </c>
      <c r="H25" s="51">
        <f t="shared" si="4"/>
        <v>274.51586341000007</v>
      </c>
      <c r="I25" s="51">
        <f t="shared" si="4"/>
        <v>173.27463463000038</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6682.253</v>
      </c>
      <c r="C31" s="44">
        <v>6656.599999999999</v>
      </c>
      <c r="D31" s="44">
        <v>6257.517</v>
      </c>
      <c r="E31" s="45">
        <v>7763.787</v>
      </c>
      <c r="F31" s="44">
        <v>7926.378000000001</v>
      </c>
      <c r="G31" s="44">
        <v>8050.876</v>
      </c>
      <c r="H31" s="44">
        <v>8109.888000000001</v>
      </c>
      <c r="I31" s="44">
        <v>6061.198</v>
      </c>
    </row>
    <row r="32" spans="1:9" ht="15">
      <c r="A32" s="43" t="str">
        <f>HLOOKUP(INDICE!$F$2,Nombres!$C$3:$D$636,53,FALSE)</f>
        <v>Activos financieros a valor razonable</v>
      </c>
      <c r="B32" s="58">
        <v>5492.143</v>
      </c>
      <c r="C32" s="58">
        <v>5153.531</v>
      </c>
      <c r="D32" s="58">
        <v>5417.218000000001</v>
      </c>
      <c r="E32" s="64">
        <v>5289.342999999999</v>
      </c>
      <c r="F32" s="44">
        <v>5177.576</v>
      </c>
      <c r="G32" s="44">
        <v>5598.161000000001</v>
      </c>
      <c r="H32" s="44">
        <v>5557.729000000001</v>
      </c>
      <c r="I32" s="44">
        <v>5203.253</v>
      </c>
    </row>
    <row r="33" spans="1:9" ht="15">
      <c r="A33" s="43" t="str">
        <f>HLOOKUP(INDICE!$F$2,Nombres!$C$3:$D$636,54,FALSE)</f>
        <v>Activos financieros a coste amortizado</v>
      </c>
      <c r="B33" s="44">
        <v>44633.130000000005</v>
      </c>
      <c r="C33" s="44">
        <v>45507.883</v>
      </c>
      <c r="D33" s="44">
        <v>47893.36</v>
      </c>
      <c r="E33" s="45">
        <v>41543.922</v>
      </c>
      <c r="F33" s="44">
        <v>44006.130000000005</v>
      </c>
      <c r="G33" s="44">
        <v>48362.121</v>
      </c>
      <c r="H33" s="44">
        <v>52000.083999999995</v>
      </c>
      <c r="I33" s="44">
        <v>51621.424000000006</v>
      </c>
    </row>
    <row r="34" spans="1:9" ht="15">
      <c r="A34" s="43" t="str">
        <f>HLOOKUP(INDICE!$F$2,Nombres!$C$3:$D$636,55,FALSE)</f>
        <v>    de los que préstamos y anticipos a la clientela</v>
      </c>
      <c r="B34" s="44">
        <v>36858.534</v>
      </c>
      <c r="C34" s="44">
        <v>36911.164</v>
      </c>
      <c r="D34" s="44">
        <v>38932.94</v>
      </c>
      <c r="E34" s="45">
        <v>31414.156</v>
      </c>
      <c r="F34" s="44">
        <v>33726.289000000004</v>
      </c>
      <c r="G34" s="44">
        <v>35609.825999999994</v>
      </c>
      <c r="H34" s="44">
        <v>36898.085</v>
      </c>
      <c r="I34" s="44">
        <v>37442.536</v>
      </c>
    </row>
    <row r="35" spans="1:9" ht="15" customHeight="1" hidden="1">
      <c r="A35" s="43"/>
      <c r="B35" s="44"/>
      <c r="C35" s="44"/>
      <c r="D35" s="44"/>
      <c r="E35" s="45"/>
      <c r="F35" s="44"/>
      <c r="G35" s="44"/>
      <c r="H35" s="44"/>
      <c r="I35" s="44"/>
    </row>
    <row r="36" spans="1:9" ht="15">
      <c r="A36" s="43" t="str">
        <f>HLOOKUP(INDICE!$F$2,Nombres!$C$3:$D$636,56,FALSE)</f>
        <v>Activos tangibles</v>
      </c>
      <c r="B36" s="44">
        <v>871.2429999999999</v>
      </c>
      <c r="C36" s="44">
        <v>814.192</v>
      </c>
      <c r="D36" s="44">
        <v>851.2760000000001</v>
      </c>
      <c r="E36" s="45">
        <v>623.266</v>
      </c>
      <c r="F36" s="44">
        <v>859.876</v>
      </c>
      <c r="G36" s="44">
        <v>921.2160000000001</v>
      </c>
      <c r="H36" s="44">
        <v>960.4679999999998</v>
      </c>
      <c r="I36" s="44">
        <v>1212.83</v>
      </c>
    </row>
    <row r="37" spans="1:9" ht="15">
      <c r="A37" s="43" t="str">
        <f>HLOOKUP(INDICE!$F$2,Nombres!$C$3:$D$636,57,FALSE)</f>
        <v>Otros activos</v>
      </c>
      <c r="B37" s="58">
        <f>+B38-B36-B33-B32-B31</f>
        <v>1197.1019999999999</v>
      </c>
      <c r="C37" s="58">
        <f aca="true" t="shared" si="5" ref="C37:I37">+C38-C36-C33-C32-C31</f>
        <v>1111.1409999999978</v>
      </c>
      <c r="D37" s="58">
        <f t="shared" si="5"/>
        <v>1129.546030849997</v>
      </c>
      <c r="E37" s="64">
        <f t="shared" si="5"/>
        <v>1024.6029999999937</v>
      </c>
      <c r="F37" s="44">
        <f t="shared" si="5"/>
        <v>998.0400000000045</v>
      </c>
      <c r="G37" s="44">
        <f t="shared" si="5"/>
        <v>1168.4590004799938</v>
      </c>
      <c r="H37" s="44">
        <f t="shared" si="5"/>
        <v>1776.2900000000118</v>
      </c>
      <c r="I37" s="44">
        <f t="shared" si="5"/>
        <v>1944.4850485300058</v>
      </c>
    </row>
    <row r="38" spans="1:9" ht="15">
      <c r="A38" s="47" t="str">
        <f>HLOOKUP(INDICE!$F$2,Nombres!$C$3:$D$636,58,FALSE)</f>
        <v>Total activo / pasivo</v>
      </c>
      <c r="B38" s="51">
        <v>58875.87100000001</v>
      </c>
      <c r="C38" s="51">
        <v>59243.347</v>
      </c>
      <c r="D38" s="51">
        <v>61548.917030849996</v>
      </c>
      <c r="E38" s="79">
        <v>56244.920999999995</v>
      </c>
      <c r="F38" s="51">
        <v>58968.00000000001</v>
      </c>
      <c r="G38" s="51">
        <v>64100.833000479994</v>
      </c>
      <c r="H38" s="51">
        <v>68404.459</v>
      </c>
      <c r="I38" s="51">
        <v>66043.19004853001</v>
      </c>
    </row>
    <row r="39" spans="1:9" ht="15">
      <c r="A39" s="43" t="str">
        <f>HLOOKUP(INDICE!$F$2,Nombres!$C$3:$D$636,59,FALSE)</f>
        <v>Pasivos financieros mantenidos para negociar y designados a valor razonable con cambios en resultados</v>
      </c>
      <c r="B39" s="58">
        <v>2061.667</v>
      </c>
      <c r="C39" s="58">
        <v>1969.616</v>
      </c>
      <c r="D39" s="58">
        <v>1998.7019999999998</v>
      </c>
      <c r="E39" s="64">
        <v>2271.785999999999</v>
      </c>
      <c r="F39" s="44">
        <v>2198.122</v>
      </c>
      <c r="G39" s="44">
        <v>2380.947</v>
      </c>
      <c r="H39" s="44">
        <v>2417.973</v>
      </c>
      <c r="I39" s="44">
        <v>2137.822</v>
      </c>
    </row>
    <row r="40" spans="1:9" ht="15.75" customHeight="1">
      <c r="A40" s="43" t="str">
        <f>HLOOKUP(INDICE!$F$2,Nombres!$C$3:$D$636,60,FALSE)</f>
        <v>Depósitos de bancos centrales y entidades de crédito</v>
      </c>
      <c r="B40" s="58">
        <v>4671.436</v>
      </c>
      <c r="C40" s="58">
        <v>3749.326</v>
      </c>
      <c r="D40" s="58">
        <v>3879.982</v>
      </c>
      <c r="E40" s="64">
        <v>4086.755</v>
      </c>
      <c r="F40" s="44">
        <v>3677.411</v>
      </c>
      <c r="G40" s="44">
        <v>5306.936</v>
      </c>
      <c r="H40" s="44">
        <v>3999.3920000000007</v>
      </c>
      <c r="I40" s="44">
        <v>2871.904</v>
      </c>
    </row>
    <row r="41" spans="1:9" ht="15">
      <c r="A41" s="43" t="str">
        <f>HLOOKUP(INDICE!$F$2,Nombres!$C$3:$D$636,61,FALSE)</f>
        <v>Depósitos de la clientela</v>
      </c>
      <c r="B41" s="58">
        <v>38089.234</v>
      </c>
      <c r="C41" s="58">
        <v>39858.453</v>
      </c>
      <c r="D41" s="58">
        <v>41281.827999999994</v>
      </c>
      <c r="E41" s="64">
        <v>38341.210999999996</v>
      </c>
      <c r="F41" s="44">
        <v>40156.687</v>
      </c>
      <c r="G41" s="44">
        <v>42688.41499999999</v>
      </c>
      <c r="H41" s="44">
        <v>47197.636</v>
      </c>
      <c r="I41" s="44">
        <v>46339.215</v>
      </c>
    </row>
    <row r="42" spans="1:9" ht="15">
      <c r="A42" s="43" t="str">
        <f>HLOOKUP(INDICE!$F$2,Nombres!$C$3:$D$636,62,FALSE)</f>
        <v>Valores representativos de deuda emitidos</v>
      </c>
      <c r="B42" s="44">
        <v>4242.74763894</v>
      </c>
      <c r="C42" s="44">
        <v>3869.5861344400005</v>
      </c>
      <c r="D42" s="44">
        <v>3971.0202847</v>
      </c>
      <c r="E42" s="45">
        <v>3618.19992327</v>
      </c>
      <c r="F42" s="44">
        <v>3548.0527025700003</v>
      </c>
      <c r="G42" s="44">
        <v>3897.0927195699996</v>
      </c>
      <c r="H42" s="44">
        <v>3378.92576667</v>
      </c>
      <c r="I42" s="44">
        <v>3235.59943234</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3364.9573332000064</v>
      </c>
      <c r="C44" s="58">
        <f aca="true" t="shared" si="6" ref="C44:I44">+C38-C39-C40-C41-C42-C45</f>
        <v>3685.081260259998</v>
      </c>
      <c r="D44" s="58">
        <f t="shared" si="6"/>
        <v>3735.150669470002</v>
      </c>
      <c r="E44" s="64">
        <f t="shared" si="6"/>
        <v>2165.685295340001</v>
      </c>
      <c r="F44" s="44">
        <f t="shared" si="6"/>
        <v>2984.6435127300065</v>
      </c>
      <c r="G44" s="44">
        <f t="shared" si="6"/>
        <v>3006.66238996</v>
      </c>
      <c r="H44" s="44">
        <f t="shared" si="6"/>
        <v>4849.635648340007</v>
      </c>
      <c r="I44" s="44">
        <f t="shared" si="6"/>
        <v>4748.103774030014</v>
      </c>
    </row>
    <row r="45" spans="1:9" ht="15">
      <c r="A45" s="43" t="str">
        <f>HLOOKUP(INDICE!$F$2,Nombres!$C$3:$D$636,282,FALSE)</f>
        <v>Dotación de capital regulatorio</v>
      </c>
      <c r="B45" s="44">
        <v>6445.829027860001</v>
      </c>
      <c r="C45" s="44">
        <v>6111.284605299999</v>
      </c>
      <c r="D45" s="44">
        <v>6682.234076679999</v>
      </c>
      <c r="E45" s="44">
        <v>5761.2837813900005</v>
      </c>
      <c r="F45" s="44">
        <v>6403.0837847</v>
      </c>
      <c r="G45" s="44">
        <v>6820.77989095</v>
      </c>
      <c r="H45" s="44">
        <v>6560.89658499</v>
      </c>
      <c r="I45" s="44">
        <v>6710.54584216</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Préstamos y anticipos a la clientela bruto (*)</v>
      </c>
      <c r="B51" s="44">
        <v>39266.594000000005</v>
      </c>
      <c r="C51" s="44">
        <v>39186.41300000001</v>
      </c>
      <c r="D51" s="44">
        <v>41346.916</v>
      </c>
      <c r="E51" s="45">
        <v>33450.820999999996</v>
      </c>
      <c r="F51" s="44">
        <v>35828.403</v>
      </c>
      <c r="G51" s="44">
        <v>37754.281</v>
      </c>
      <c r="H51" s="44">
        <v>39072.556</v>
      </c>
      <c r="I51" s="44">
        <v>39547.111000000004</v>
      </c>
    </row>
    <row r="52" spans="1:9" ht="15">
      <c r="A52" s="43" t="str">
        <f>HLOOKUP(INDICE!$F$2,Nombres!$C$3:$D$636,67,FALSE)</f>
        <v>Depósitos de clientes en gestión (**)</v>
      </c>
      <c r="B52" s="44">
        <v>38086.758</v>
      </c>
      <c r="C52" s="44">
        <v>39856.34500000001</v>
      </c>
      <c r="D52" s="44">
        <v>41279.562999999995</v>
      </c>
      <c r="E52" s="45">
        <v>38334.89699999999</v>
      </c>
      <c r="F52" s="44">
        <v>40154.911</v>
      </c>
      <c r="G52" s="44">
        <v>42686.904</v>
      </c>
      <c r="H52" s="44">
        <v>47195.384</v>
      </c>
      <c r="I52" s="44">
        <v>45591.769</v>
      </c>
    </row>
    <row r="53" spans="1:9" ht="15">
      <c r="A53" s="43" t="str">
        <f>HLOOKUP(INDICE!$F$2,Nombres!$C$3:$D$636,68,FALSE)</f>
        <v>Fondos de inversión y carteras gestionadas</v>
      </c>
      <c r="B53" s="44">
        <v>1232.623</v>
      </c>
      <c r="C53" s="44">
        <v>1453.084</v>
      </c>
      <c r="D53" s="44">
        <v>1978.496</v>
      </c>
      <c r="E53" s="45">
        <v>1721.798</v>
      </c>
      <c r="F53" s="44">
        <v>2088.436</v>
      </c>
      <c r="G53" s="44">
        <v>2319.513</v>
      </c>
      <c r="H53" s="44">
        <v>2667.946</v>
      </c>
      <c r="I53" s="44">
        <v>3730.904</v>
      </c>
    </row>
    <row r="54" spans="1:9" ht="15">
      <c r="A54" s="43" t="str">
        <f>HLOOKUP(INDICE!$F$2,Nombres!$C$3:$D$636,69,FALSE)</f>
        <v>Fondos de pensiones</v>
      </c>
      <c r="B54" s="44">
        <v>2434.119</v>
      </c>
      <c r="C54" s="44">
        <v>2482.271</v>
      </c>
      <c r="D54" s="44">
        <v>2586.371</v>
      </c>
      <c r="E54" s="45">
        <v>2172.906</v>
      </c>
      <c r="F54" s="44">
        <v>2333.143</v>
      </c>
      <c r="G54" s="44">
        <v>2605.557</v>
      </c>
      <c r="H54" s="44">
        <v>2902.554</v>
      </c>
      <c r="I54" s="44">
        <v>3204.8</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236.4876641322607</v>
      </c>
      <c r="C64" s="41">
        <v>257.7736701210838</v>
      </c>
      <c r="D64" s="41">
        <v>308.634897199731</v>
      </c>
      <c r="E64" s="42">
        <v>444.4604211215814</v>
      </c>
      <c r="F64" s="50">
        <v>405.62683553389866</v>
      </c>
      <c r="G64" s="50">
        <v>618.0045807455193</v>
      </c>
      <c r="H64" s="50">
        <v>784.3462928842046</v>
      </c>
      <c r="I64" s="50">
        <v>822.7472903463778</v>
      </c>
    </row>
    <row r="65" spans="1:9" ht="15">
      <c r="A65" s="43" t="str">
        <f>HLOOKUP(INDICE!$F$2,Nombres!$C$3:$D$636,34,FALSE)</f>
        <v>Comisiones netas</v>
      </c>
      <c r="B65" s="44">
        <v>68.94976109441015</v>
      </c>
      <c r="C65" s="44">
        <v>72.73985227359545</v>
      </c>
      <c r="D65" s="44">
        <v>73.72210447430217</v>
      </c>
      <c r="E65" s="45">
        <v>81.62013713887391</v>
      </c>
      <c r="F65" s="44">
        <v>108.57760102183316</v>
      </c>
      <c r="G65" s="44">
        <v>150.93684257041502</v>
      </c>
      <c r="H65" s="44">
        <v>154.72419448675456</v>
      </c>
      <c r="I65" s="44">
        <v>172.51036094099726</v>
      </c>
    </row>
    <row r="66" spans="1:9" ht="15">
      <c r="A66" s="43" t="str">
        <f>HLOOKUP(INDICE!$F$2,Nombres!$C$3:$D$636,35,FALSE)</f>
        <v>Resultados de operaciones financieras</v>
      </c>
      <c r="B66" s="44">
        <v>56.104825323325976</v>
      </c>
      <c r="C66" s="44">
        <v>29.594099071724855</v>
      </c>
      <c r="D66" s="44">
        <v>30.425033917560285</v>
      </c>
      <c r="E66" s="45">
        <v>101.36512321103898</v>
      </c>
      <c r="F66" s="44">
        <v>142.65530720939284</v>
      </c>
      <c r="G66" s="44">
        <v>205.150201049041</v>
      </c>
      <c r="H66" s="44">
        <v>193.96244493356653</v>
      </c>
      <c r="I66" s="44">
        <v>199.6850461079997</v>
      </c>
    </row>
    <row r="67" spans="1:9" ht="15">
      <c r="A67" s="43" t="str">
        <f>HLOOKUP(INDICE!$F$2,Nombres!$C$3:$D$636,36,FALSE)</f>
        <v>Otros ingresos y cargas de explotación</v>
      </c>
      <c r="B67" s="44">
        <v>10.913997713993066</v>
      </c>
      <c r="C67" s="44">
        <v>16.920122281921863</v>
      </c>
      <c r="D67" s="44">
        <v>11.6262376972607</v>
      </c>
      <c r="E67" s="45">
        <v>-0.4457293032722536</v>
      </c>
      <c r="F67" s="44">
        <v>-407.92230509779233</v>
      </c>
      <c r="G67" s="44">
        <v>-257.50532287585276</v>
      </c>
      <c r="H67" s="44">
        <v>-128.04458837223132</v>
      </c>
      <c r="I67" s="44">
        <v>19.960216345876198</v>
      </c>
    </row>
    <row r="68" spans="1:9" ht="15">
      <c r="A68" s="41" t="str">
        <f>HLOOKUP(INDICE!$F$2,Nombres!$C$3:$D$636,37,FALSE)</f>
        <v>Margen bruto</v>
      </c>
      <c r="B68" s="41">
        <f>+SUM(B64:B67)</f>
        <v>372.4562482639899</v>
      </c>
      <c r="C68" s="41">
        <f aca="true" t="shared" si="9" ref="C68:I68">+SUM(C64:C67)</f>
        <v>377.027743748326</v>
      </c>
      <c r="D68" s="41">
        <f t="shared" si="9"/>
        <v>424.4082732888541</v>
      </c>
      <c r="E68" s="42">
        <f t="shared" si="9"/>
        <v>626.999952168222</v>
      </c>
      <c r="F68" s="50">
        <f t="shared" si="9"/>
        <v>248.93743866733234</v>
      </c>
      <c r="G68" s="50">
        <f t="shared" si="9"/>
        <v>716.5863014891227</v>
      </c>
      <c r="H68" s="50">
        <f t="shared" si="9"/>
        <v>1004.9883439322944</v>
      </c>
      <c r="I68" s="50">
        <f t="shared" si="9"/>
        <v>1214.9029137412508</v>
      </c>
    </row>
    <row r="69" spans="1:9" ht="15">
      <c r="A69" s="43" t="str">
        <f>HLOOKUP(INDICE!$F$2,Nombres!$C$3:$D$636,38,FALSE)</f>
        <v>Gastos de explotación</v>
      </c>
      <c r="B69" s="44">
        <v>-118.46968739764347</v>
      </c>
      <c r="C69" s="44">
        <v>-119.66449896874863</v>
      </c>
      <c r="D69" s="44">
        <v>-119.31700020113905</v>
      </c>
      <c r="E69" s="45">
        <v>-173.91749457168783</v>
      </c>
      <c r="F69" s="44">
        <v>-196.79123703024163</v>
      </c>
      <c r="G69" s="44">
        <v>-245.66250470210628</v>
      </c>
      <c r="H69" s="44">
        <v>-284.5395762941955</v>
      </c>
      <c r="I69" s="44">
        <v>-339.70112092345653</v>
      </c>
    </row>
    <row r="70" spans="1:9" ht="15">
      <c r="A70" s="43" t="str">
        <f>HLOOKUP(INDICE!$F$2,Nombres!$C$3:$D$636,39,FALSE)</f>
        <v>  Gastos de administración</v>
      </c>
      <c r="B70" s="44">
        <v>-103.38790814630806</v>
      </c>
      <c r="C70" s="44">
        <v>-104.41506613348943</v>
      </c>
      <c r="D70" s="44">
        <v>-103.68591236199694</v>
      </c>
      <c r="E70" s="45">
        <v>-157.5845401607437</v>
      </c>
      <c r="F70" s="44">
        <v>-171.6418730759408</v>
      </c>
      <c r="G70" s="44">
        <v>-212.4699314491525</v>
      </c>
      <c r="H70" s="44">
        <v>-251.65737480445358</v>
      </c>
      <c r="I70" s="44">
        <v>-302.35817162045305</v>
      </c>
    </row>
    <row r="71" spans="1:9" ht="15">
      <c r="A71" s="46" t="str">
        <f>HLOOKUP(INDICE!$F$2,Nombres!$C$3:$D$636,40,FALSE)</f>
        <v>  Gastos de personal</v>
      </c>
      <c r="B71" s="44">
        <v>-63.356216283162965</v>
      </c>
      <c r="C71" s="44">
        <v>-70.945431928902</v>
      </c>
      <c r="D71" s="44">
        <v>-70.56455684114607</v>
      </c>
      <c r="E71" s="45">
        <v>-107.33717510660361</v>
      </c>
      <c r="F71" s="44">
        <v>-107.4864006141733</v>
      </c>
      <c r="G71" s="44">
        <v>-139.00187371076186</v>
      </c>
      <c r="H71" s="44">
        <v>-168.81421283732163</v>
      </c>
      <c r="I71" s="44">
        <v>-177.76883008774317</v>
      </c>
    </row>
    <row r="72" spans="1:9" ht="15">
      <c r="A72" s="46" t="str">
        <f>HLOOKUP(INDICE!$F$2,Nombres!$C$3:$D$636,41,FALSE)</f>
        <v>  Otros gastos de administración</v>
      </c>
      <c r="B72" s="44">
        <v>-40.031691863145085</v>
      </c>
      <c r="C72" s="44">
        <v>-33.469634204587415</v>
      </c>
      <c r="D72" s="44">
        <v>-33.121355520850884</v>
      </c>
      <c r="E72" s="45">
        <v>-50.247365054140076</v>
      </c>
      <c r="F72" s="44">
        <v>-64.15547246176749</v>
      </c>
      <c r="G72" s="44">
        <v>-73.46805773839063</v>
      </c>
      <c r="H72" s="44">
        <v>-82.84316196713198</v>
      </c>
      <c r="I72" s="44">
        <v>-124.58934153270991</v>
      </c>
    </row>
    <row r="73" spans="1:9" ht="15">
      <c r="A73" s="43" t="str">
        <f>HLOOKUP(INDICE!$F$2,Nombres!$C$3:$D$636,42,FALSE)</f>
        <v>  Amortización</v>
      </c>
      <c r="B73" s="44">
        <v>-15.081779251335417</v>
      </c>
      <c r="C73" s="44">
        <v>-15.249432835259228</v>
      </c>
      <c r="D73" s="44">
        <v>-15.631087839142104</v>
      </c>
      <c r="E73" s="45">
        <v>-16.332954410944122</v>
      </c>
      <c r="F73" s="44">
        <v>-25.149363954300856</v>
      </c>
      <c r="G73" s="44">
        <v>-33.192573252953764</v>
      </c>
      <c r="H73" s="44">
        <v>-32.88220148974188</v>
      </c>
      <c r="I73" s="44">
        <v>-37.3429493030035</v>
      </c>
    </row>
    <row r="74" spans="1:9" ht="15">
      <c r="A74" s="41" t="str">
        <f>HLOOKUP(INDICE!$F$2,Nombres!$C$3:$D$636,43,FALSE)</f>
        <v>Margen neto</v>
      </c>
      <c r="B74" s="41">
        <f>+B68+B69</f>
        <v>253.98656086634642</v>
      </c>
      <c r="C74" s="41">
        <f aca="true" t="shared" si="10" ref="C74:I74">+C68+C69</f>
        <v>257.36324477957737</v>
      </c>
      <c r="D74" s="41">
        <f t="shared" si="10"/>
        <v>305.0912730877151</v>
      </c>
      <c r="E74" s="42">
        <f t="shared" si="10"/>
        <v>453.08245759653414</v>
      </c>
      <c r="F74" s="50">
        <f t="shared" si="10"/>
        <v>52.14620163709071</v>
      </c>
      <c r="G74" s="50">
        <f t="shared" si="10"/>
        <v>470.9237967870164</v>
      </c>
      <c r="H74" s="50">
        <f t="shared" si="10"/>
        <v>720.4487676380988</v>
      </c>
      <c r="I74" s="50">
        <f t="shared" si="10"/>
        <v>875.2017928177943</v>
      </c>
    </row>
    <row r="75" spans="1:9" ht="15">
      <c r="A75" s="43" t="str">
        <f>HLOOKUP(INDICE!$F$2,Nombres!$C$3:$D$636,44,FALSE)</f>
        <v>Deterioro de activos financieros no valorados a valor razonable con cambios en resultados</v>
      </c>
      <c r="B75" s="44">
        <v>-54.85578884190051</v>
      </c>
      <c r="C75" s="44">
        <v>-25.173566703108882</v>
      </c>
      <c r="D75" s="44">
        <v>-34.21975309700285</v>
      </c>
      <c r="E75" s="45">
        <v>-145.79736699253067</v>
      </c>
      <c r="F75" s="44">
        <v>-78.01296849670368</v>
      </c>
      <c r="G75" s="44">
        <v>-73.190189769982</v>
      </c>
      <c r="H75" s="44">
        <v>-109.81083706573745</v>
      </c>
      <c r="I75" s="44">
        <v>-125.61900567757687</v>
      </c>
    </row>
    <row r="76" spans="1:9" ht="15">
      <c r="A76" s="43" t="str">
        <f>HLOOKUP(INDICE!$F$2,Nombres!$C$3:$D$636,45,FALSE)</f>
        <v>Provisiones o reversión de provisiones y otros resultados</v>
      </c>
      <c r="B76" s="44">
        <v>15.544855172835463</v>
      </c>
      <c r="C76" s="44">
        <v>7.170625821208737</v>
      </c>
      <c r="D76" s="44">
        <v>6.107597240128274</v>
      </c>
      <c r="E76" s="45">
        <v>-11.246076666475634</v>
      </c>
      <c r="F76" s="44">
        <v>-10.00697676737397</v>
      </c>
      <c r="G76" s="44">
        <v>-21.2434734207948</v>
      </c>
      <c r="H76" s="44">
        <v>-35.1831172655974</v>
      </c>
      <c r="I76" s="44">
        <v>-21.71343253623384</v>
      </c>
    </row>
    <row r="77" spans="1:9" ht="15">
      <c r="A77" s="41" t="str">
        <f>HLOOKUP(INDICE!$F$2,Nombres!$C$3:$D$636,46,FALSE)</f>
        <v>Resultado antes de impuestos</v>
      </c>
      <c r="B77" s="41">
        <f>+B74+B75+B76</f>
        <v>214.6756271972814</v>
      </c>
      <c r="C77" s="41">
        <f aca="true" t="shared" si="11" ref="C77:I77">+C74+C75+C76</f>
        <v>239.36030389767723</v>
      </c>
      <c r="D77" s="41">
        <f t="shared" si="11"/>
        <v>276.9791172308405</v>
      </c>
      <c r="E77" s="42">
        <f t="shared" si="11"/>
        <v>296.03901393752784</v>
      </c>
      <c r="F77" s="50">
        <f t="shared" si="11"/>
        <v>-35.873743626986936</v>
      </c>
      <c r="G77" s="50">
        <f t="shared" si="11"/>
        <v>376.4901335962396</v>
      </c>
      <c r="H77" s="50">
        <f t="shared" si="11"/>
        <v>575.454813306764</v>
      </c>
      <c r="I77" s="50">
        <f t="shared" si="11"/>
        <v>727.8693546039835</v>
      </c>
    </row>
    <row r="78" spans="1:9" ht="15">
      <c r="A78" s="43" t="str">
        <f>HLOOKUP(INDICE!$F$2,Nombres!$C$3:$D$636,47,FALSE)</f>
        <v>Impuesto sobre beneficios</v>
      </c>
      <c r="B78" s="44">
        <v>-41.88707514973672</v>
      </c>
      <c r="C78" s="44">
        <v>-41.27350182103093</v>
      </c>
      <c r="D78" s="44">
        <v>-73.73293934313962</v>
      </c>
      <c r="E78" s="45">
        <v>-82.45252584790228</v>
      </c>
      <c r="F78" s="44">
        <v>-256.33188259559296</v>
      </c>
      <c r="G78" s="44">
        <v>-308.3554051862078</v>
      </c>
      <c r="H78" s="44">
        <v>-255.40338676370925</v>
      </c>
      <c r="I78" s="44">
        <v>-285.36269399449</v>
      </c>
    </row>
    <row r="79" spans="1:9" ht="15">
      <c r="A79" s="41" t="str">
        <f>HLOOKUP(INDICE!$F$2,Nombres!$C$3:$D$636,48,FALSE)</f>
        <v>Resultado del ejercicio</v>
      </c>
      <c r="B79" s="41">
        <f>+B77+B78</f>
        <v>172.78855204754467</v>
      </c>
      <c r="C79" s="41">
        <f aca="true" t="shared" si="12" ref="C79:I79">+C77+C78</f>
        <v>198.08680207664628</v>
      </c>
      <c r="D79" s="41">
        <f t="shared" si="12"/>
        <v>203.24617788770087</v>
      </c>
      <c r="E79" s="42">
        <f t="shared" si="12"/>
        <v>213.58648808962556</v>
      </c>
      <c r="F79" s="50">
        <f t="shared" si="12"/>
        <v>-292.2056262225799</v>
      </c>
      <c r="G79" s="50">
        <f t="shared" si="12"/>
        <v>68.13472841003181</v>
      </c>
      <c r="H79" s="50">
        <f t="shared" si="12"/>
        <v>320.05142654305473</v>
      </c>
      <c r="I79" s="50">
        <f t="shared" si="12"/>
        <v>442.50666060949357</v>
      </c>
    </row>
    <row r="80" spans="1:9" ht="15">
      <c r="A80" s="43" t="str">
        <f>HLOOKUP(INDICE!$F$2,Nombres!$C$3:$D$636,49,FALSE)</f>
        <v>Minoritarios</v>
      </c>
      <c r="B80" s="44">
        <v>-87.6366329488076</v>
      </c>
      <c r="C80" s="44">
        <v>-100.22423946065672</v>
      </c>
      <c r="D80" s="44">
        <v>-102.8701958548434</v>
      </c>
      <c r="E80" s="45">
        <v>-108.24634327866403</v>
      </c>
      <c r="F80" s="44">
        <v>147.041475293611</v>
      </c>
      <c r="G80" s="44">
        <v>2.6467093573459692</v>
      </c>
      <c r="H80" s="44">
        <v>-60.791368755242914</v>
      </c>
      <c r="I80" s="44">
        <v>-118.06581567571408</v>
      </c>
    </row>
    <row r="81" spans="1:9" ht="15">
      <c r="A81" s="47" t="str">
        <f>HLOOKUP(INDICE!$F$2,Nombres!$C$3:$D$636,50,FALSE)</f>
        <v>Resultado atribuido</v>
      </c>
      <c r="B81" s="47">
        <f>+B79+B80</f>
        <v>85.15191909873707</v>
      </c>
      <c r="C81" s="47">
        <f aca="true" t="shared" si="13" ref="C81:I81">+C79+C80</f>
        <v>97.86256261598956</v>
      </c>
      <c r="D81" s="47">
        <f t="shared" si="13"/>
        <v>100.37598203285746</v>
      </c>
      <c r="E81" s="47">
        <f t="shared" si="13"/>
        <v>105.34014481096153</v>
      </c>
      <c r="F81" s="51">
        <f t="shared" si="13"/>
        <v>-145.1641509289689</v>
      </c>
      <c r="G81" s="51">
        <f t="shared" si="13"/>
        <v>70.78143776737778</v>
      </c>
      <c r="H81" s="51">
        <f t="shared" si="13"/>
        <v>259.26005778781183</v>
      </c>
      <c r="I81" s="51">
        <f t="shared" si="13"/>
        <v>324.4408449337795</v>
      </c>
    </row>
    <row r="82" spans="1:9" ht="15">
      <c r="A82" s="62"/>
      <c r="B82" s="63">
        <v>0</v>
      </c>
      <c r="C82" s="63">
        <v>0</v>
      </c>
      <c r="D82" s="63">
        <v>0</v>
      </c>
      <c r="E82" s="63">
        <v>-1.7053025658242404E-13</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3254.9579724964524</v>
      </c>
      <c r="C87" s="44">
        <v>3441.1776968644444</v>
      </c>
      <c r="D87" s="44">
        <v>3227.6913892840203</v>
      </c>
      <c r="E87" s="45">
        <v>5923.878870624918</v>
      </c>
      <c r="F87" s="44">
        <v>6464.328121333834</v>
      </c>
      <c r="G87" s="44">
        <v>6985.122593782774</v>
      </c>
      <c r="H87" s="44">
        <v>7345.893321861251</v>
      </c>
      <c r="I87" s="44">
        <v>6061.198</v>
      </c>
    </row>
    <row r="88" spans="1:9" ht="15">
      <c r="A88" s="43" t="str">
        <f>HLOOKUP(INDICE!$F$2,Nombres!$C$3:$D$636,53,FALSE)</f>
        <v>Activos financieros a valor razonable</v>
      </c>
      <c r="B88" s="58">
        <v>2675.2495967962577</v>
      </c>
      <c r="C88" s="58">
        <v>2664.1552650451454</v>
      </c>
      <c r="D88" s="58">
        <v>2794.256554552612</v>
      </c>
      <c r="E88" s="64">
        <v>4035.8432343890718</v>
      </c>
      <c r="F88" s="44">
        <v>4222.552865526113</v>
      </c>
      <c r="G88" s="44">
        <v>4857.091437594316</v>
      </c>
      <c r="H88" s="44">
        <v>5034.161303561111</v>
      </c>
      <c r="I88" s="44">
        <v>5203.253</v>
      </c>
    </row>
    <row r="89" spans="1:9" ht="15">
      <c r="A89" s="43" t="str">
        <f>HLOOKUP(INDICE!$F$2,Nombres!$C$3:$D$636,54,FALSE)</f>
        <v>Activos financieros a coste amortizado</v>
      </c>
      <c r="B89" s="44">
        <v>21741.014943757822</v>
      </c>
      <c r="C89" s="44">
        <v>23525.630503728124</v>
      </c>
      <c r="D89" s="44">
        <v>24703.885850550578</v>
      </c>
      <c r="E89" s="45">
        <v>31698.597828442442</v>
      </c>
      <c r="F89" s="44">
        <v>35889.035782809304</v>
      </c>
      <c r="G89" s="44">
        <v>41960.072926269946</v>
      </c>
      <c r="H89" s="44">
        <v>47101.39890856989</v>
      </c>
      <c r="I89" s="44">
        <v>51621.424000000006</v>
      </c>
    </row>
    <row r="90" spans="1:9" ht="15">
      <c r="A90" s="43" t="str">
        <f>HLOOKUP(INDICE!$F$2,Nombres!$C$3:$D$636,55,FALSE)</f>
        <v>    de los que préstamos y anticipos a la clientela</v>
      </c>
      <c r="B90" s="44">
        <v>17953.97137729319</v>
      </c>
      <c r="C90" s="44">
        <v>19081.49420456476</v>
      </c>
      <c r="D90" s="44">
        <v>20082.009397259553</v>
      </c>
      <c r="E90" s="45">
        <v>23969.443644823717</v>
      </c>
      <c r="F90" s="44">
        <v>27505.34965793102</v>
      </c>
      <c r="G90" s="44">
        <v>30895.89259023158</v>
      </c>
      <c r="H90" s="44">
        <v>33422.08871330514</v>
      </c>
      <c r="I90" s="44">
        <v>37442.536</v>
      </c>
    </row>
    <row r="91" spans="1:9" ht="15" customHeight="1" hidden="1">
      <c r="A91" s="43"/>
      <c r="B91" s="44"/>
      <c r="C91" s="44"/>
      <c r="D91" s="44"/>
      <c r="E91" s="45"/>
      <c r="F91" s="44"/>
      <c r="G91" s="44"/>
      <c r="H91" s="44"/>
      <c r="I91" s="44"/>
    </row>
    <row r="92" spans="1:9" ht="15">
      <c r="A92" s="43" t="str">
        <f>HLOOKUP(INDICE!$F$2,Nombres!$C$3:$D$636,56,FALSE)</f>
        <v>Activos tangibles</v>
      </c>
      <c r="B92" s="44">
        <v>424.3867074221413</v>
      </c>
      <c r="C92" s="44">
        <v>420.90246542761406</v>
      </c>
      <c r="D92" s="44">
        <v>439.0968838125639</v>
      </c>
      <c r="E92" s="45">
        <v>475.56073964663256</v>
      </c>
      <c r="F92" s="44">
        <v>747.955756393304</v>
      </c>
      <c r="G92" s="44">
        <v>835.6114246777743</v>
      </c>
      <c r="H92" s="44">
        <v>897.0403047182162</v>
      </c>
      <c r="I92" s="44">
        <v>1212.83</v>
      </c>
    </row>
    <row r="93" spans="1:9" ht="15">
      <c r="A93" s="43" t="str">
        <f>HLOOKUP(INDICE!$F$2,Nombres!$C$3:$D$636,57,FALSE)</f>
        <v>Otros activos</v>
      </c>
      <c r="B93" s="58">
        <f>+B94-B92-B89-B88-B87</f>
        <v>583.1142129445616</v>
      </c>
      <c r="C93" s="58">
        <f aca="true" t="shared" si="15" ref="C93:I93">+C94-C92-C89-C88-C87</f>
        <v>574.4124068250562</v>
      </c>
      <c r="D93" s="58">
        <f t="shared" si="15"/>
        <v>582.6314171538761</v>
      </c>
      <c r="E93" s="64">
        <f t="shared" si="15"/>
        <v>781.7865253746522</v>
      </c>
      <c r="F93" s="44">
        <f t="shared" si="15"/>
        <v>820.1825620514373</v>
      </c>
      <c r="G93" s="44">
        <f t="shared" si="15"/>
        <v>1017.7586707515193</v>
      </c>
      <c r="H93" s="44">
        <f t="shared" si="15"/>
        <v>1617.3549624977932</v>
      </c>
      <c r="I93" s="44">
        <f t="shared" si="15"/>
        <v>1944.4850485300058</v>
      </c>
    </row>
    <row r="94" spans="1:9" ht="15">
      <c r="A94" s="47" t="str">
        <f>HLOOKUP(INDICE!$F$2,Nombres!$C$3:$D$636,58,FALSE)</f>
        <v>Total activo / pasivo</v>
      </c>
      <c r="B94" s="47">
        <v>28678.723433417235</v>
      </c>
      <c r="C94" s="47">
        <v>30626.278337890384</v>
      </c>
      <c r="D94" s="47">
        <v>31747.56209535365</v>
      </c>
      <c r="E94" s="47">
        <v>42915.66719847771</v>
      </c>
      <c r="F94" s="47">
        <v>48144.05508811399</v>
      </c>
      <c r="G94" s="47">
        <v>55655.65705307633</v>
      </c>
      <c r="H94" s="47">
        <v>61995.84880120827</v>
      </c>
      <c r="I94" s="47">
        <v>66043.19004853001</v>
      </c>
    </row>
    <row r="95" spans="1:9" ht="15">
      <c r="A95" s="43" t="str">
        <f>HLOOKUP(INDICE!$F$2,Nombres!$C$3:$D$636,59,FALSE)</f>
        <v>Pasivos financieros mantenidos para negociar y designados a valor razonable con cambios en resultados</v>
      </c>
      <c r="B95" s="58">
        <v>1004.2480340512163</v>
      </c>
      <c r="C95" s="58">
        <v>1018.2072905969052</v>
      </c>
      <c r="D95" s="58">
        <v>1030.9509722697917</v>
      </c>
      <c r="E95" s="64">
        <v>1733.4047268403294</v>
      </c>
      <c r="F95" s="44">
        <v>1792.6702282836584</v>
      </c>
      <c r="G95" s="44">
        <v>2065.763611847868</v>
      </c>
      <c r="H95" s="44">
        <v>2190.1870547584404</v>
      </c>
      <c r="I95" s="44">
        <v>2137.822</v>
      </c>
    </row>
    <row r="96" spans="1:9" ht="15">
      <c r="A96" s="43" t="str">
        <f>HLOOKUP(INDICE!$F$2,Nombres!$C$3:$D$636,60,FALSE)</f>
        <v>Depósitos de bancos centrales y entidades de crédito</v>
      </c>
      <c r="B96" s="58">
        <v>2275.4792210362193</v>
      </c>
      <c r="C96" s="58">
        <v>1938.2412957777212</v>
      </c>
      <c r="D96" s="58">
        <v>2001.3344737180882</v>
      </c>
      <c r="E96" s="64">
        <v>3118.251646254687</v>
      </c>
      <c r="F96" s="44">
        <v>2999.098874795319</v>
      </c>
      <c r="G96" s="44">
        <v>4604.418023251033</v>
      </c>
      <c r="H96" s="44">
        <v>3622.62795544221</v>
      </c>
      <c r="I96" s="44">
        <v>2871.904</v>
      </c>
    </row>
    <row r="97" spans="1:9" ht="15">
      <c r="A97" s="43" t="str">
        <f>HLOOKUP(INDICE!$F$2,Nombres!$C$3:$D$636,61,FALSE)</f>
        <v>Depósitos de la clientela</v>
      </c>
      <c r="B97" s="58">
        <v>18553.451339627958</v>
      </c>
      <c r="C97" s="58">
        <v>20605.116650410077</v>
      </c>
      <c r="D97" s="58">
        <v>21293.589896680096</v>
      </c>
      <c r="E97" s="64">
        <v>29254.884210124736</v>
      </c>
      <c r="F97" s="44">
        <v>32749.63684973146</v>
      </c>
      <c r="G97" s="44">
        <v>37037.43693348097</v>
      </c>
      <c r="H97" s="44">
        <v>42751.36710889696</v>
      </c>
      <c r="I97" s="44">
        <v>46339.215</v>
      </c>
    </row>
    <row r="98" spans="1:9" ht="15">
      <c r="A98" s="43" t="str">
        <f>HLOOKUP(INDICE!$F$2,Nombres!$C$3:$D$636,62,FALSE)</f>
        <v>Valores representativos de deuda emitidos</v>
      </c>
      <c r="B98" s="44">
        <v>2066.663033060594</v>
      </c>
      <c r="C98" s="44">
        <v>2000.4106453641239</v>
      </c>
      <c r="D98" s="44">
        <v>2048.2929538343033</v>
      </c>
      <c r="E98" s="45">
        <v>2760.7375208974504</v>
      </c>
      <c r="F98" s="44">
        <v>2893.601196056731</v>
      </c>
      <c r="G98" s="44">
        <v>3381.2060210012887</v>
      </c>
      <c r="H98" s="44">
        <v>3060.612948593872</v>
      </c>
      <c r="I98" s="44">
        <v>3235.59943234</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1639.0871011333556</v>
      </c>
      <c r="C100" s="58">
        <f aca="true" t="shared" si="16" ref="C100:I100">+C94-C95-C96-C97-C98-C101</f>
        <v>1905.029511152824</v>
      </c>
      <c r="D100" s="58">
        <f t="shared" si="16"/>
        <v>1926.6289893462117</v>
      </c>
      <c r="E100" s="64">
        <f t="shared" si="16"/>
        <v>1652.4483942549778</v>
      </c>
      <c r="F100" s="44">
        <f t="shared" si="16"/>
        <v>2487.0367542272797</v>
      </c>
      <c r="G100" s="44">
        <f t="shared" si="16"/>
        <v>2648.9691498018437</v>
      </c>
      <c r="H100" s="44">
        <f t="shared" si="16"/>
        <v>4425.324649553666</v>
      </c>
      <c r="I100" s="44">
        <f t="shared" si="16"/>
        <v>4748.103774030014</v>
      </c>
    </row>
    <row r="101" spans="1:9" ht="15">
      <c r="A101" s="43" t="str">
        <f>HLOOKUP(INDICE!$F$2,Nombres!$C$3:$D$636,282,FALSE)</f>
        <v>Dotación de capital regulatorio</v>
      </c>
      <c r="B101" s="44">
        <v>3139.794704507891</v>
      </c>
      <c r="C101" s="44">
        <v>3159.272944588737</v>
      </c>
      <c r="D101" s="44">
        <v>3446.764809505158</v>
      </c>
      <c r="E101" s="44">
        <v>4395.940700105535</v>
      </c>
      <c r="F101" s="44">
        <v>5222.011185019549</v>
      </c>
      <c r="G101" s="44">
        <v>5917.863313693324</v>
      </c>
      <c r="H101" s="44">
        <v>5945.729083963124</v>
      </c>
      <c r="I101" s="44">
        <v>6710.54584216</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19126.949128247816</v>
      </c>
      <c r="C107" s="44">
        <v>20257.700693404884</v>
      </c>
      <c r="D107" s="44">
        <v>21327.162954035866</v>
      </c>
      <c r="E107" s="45">
        <v>25523.447735873782</v>
      </c>
      <c r="F107" s="44">
        <v>29219.720918606392</v>
      </c>
      <c r="G107" s="44">
        <v>32756.470379760387</v>
      </c>
      <c r="H107" s="44">
        <v>35391.71295441438</v>
      </c>
      <c r="I107" s="44">
        <v>39547.111000000004</v>
      </c>
    </row>
    <row r="108" spans="1:9" ht="15">
      <c r="A108" s="43" t="str">
        <f>HLOOKUP(INDICE!$F$2,Nombres!$C$3:$D$636,67,FALSE)</f>
        <v>Depósitos de clientes en gestión (**)</v>
      </c>
      <c r="B108" s="44">
        <v>18552.245267972197</v>
      </c>
      <c r="C108" s="44">
        <v>20604.026904506012</v>
      </c>
      <c r="D108" s="44">
        <v>21292.42158647068</v>
      </c>
      <c r="E108" s="45">
        <v>29250.066539162206</v>
      </c>
      <c r="F108" s="44">
        <v>32748.18843953155</v>
      </c>
      <c r="G108" s="44">
        <v>37036.1259556148</v>
      </c>
      <c r="H108" s="44">
        <v>42749.3272593009</v>
      </c>
      <c r="I108" s="44">
        <v>45591.769</v>
      </c>
    </row>
    <row r="109" spans="1:9" ht="15">
      <c r="A109" s="43" t="str">
        <f>HLOOKUP(INDICE!$F$2,Nombres!$C$3:$D$636,68,FALSE)</f>
        <v>Fondos de inversión y carteras gestionadas</v>
      </c>
      <c r="B109" s="44">
        <v>600.4166649979422</v>
      </c>
      <c r="C109" s="44">
        <v>751.1823231785859</v>
      </c>
      <c r="D109" s="44">
        <v>1020.5285104192089</v>
      </c>
      <c r="E109" s="45">
        <v>1313.756133660576</v>
      </c>
      <c r="F109" s="44">
        <v>1703.2162186065245</v>
      </c>
      <c r="G109" s="44">
        <v>2012.4620802596967</v>
      </c>
      <c r="H109" s="44">
        <v>2416.611265714944</v>
      </c>
      <c r="I109" s="44">
        <v>3730.904</v>
      </c>
    </row>
    <row r="110" spans="1:9" ht="15">
      <c r="A110" s="43" t="str">
        <f>HLOOKUP(INDICE!$F$2,Nombres!$C$3:$D$636,69,FALSE)</f>
        <v>Fondos de pensiones</v>
      </c>
      <c r="B110" s="44">
        <v>1185.6712167370933</v>
      </c>
      <c r="C110" s="44">
        <v>1283.2280147182348</v>
      </c>
      <c r="D110" s="44">
        <v>1334.0766643053307</v>
      </c>
      <c r="E110" s="45">
        <v>1657.957893648307</v>
      </c>
      <c r="F110" s="44">
        <v>1902.7861030590748</v>
      </c>
      <c r="G110" s="44">
        <v>2260.64034150928</v>
      </c>
      <c r="H110" s="44">
        <v>2629.117941572271</v>
      </c>
      <c r="I110" s="44">
        <v>3204.8</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4721.452565633921</v>
      </c>
      <c r="C120" s="41">
        <v>5146.425546600154</v>
      </c>
      <c r="D120" s="41">
        <v>6161.864859102583</v>
      </c>
      <c r="E120" s="42">
        <v>8873.607861649794</v>
      </c>
      <c r="F120" s="50">
        <v>8085.936720550397</v>
      </c>
      <c r="G120" s="50">
        <v>12060.242159363977</v>
      </c>
      <c r="H120" s="50">
        <v>15579.34043331106</v>
      </c>
      <c r="I120" s="50">
        <v>16796.642229488996</v>
      </c>
    </row>
    <row r="121" spans="1:9" ht="15">
      <c r="A121" s="43" t="str">
        <f>HLOOKUP(INDICE!$F$2,Nombres!$C$3:$D$636,34,FALSE)</f>
        <v>Comisiones netas</v>
      </c>
      <c r="B121" s="44">
        <v>1376.5750852737165</v>
      </c>
      <c r="C121" s="44">
        <v>1452.243876657029</v>
      </c>
      <c r="D121" s="44">
        <v>1471.8544436189177</v>
      </c>
      <c r="E121" s="45">
        <v>1629.5378759638174</v>
      </c>
      <c r="F121" s="44">
        <v>2163.461765440714</v>
      </c>
      <c r="G121" s="44">
        <v>2941.0025171011393</v>
      </c>
      <c r="H121" s="44">
        <v>3072.659377097792</v>
      </c>
      <c r="I121" s="44">
        <v>3537.2614308941324</v>
      </c>
    </row>
    <row r="122" spans="1:9" ht="15">
      <c r="A122" s="43" t="str">
        <f>HLOOKUP(INDICE!$F$2,Nombres!$C$3:$D$636,35,FALSE)</f>
        <v>Resultados de operaciones financieras</v>
      </c>
      <c r="B122" s="44">
        <v>1120.1272270976117</v>
      </c>
      <c r="C122" s="44">
        <v>590.8432285570483</v>
      </c>
      <c r="D122" s="44">
        <v>607.4327596606674</v>
      </c>
      <c r="E122" s="45">
        <v>2023.7445483959646</v>
      </c>
      <c r="F122" s="44">
        <v>2848.051069104657</v>
      </c>
      <c r="G122" s="44">
        <v>3995.4554029250994</v>
      </c>
      <c r="H122" s="44">
        <v>3849.8388565604087</v>
      </c>
      <c r="I122" s="44">
        <v>4109.689657133624</v>
      </c>
    </row>
    <row r="123" spans="1:9" ht="15">
      <c r="A123" s="43" t="str">
        <f>HLOOKUP(INDICE!$F$2,Nombres!$C$3:$D$636,36,FALSE)</f>
        <v>Otros ingresos y cargas de explotación</v>
      </c>
      <c r="B123" s="44">
        <v>217.89687296008864</v>
      </c>
      <c r="C123" s="44">
        <v>337.80854934632384</v>
      </c>
      <c r="D123" s="44">
        <v>232.11667300202782</v>
      </c>
      <c r="E123" s="45">
        <v>-8.898940966899346</v>
      </c>
      <c r="F123" s="44">
        <v>-4903.33323367084</v>
      </c>
      <c r="G123" s="44">
        <v>-3941.7476601943977</v>
      </c>
      <c r="H123" s="44">
        <v>-3121.9637764208246</v>
      </c>
      <c r="I123" s="44">
        <v>-3476.0450585131257</v>
      </c>
    </row>
    <row r="124" spans="1:9" ht="15">
      <c r="A124" s="41" t="str">
        <f>HLOOKUP(INDICE!$F$2,Nombres!$C$3:$D$636,37,FALSE)</f>
        <v>Margen bruto</v>
      </c>
      <c r="B124" s="41">
        <f>+SUM(B120:B123)</f>
        <v>7436.051750965337</v>
      </c>
      <c r="C124" s="41">
        <f aca="true" t="shared" si="19" ref="C124:I124">+SUM(C120:C123)</f>
        <v>7527.321201160555</v>
      </c>
      <c r="D124" s="41">
        <f t="shared" si="19"/>
        <v>8473.268735384197</v>
      </c>
      <c r="E124" s="42">
        <f t="shared" si="19"/>
        <v>12517.991345042677</v>
      </c>
      <c r="F124" s="50">
        <f t="shared" si="19"/>
        <v>8194.116321424928</v>
      </c>
      <c r="G124" s="50">
        <f t="shared" si="19"/>
        <v>15054.95241919582</v>
      </c>
      <c r="H124" s="50">
        <f t="shared" si="19"/>
        <v>19379.874890548435</v>
      </c>
      <c r="I124" s="50">
        <f t="shared" si="19"/>
        <v>20967.548259003626</v>
      </c>
    </row>
    <row r="125" spans="1:9" ht="15">
      <c r="A125" s="43" t="str">
        <f>HLOOKUP(INDICE!$F$2,Nombres!$C$3:$D$636,38,FALSE)</f>
        <v>Gastos de explotación</v>
      </c>
      <c r="B125" s="44">
        <v>-2365.2354619250873</v>
      </c>
      <c r="C125" s="44">
        <v>-2389.089755461043</v>
      </c>
      <c r="D125" s="44">
        <v>-2382.151977315596</v>
      </c>
      <c r="E125" s="45">
        <v>-3472.245387374105</v>
      </c>
      <c r="F125" s="44">
        <v>-3894.4519147851233</v>
      </c>
      <c r="G125" s="44">
        <v>-4762.465252783437</v>
      </c>
      <c r="H125" s="44">
        <v>-5634.348832526335</v>
      </c>
      <c r="I125" s="44">
        <v>-7005.181804096836</v>
      </c>
    </row>
    <row r="126" spans="1:9" ht="15">
      <c r="A126" s="43" t="str">
        <f>HLOOKUP(INDICE!$F$2,Nombres!$C$3:$D$636,39,FALSE)</f>
        <v>  Gastos de administración</v>
      </c>
      <c r="B126" s="44">
        <v>-2064.129247350116</v>
      </c>
      <c r="C126" s="44">
        <v>-2084.6363538483924</v>
      </c>
      <c r="D126" s="44">
        <v>-2070.078871715924</v>
      </c>
      <c r="E126" s="45">
        <v>-3146.1595858550645</v>
      </c>
      <c r="F126" s="44">
        <v>-3417.0870851737423</v>
      </c>
      <c r="G126" s="44">
        <v>-4135.447905544015</v>
      </c>
      <c r="H126" s="44">
        <v>-5002.800906700932</v>
      </c>
      <c r="I126" s="44">
        <v>-6174.282851561977</v>
      </c>
    </row>
    <row r="127" spans="1:9" ht="15">
      <c r="A127" s="46" t="str">
        <f>HLOOKUP(INDICE!$F$2,Nombres!$C$3:$D$636,40,FALSE)</f>
        <v>  Gastos de personal</v>
      </c>
      <c r="B127" s="44">
        <v>-1264.9005224716536</v>
      </c>
      <c r="C127" s="44">
        <v>-1416.4184539172606</v>
      </c>
      <c r="D127" s="44">
        <v>-1408.8143208777228</v>
      </c>
      <c r="E127" s="45">
        <v>-2142.9759672857167</v>
      </c>
      <c r="F127" s="44">
        <v>-2141.9412056218252</v>
      </c>
      <c r="G127" s="44">
        <v>-2708.592429766045</v>
      </c>
      <c r="H127" s="44">
        <v>-3355.775146148556</v>
      </c>
      <c r="I127" s="44">
        <v>-3634.300760227474</v>
      </c>
    </row>
    <row r="128" spans="1:9" ht="15">
      <c r="A128" s="46" t="str">
        <f>HLOOKUP(INDICE!$F$2,Nombres!$C$3:$D$636,41,FALSE)</f>
        <v>  Otros gastos de administración</v>
      </c>
      <c r="B128" s="44">
        <v>-799.2287248784631</v>
      </c>
      <c r="C128" s="44">
        <v>-668.2178999311319</v>
      </c>
      <c r="D128" s="44">
        <v>-661.2645508382009</v>
      </c>
      <c r="E128" s="45">
        <v>-1003.1836185693477</v>
      </c>
      <c r="F128" s="44">
        <v>-1275.1458795519172</v>
      </c>
      <c r="G128" s="44">
        <v>-1426.855475777971</v>
      </c>
      <c r="H128" s="44">
        <v>-1647.0257605523764</v>
      </c>
      <c r="I128" s="44">
        <v>-2539.982091334502</v>
      </c>
    </row>
    <row r="129" spans="1:9" ht="15">
      <c r="A129" s="43" t="str">
        <f>HLOOKUP(INDICE!$F$2,Nombres!$C$3:$D$636,42,FALSE)</f>
        <v>  Amortización</v>
      </c>
      <c r="B129" s="44">
        <v>-301.10621457497064</v>
      </c>
      <c r="C129" s="44">
        <v>-304.4534016126509</v>
      </c>
      <c r="D129" s="44">
        <v>-312.07310559967175</v>
      </c>
      <c r="E129" s="45">
        <v>-326.085801519041</v>
      </c>
      <c r="F129" s="44">
        <v>-477.3648296113805</v>
      </c>
      <c r="G129" s="44">
        <v>-627.0173472394213</v>
      </c>
      <c r="H129" s="44">
        <v>-631.5479258254034</v>
      </c>
      <c r="I129" s="44">
        <v>-830.8989525348593</v>
      </c>
    </row>
    <row r="130" spans="1:9" ht="15">
      <c r="A130" s="41" t="str">
        <f>HLOOKUP(INDICE!$F$2,Nombres!$C$3:$D$636,43,FALSE)</f>
        <v>Margen neto</v>
      </c>
      <c r="B130" s="41">
        <f>+B124+B125</f>
        <v>5070.81628904025</v>
      </c>
      <c r="C130" s="41">
        <f aca="true" t="shared" si="20" ref="C130:I130">+C124+C125</f>
        <v>5138.231445699512</v>
      </c>
      <c r="D130" s="41">
        <f t="shared" si="20"/>
        <v>6091.1167580686015</v>
      </c>
      <c r="E130" s="42">
        <f t="shared" si="20"/>
        <v>9045.745957668572</v>
      </c>
      <c r="F130" s="50">
        <f t="shared" si="20"/>
        <v>4299.664406639805</v>
      </c>
      <c r="G130" s="50">
        <f t="shared" si="20"/>
        <v>10292.487166412384</v>
      </c>
      <c r="H130" s="50">
        <f t="shared" si="20"/>
        <v>13745.5260580221</v>
      </c>
      <c r="I130" s="50">
        <f t="shared" si="20"/>
        <v>13962.36645490679</v>
      </c>
    </row>
    <row r="131" spans="1:9" ht="15">
      <c r="A131" s="43" t="str">
        <f>HLOOKUP(INDICE!$F$2,Nombres!$C$3:$D$636,44,FALSE)</f>
        <v>Deterioro de activos financieros no valorados a valor razonable con cambios en resultados</v>
      </c>
      <c r="B131" s="44">
        <v>-1095.190338649602</v>
      </c>
      <c r="C131" s="44">
        <v>-502.587741870872</v>
      </c>
      <c r="D131" s="44">
        <v>-683.1939486063164</v>
      </c>
      <c r="E131" s="45">
        <v>-2910.829852269021</v>
      </c>
      <c r="F131" s="44">
        <v>-1561.1632061397295</v>
      </c>
      <c r="G131" s="44">
        <v>-1407.0307820463956</v>
      </c>
      <c r="H131" s="44">
        <v>-2182.7725514235135</v>
      </c>
      <c r="I131" s="44">
        <v>-2568.122662254502</v>
      </c>
    </row>
    <row r="132" spans="1:9" ht="15">
      <c r="A132" s="43" t="str">
        <f>HLOOKUP(INDICE!$F$2,Nombres!$C$3:$D$636,45,FALSE)</f>
        <v>Provisiones o reversión de provisiones y otros resultados</v>
      </c>
      <c r="B132" s="44">
        <v>310.35147904012643</v>
      </c>
      <c r="C132" s="44">
        <v>143.16082745784246</v>
      </c>
      <c r="D132" s="44">
        <v>121.93756813943114</v>
      </c>
      <c r="E132" s="45">
        <v>-224.5267960385086</v>
      </c>
      <c r="F132" s="44">
        <v>-176.2233330631111</v>
      </c>
      <c r="G132" s="44">
        <v>-413.1230729394514</v>
      </c>
      <c r="H132" s="44">
        <v>-697.1202998046298</v>
      </c>
      <c r="I132" s="44">
        <v>-473.37933429306645</v>
      </c>
    </row>
    <row r="133" spans="1:9" ht="15">
      <c r="A133" s="41" t="str">
        <f>HLOOKUP(INDICE!$F$2,Nombres!$C$3:$D$636,46,FALSE)</f>
        <v>Resultado antes de impuestos</v>
      </c>
      <c r="B133" s="41">
        <f>+B130+B131+B132</f>
        <v>4285.9774294307745</v>
      </c>
      <c r="C133" s="41">
        <f aca="true" t="shared" si="21" ref="C133:I133">+C130+C131+C132</f>
        <v>4778.8045312864815</v>
      </c>
      <c r="D133" s="41">
        <f t="shared" si="21"/>
        <v>5529.860377601716</v>
      </c>
      <c r="E133" s="42">
        <f t="shared" si="21"/>
        <v>5910.389309361042</v>
      </c>
      <c r="F133" s="50">
        <f t="shared" si="21"/>
        <v>2562.2778674369642</v>
      </c>
      <c r="G133" s="50">
        <f t="shared" si="21"/>
        <v>8472.333311426537</v>
      </c>
      <c r="H133" s="50">
        <f t="shared" si="21"/>
        <v>10865.633206793957</v>
      </c>
      <c r="I133" s="50">
        <f t="shared" si="21"/>
        <v>10920.864458359223</v>
      </c>
    </row>
    <row r="134" spans="1:9" ht="15">
      <c r="A134" s="43" t="str">
        <f>HLOOKUP(INDICE!$F$2,Nombres!$C$3:$D$636,47,FALSE)</f>
        <v>Impuesto sobre beneficios</v>
      </c>
      <c r="B134" s="44">
        <v>-836.2712666569346</v>
      </c>
      <c r="C134" s="44">
        <v>-824.0213365066566</v>
      </c>
      <c r="D134" s="44">
        <v>-1472.070760691771</v>
      </c>
      <c r="E134" s="45">
        <v>-1646.1564333006968</v>
      </c>
      <c r="F134" s="44">
        <v>-5025.122443033179</v>
      </c>
      <c r="G134" s="44">
        <v>-5988.89822149401</v>
      </c>
      <c r="H134" s="44">
        <v>-5107.909716022462</v>
      </c>
      <c r="I134" s="44">
        <v>-5948.3355770134285</v>
      </c>
    </row>
    <row r="135" spans="1:9" ht="15">
      <c r="A135" s="41" t="str">
        <f>HLOOKUP(INDICE!$F$2,Nombres!$C$3:$D$636,48,FALSE)</f>
        <v>Resultado del ejercicio</v>
      </c>
      <c r="B135" s="41">
        <f>+B133+B134</f>
        <v>3449.70616277384</v>
      </c>
      <c r="C135" s="41">
        <f aca="true" t="shared" si="22" ref="C135:I135">+C133+C134</f>
        <v>3954.783194779825</v>
      </c>
      <c r="D135" s="41">
        <f t="shared" si="22"/>
        <v>4057.789616909945</v>
      </c>
      <c r="E135" s="42">
        <f t="shared" si="22"/>
        <v>4264.232876060345</v>
      </c>
      <c r="F135" s="50">
        <f t="shared" si="22"/>
        <v>-2462.8445755962143</v>
      </c>
      <c r="G135" s="50">
        <f t="shared" si="22"/>
        <v>2483.4350899325273</v>
      </c>
      <c r="H135" s="50">
        <f t="shared" si="22"/>
        <v>5757.723490771495</v>
      </c>
      <c r="I135" s="50">
        <f t="shared" si="22"/>
        <v>4972.528881345795</v>
      </c>
    </row>
    <row r="136" spans="1:9" ht="15">
      <c r="A136" s="43" t="str">
        <f>HLOOKUP(INDICE!$F$2,Nombres!$C$3:$D$636,49,FALSE)</f>
        <v>Minoritarios</v>
      </c>
      <c r="B136" s="44">
        <v>-1749.6566131595564</v>
      </c>
      <c r="C136" s="44">
        <v>-2000.966918407959</v>
      </c>
      <c r="D136" s="44">
        <v>-2053.793173222254</v>
      </c>
      <c r="E136" s="45">
        <v>-2161.1274189240844</v>
      </c>
      <c r="F136" s="44">
        <v>1237.5036469020229</v>
      </c>
      <c r="G136" s="44">
        <v>-192.3114887242574</v>
      </c>
      <c r="H136" s="44">
        <v>-746.4609115419806</v>
      </c>
      <c r="I136" s="44">
        <v>-881.0874103434762</v>
      </c>
    </row>
    <row r="137" spans="1:9" ht="15">
      <c r="A137" s="47" t="str">
        <f>HLOOKUP(INDICE!$F$2,Nombres!$C$3:$D$636,50,FALSE)</f>
        <v>Resultado atribuido</v>
      </c>
      <c r="B137" s="47">
        <f>+B135+B136</f>
        <v>1700.0495496142835</v>
      </c>
      <c r="C137" s="47">
        <f aca="true" t="shared" si="23" ref="C137:I137">+C135+C136</f>
        <v>1953.816276371866</v>
      </c>
      <c r="D137" s="47">
        <f t="shared" si="23"/>
        <v>2003.9964436876908</v>
      </c>
      <c r="E137" s="47">
        <f t="shared" si="23"/>
        <v>2103.1054571362606</v>
      </c>
      <c r="F137" s="51">
        <f t="shared" si="23"/>
        <v>-1225.3409286941915</v>
      </c>
      <c r="G137" s="51">
        <f t="shared" si="23"/>
        <v>2291.12360120827</v>
      </c>
      <c r="H137" s="51">
        <f t="shared" si="23"/>
        <v>5011.262579229514</v>
      </c>
      <c r="I137" s="51">
        <f t="shared" si="23"/>
        <v>4091.4414710023184</v>
      </c>
    </row>
    <row r="138" spans="1:9" ht="15">
      <c r="A138" s="62"/>
      <c r="B138" s="63">
        <v>0</v>
      </c>
      <c r="C138" s="63">
        <v>0</v>
      </c>
      <c r="D138" s="63">
        <v>1.8189894035458565E-12</v>
      </c>
      <c r="E138" s="63">
        <v>0</v>
      </c>
      <c r="F138" s="63">
        <v>0</v>
      </c>
      <c r="G138" s="63">
        <v>4.547473508864641E-12</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HLOOKUP(INDICE!$F$2,Nombres!$C$3:$D$636,77,FALSE)</f>
        <v>(Millones de liras turcas)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64984.91042509099</v>
      </c>
      <c r="C143" s="44">
        <v>68702.7686001253</v>
      </c>
      <c r="D143" s="44">
        <v>64440.53581791313</v>
      </c>
      <c r="E143" s="45">
        <v>118269.6492641332</v>
      </c>
      <c r="F143" s="44">
        <v>129059.66450961103</v>
      </c>
      <c r="G143" s="44">
        <v>139457.27407260638</v>
      </c>
      <c r="H143" s="44">
        <v>146660.02558161994</v>
      </c>
      <c r="I143" s="44">
        <v>121011.2119501936</v>
      </c>
    </row>
    <row r="144" spans="1:9" ht="15">
      <c r="A144" s="43" t="str">
        <f>HLOOKUP(INDICE!$F$2,Nombres!$C$3:$D$636,53,FALSE)</f>
        <v>Activos financieros a valor razonable</v>
      </c>
      <c r="B144" s="58">
        <v>53411.09067507478</v>
      </c>
      <c r="C144" s="58">
        <v>53189.59345109702</v>
      </c>
      <c r="D144" s="58">
        <v>55787.05268598451</v>
      </c>
      <c r="E144" s="64">
        <v>80575.2065902501</v>
      </c>
      <c r="F144" s="44">
        <v>84302.84570493786</v>
      </c>
      <c r="G144" s="44">
        <v>96971.34484242162</v>
      </c>
      <c r="H144" s="44">
        <v>100506.5270094619</v>
      </c>
      <c r="I144" s="44">
        <v>103882.4258196945</v>
      </c>
    </row>
    <row r="145" spans="1:9" ht="15">
      <c r="A145" s="43" t="str">
        <f>HLOOKUP(INDICE!$F$2,Nombres!$C$3:$D$636,54,FALSE)</f>
        <v>Activos financieros a coste amortizado</v>
      </c>
      <c r="B145" s="44">
        <v>434057.1892506077</v>
      </c>
      <c r="C145" s="44">
        <v>469686.8604438566</v>
      </c>
      <c r="D145" s="44">
        <v>493210.6106176312</v>
      </c>
      <c r="E145" s="45">
        <v>632859.3357850373</v>
      </c>
      <c r="F145" s="44">
        <v>716521.0105001717</v>
      </c>
      <c r="G145" s="44">
        <v>837728.6599656425</v>
      </c>
      <c r="H145" s="44">
        <v>940374.7190696573</v>
      </c>
      <c r="I145" s="44">
        <v>1030616.5680175455</v>
      </c>
    </row>
    <row r="146" spans="1:9" ht="15">
      <c r="A146" s="43" t="str">
        <f>HLOOKUP(INDICE!$F$2,Nombres!$C$3:$D$636,55,FALSE)</f>
        <v>    de los que préstamos y anticipos a la clientela</v>
      </c>
      <c r="B146" s="44">
        <v>358449.2431505018</v>
      </c>
      <c r="C146" s="44">
        <v>380960.123644695</v>
      </c>
      <c r="D146" s="44">
        <v>400935.30941532605</v>
      </c>
      <c r="E146" s="45">
        <v>478547.54542451585</v>
      </c>
      <c r="F146" s="44">
        <v>549141.555385598</v>
      </c>
      <c r="G146" s="44">
        <v>616833.4059746821</v>
      </c>
      <c r="H146" s="44">
        <v>667268.6589522304</v>
      </c>
      <c r="I146" s="44">
        <v>747536.4869863604</v>
      </c>
    </row>
    <row r="147" spans="1:9" ht="15" customHeight="1" hidden="1">
      <c r="A147" s="43"/>
      <c r="B147" s="44"/>
      <c r="C147" s="44"/>
      <c r="D147" s="44"/>
      <c r="E147" s="45"/>
      <c r="F147" s="44"/>
      <c r="G147" s="44"/>
      <c r="H147" s="44"/>
      <c r="I147" s="44"/>
    </row>
    <row r="148" spans="1:9" ht="15">
      <c r="A148" s="43" t="str">
        <f>HLOOKUP(INDICE!$F$2,Nombres!$C$3:$D$636,56,FALSE)</f>
        <v>Activos tangibles</v>
      </c>
      <c r="B148" s="44">
        <v>8472.838175011862</v>
      </c>
      <c r="C148" s="44">
        <v>8403.275632015326</v>
      </c>
      <c r="D148" s="44">
        <v>8766.525375628993</v>
      </c>
      <c r="E148" s="45">
        <v>9494.522610970555</v>
      </c>
      <c r="F148" s="44">
        <v>14000.758994822892</v>
      </c>
      <c r="G148" s="44">
        <v>15957.303552069381</v>
      </c>
      <c r="H148" s="44">
        <v>17369.199358897105</v>
      </c>
      <c r="I148" s="44">
        <v>24214.029666998722</v>
      </c>
    </row>
    <row r="149" spans="1:9" ht="15">
      <c r="A149" s="43" t="str">
        <f>HLOOKUP(INDICE!$F$2,Nombres!$C$3:$D$636,57,FALSE)</f>
        <v>Otros activos</v>
      </c>
      <c r="B149" s="58">
        <f>+B150-B148-B145-B144-B143</f>
        <v>11641.81695001648</v>
      </c>
      <c r="C149" s="58">
        <f aca="true" t="shared" si="25" ref="C149:I149">+C150-C148-C145-C144-C143</f>
        <v>11468.086261020711</v>
      </c>
      <c r="D149" s="58">
        <f t="shared" si="25"/>
        <v>11632.17798033492</v>
      </c>
      <c r="E149" s="64">
        <f t="shared" si="25"/>
        <v>15608.289800451501</v>
      </c>
      <c r="F149" s="44">
        <f t="shared" si="25"/>
        <v>16250.386692026514</v>
      </c>
      <c r="G149" s="44">
        <f t="shared" si="25"/>
        <v>20240.046806402446</v>
      </c>
      <c r="H149" s="44">
        <f t="shared" si="25"/>
        <v>32122.605989179807</v>
      </c>
      <c r="I149" s="44">
        <f t="shared" si="25"/>
        <v>38821.44954539457</v>
      </c>
    </row>
    <row r="150" spans="1:9" ht="15">
      <c r="A150" s="47" t="str">
        <f>HLOOKUP(INDICE!$F$2,Nombres!$C$3:$D$636,58,FALSE)</f>
        <v>Total activo / pasivo</v>
      </c>
      <c r="B150" s="47">
        <v>572567.8454758018</v>
      </c>
      <c r="C150" s="47">
        <v>611450.584388115</v>
      </c>
      <c r="D150" s="47">
        <v>633836.9024774927</v>
      </c>
      <c r="E150" s="70">
        <v>856807.0040508426</v>
      </c>
      <c r="F150" s="51">
        <v>960134.66640157</v>
      </c>
      <c r="G150" s="51">
        <v>1110354.6292391424</v>
      </c>
      <c r="H150" s="51">
        <v>1237033.077008816</v>
      </c>
      <c r="I150" s="51">
        <v>1318545.6849998268</v>
      </c>
    </row>
    <row r="151" spans="1:9" ht="15">
      <c r="A151" s="43" t="str">
        <f>HLOOKUP(INDICE!$F$2,Nombres!$C$3:$D$636,59,FALSE)</f>
        <v>Pasivos financieros mantenidos para negociar y designados a valor razonable con cambios en resultados</v>
      </c>
      <c r="B151" s="58">
        <v>20049.71157502807</v>
      </c>
      <c r="C151" s="58">
        <v>20328.40673603707</v>
      </c>
      <c r="D151" s="58">
        <v>20582.83306626808</v>
      </c>
      <c r="E151" s="64">
        <v>34607.25203089266</v>
      </c>
      <c r="F151" s="44">
        <v>35790.48184065852</v>
      </c>
      <c r="G151" s="44">
        <v>41242.763934179326</v>
      </c>
      <c r="H151" s="44">
        <v>43726.86552954446</v>
      </c>
      <c r="I151" s="44">
        <v>42681.40244779775</v>
      </c>
    </row>
    <row r="152" spans="1:9" ht="15">
      <c r="A152" s="43" t="str">
        <f>HLOOKUP(INDICE!$F$2,Nombres!$C$3:$D$636,60,FALSE)</f>
        <v>Depósitos de bancos centrales y entidades de crédito</v>
      </c>
      <c r="B152" s="58">
        <v>45429.71510006361</v>
      </c>
      <c r="C152" s="58">
        <v>38696.79364607059</v>
      </c>
      <c r="D152" s="58">
        <v>39956.44263433215</v>
      </c>
      <c r="E152" s="64">
        <v>62255.5822923069</v>
      </c>
      <c r="F152" s="44">
        <v>59876.70912539791</v>
      </c>
      <c r="G152" s="44">
        <v>91926.7453923997</v>
      </c>
      <c r="H152" s="44">
        <v>72325.40486760435</v>
      </c>
      <c r="I152" s="44">
        <v>57337.276169596975</v>
      </c>
    </row>
    <row r="153" spans="1:9" ht="15">
      <c r="A153" s="43" t="str">
        <f>HLOOKUP(INDICE!$F$2,Nombres!$C$3:$D$636,61,FALSE)</f>
        <v>Depósitos de la clientela</v>
      </c>
      <c r="B153" s="58">
        <v>370417.8006505186</v>
      </c>
      <c r="C153" s="58">
        <v>411379.0934137504</v>
      </c>
      <c r="D153" s="58">
        <v>425124.392928206</v>
      </c>
      <c r="E153" s="64">
        <v>584070.8377666885</v>
      </c>
      <c r="F153" s="44">
        <v>653843.2247411691</v>
      </c>
      <c r="G153" s="44">
        <v>739448.7246332152</v>
      </c>
      <c r="H153" s="44">
        <v>853526.769192372</v>
      </c>
      <c r="I153" s="44">
        <v>925157.7935534512</v>
      </c>
    </row>
    <row r="154" spans="1:9" ht="15">
      <c r="A154" s="43" t="str">
        <f>HLOOKUP(INDICE!$F$2,Nombres!$C$3:$D$636,62,FALSE)</f>
        <v>Valores representativos de deuda emitidos</v>
      </c>
      <c r="B154" s="44">
        <v>41260.72078874927</v>
      </c>
      <c r="C154" s="44">
        <v>39937.99849362808</v>
      </c>
      <c r="D154" s="44">
        <v>40893.96399400432</v>
      </c>
      <c r="E154" s="45">
        <v>55117.8485309626</v>
      </c>
      <c r="F154" s="44">
        <v>57770.458519149965</v>
      </c>
      <c r="G154" s="44">
        <v>67505.44008868505</v>
      </c>
      <c r="H154" s="44">
        <v>61104.83145737857</v>
      </c>
      <c r="I154" s="44">
        <v>64598.419106721456</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32724.210065416075</v>
      </c>
      <c r="C156" s="58">
        <f aca="true" t="shared" si="26" ref="C156:I156">+C150-C151-C152-C153-C154-C157</f>
        <v>38033.72368721239</v>
      </c>
      <c r="D156" s="58">
        <f t="shared" si="26"/>
        <v>38464.95510939622</v>
      </c>
      <c r="E156" s="64">
        <f t="shared" si="26"/>
        <v>32990.96694645952</v>
      </c>
      <c r="F156" s="44">
        <f t="shared" si="26"/>
        <v>48596.86106740314</v>
      </c>
      <c r="G156" s="44">
        <f t="shared" si="26"/>
        <v>52081.405919113575</v>
      </c>
      <c r="H156" s="44">
        <f t="shared" si="26"/>
        <v>87701.29602863561</v>
      </c>
      <c r="I156" s="44">
        <f t="shared" si="26"/>
        <v>94795.4170381263</v>
      </c>
    </row>
    <row r="157" spans="1:9" ht="15.75" customHeight="1">
      <c r="A157" s="43" t="str">
        <f>HLOOKUP(INDICE!$F$2,Nombres!$C$3:$D$636,282,FALSE)</f>
        <v>Dotación de capital regulatorio</v>
      </c>
      <c r="B157" s="44">
        <v>62685.68729602627</v>
      </c>
      <c r="C157" s="44">
        <v>63074.568411416345</v>
      </c>
      <c r="D157" s="44">
        <v>68814.3147452859</v>
      </c>
      <c r="E157" s="44">
        <v>87764.51648353235</v>
      </c>
      <c r="F157" s="44">
        <v>104256.93110779129</v>
      </c>
      <c r="G157" s="44">
        <v>118149.54927154962</v>
      </c>
      <c r="H157" s="44">
        <v>118647.90993328099</v>
      </c>
      <c r="I157" s="44">
        <v>133975.3766841331</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HLOOKUP(INDICE!$F$2,Nombres!$C$3:$D$636,77,FALSE)</f>
        <v>(Millones de liras turcas)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381867.6266505346</v>
      </c>
      <c r="C163" s="44">
        <v>404442.9685737377</v>
      </c>
      <c r="D163" s="44">
        <v>425794.67566100816</v>
      </c>
      <c r="E163" s="45">
        <v>509573.0817019196</v>
      </c>
      <c r="F163" s="44">
        <v>583368.8061678539</v>
      </c>
      <c r="G163" s="44">
        <v>653979.6554848434</v>
      </c>
      <c r="H163" s="44">
        <v>706592.0099635504</v>
      </c>
      <c r="I163" s="44">
        <v>789554.1164038583</v>
      </c>
    </row>
    <row r="164" spans="1:9" ht="15">
      <c r="A164" s="43" t="str">
        <f>HLOOKUP(INDICE!$F$2,Nombres!$C$3:$D$636,67,FALSE)</f>
        <v>Depósitos de clientes en gestión (**)</v>
      </c>
      <c r="B164" s="44">
        <v>370393.72155051853</v>
      </c>
      <c r="C164" s="44">
        <v>411357.33674575033</v>
      </c>
      <c r="D164" s="44">
        <v>425101.0677317059</v>
      </c>
      <c r="E164" s="45">
        <v>583974.6534476888</v>
      </c>
      <c r="F164" s="44">
        <v>653814.3073763689</v>
      </c>
      <c r="G164" s="44">
        <v>739422.5510912151</v>
      </c>
      <c r="H164" s="44">
        <v>853486.0437991716</v>
      </c>
      <c r="I164" s="44">
        <v>910235.108908052</v>
      </c>
    </row>
    <row r="165" spans="1:9" ht="15">
      <c r="A165" s="43" t="str">
        <f>HLOOKUP(INDICE!$F$2,Nombres!$C$3:$D$636,68,FALSE)</f>
        <v>Fondos de inversión y carteras gestionadas</v>
      </c>
      <c r="B165" s="44">
        <v>11987.258675016783</v>
      </c>
      <c r="C165" s="44">
        <v>14997.279964027355</v>
      </c>
      <c r="D165" s="44">
        <v>20374.749657667388</v>
      </c>
      <c r="E165" s="45">
        <v>26229.00983291865</v>
      </c>
      <c r="F165" s="44">
        <v>34004.5414828556</v>
      </c>
      <c r="G165" s="44">
        <v>40178.60418617469</v>
      </c>
      <c r="H165" s="44">
        <v>48247.40225886973</v>
      </c>
      <c r="I165" s="44">
        <v>74487.12526959607</v>
      </c>
    </row>
    <row r="166" spans="1:9" ht="15">
      <c r="A166" s="43" t="str">
        <f>HLOOKUP(INDICE!$F$2,Nombres!$C$3:$D$636,69,FALSE)</f>
        <v>Fondos de pensiones</v>
      </c>
      <c r="B166" s="44">
        <v>23671.807275033145</v>
      </c>
      <c r="C166" s="44">
        <v>25619.51899104673</v>
      </c>
      <c r="D166" s="44">
        <v>26634.70719518809</v>
      </c>
      <c r="E166" s="45">
        <v>33100.96355089734</v>
      </c>
      <c r="F166" s="44">
        <v>37988.93426896212</v>
      </c>
      <c r="G166" s="44">
        <v>45133.458354196235</v>
      </c>
      <c r="H166" s="44">
        <v>52490.07679169346</v>
      </c>
      <c r="I166" s="44">
        <v>63983.511519996624</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6:E6"/>
    <mergeCell ref="F6:I6"/>
    <mergeCell ref="B62:E62"/>
    <mergeCell ref="F62:I62"/>
    <mergeCell ref="B118:E118"/>
    <mergeCell ref="F118:I118"/>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659.8777555500001</v>
      </c>
      <c r="C8" s="41">
        <v>667.90775358</v>
      </c>
      <c r="D8" s="41">
        <v>732.88197283</v>
      </c>
      <c r="E8" s="42">
        <v>798.53109522</v>
      </c>
      <c r="F8" s="50">
        <v>809.3452602399998</v>
      </c>
      <c r="G8" s="50">
        <v>1039.8659387700002</v>
      </c>
      <c r="H8" s="50">
        <v>1224.3587979000001</v>
      </c>
      <c r="I8" s="50">
        <v>1063.9127855000002</v>
      </c>
    </row>
    <row r="9" spans="1:9" ht="15">
      <c r="A9" s="43" t="str">
        <f>HLOOKUP(INDICE!$F$2,Nombres!$C$3:$D$636,34,FALSE)</f>
        <v>Comisiones netas</v>
      </c>
      <c r="B9" s="44">
        <v>120.15356926</v>
      </c>
      <c r="C9" s="44">
        <v>146.68809574</v>
      </c>
      <c r="D9" s="44">
        <v>159.10616692</v>
      </c>
      <c r="E9" s="45">
        <v>162.84024071</v>
      </c>
      <c r="F9" s="44">
        <v>178.23668924000003</v>
      </c>
      <c r="G9" s="44">
        <v>222.71375805</v>
      </c>
      <c r="H9" s="44">
        <v>207.88465208</v>
      </c>
      <c r="I9" s="44">
        <v>169.62802934</v>
      </c>
    </row>
    <row r="10" spans="1:9" ht="15">
      <c r="A10" s="43" t="str">
        <f>HLOOKUP(INDICE!$F$2,Nombres!$C$3:$D$636,35,FALSE)</f>
        <v>Resultados de operaciones financieras</v>
      </c>
      <c r="B10" s="44">
        <v>74.42403224</v>
      </c>
      <c r="C10" s="44">
        <v>105.54285952999999</v>
      </c>
      <c r="D10" s="44">
        <v>70.48393611000002</v>
      </c>
      <c r="E10" s="45">
        <v>73.96165569</v>
      </c>
      <c r="F10" s="44">
        <v>93.22845095000001</v>
      </c>
      <c r="G10" s="44">
        <v>109.65490933999997</v>
      </c>
      <c r="H10" s="44">
        <v>151.85171411999997</v>
      </c>
      <c r="I10" s="44">
        <v>92.00741371000004</v>
      </c>
    </row>
    <row r="11" spans="1:9" ht="15">
      <c r="A11" s="43" t="str">
        <f>HLOOKUP(INDICE!$F$2,Nombres!$C$3:$D$636,36,FALSE)</f>
        <v>Otros ingresos y cargas de explotación</v>
      </c>
      <c r="B11" s="44">
        <v>-140.19099999999997</v>
      </c>
      <c r="C11" s="44">
        <v>-154.58100000000002</v>
      </c>
      <c r="D11" s="44">
        <v>-148.22700000000003</v>
      </c>
      <c r="E11" s="45">
        <v>-167.86100000000005</v>
      </c>
      <c r="F11" s="44">
        <v>-199.326</v>
      </c>
      <c r="G11" s="44">
        <v>-278.93499999999995</v>
      </c>
      <c r="H11" s="44">
        <v>-391.3800000000001</v>
      </c>
      <c r="I11" s="44">
        <v>-232.45499999999996</v>
      </c>
    </row>
    <row r="12" spans="1:9" ht="15">
      <c r="A12" s="41" t="str">
        <f>HLOOKUP(INDICE!$F$2,Nombres!$C$3:$D$636,37,FALSE)</f>
        <v>Margen bruto</v>
      </c>
      <c r="B12" s="41">
        <f>+SUM(B8:B11)</f>
        <v>714.2643570500002</v>
      </c>
      <c r="C12" s="41">
        <f aca="true" t="shared" si="0" ref="C12:I12">+SUM(C8:C11)</f>
        <v>765.5577088499999</v>
      </c>
      <c r="D12" s="41">
        <f t="shared" si="0"/>
        <v>814.24507586</v>
      </c>
      <c r="E12" s="42">
        <f t="shared" si="0"/>
        <v>867.4719916199999</v>
      </c>
      <c r="F12" s="50">
        <f t="shared" si="0"/>
        <v>881.4844004299998</v>
      </c>
      <c r="G12" s="50">
        <f t="shared" si="0"/>
        <v>1093.2996061600002</v>
      </c>
      <c r="H12" s="50">
        <f t="shared" si="0"/>
        <v>1192.7151641</v>
      </c>
      <c r="I12" s="50">
        <f t="shared" si="0"/>
        <v>1093.0932285500003</v>
      </c>
    </row>
    <row r="13" spans="1:9" ht="15">
      <c r="A13" s="43" t="str">
        <f>HLOOKUP(INDICE!$F$2,Nombres!$C$3:$D$636,38,FALSE)</f>
        <v>Gastos de explotación</v>
      </c>
      <c r="B13" s="44">
        <v>-342.53702811000005</v>
      </c>
      <c r="C13" s="44">
        <v>-350.82946807</v>
      </c>
      <c r="D13" s="44">
        <v>-396.50146483000003</v>
      </c>
      <c r="E13" s="45">
        <v>-432.4261928200001</v>
      </c>
      <c r="F13" s="44">
        <v>-412.74003183</v>
      </c>
      <c r="G13" s="44">
        <v>-510.38438627</v>
      </c>
      <c r="H13" s="44">
        <v>-570.41223106</v>
      </c>
      <c r="I13" s="44">
        <v>-482.98911456999997</v>
      </c>
    </row>
    <row r="14" spans="1:9" ht="15">
      <c r="A14" s="43" t="str">
        <f>HLOOKUP(INDICE!$F$2,Nombres!$C$3:$D$636,39,FALSE)</f>
        <v>  Gastos de administración</v>
      </c>
      <c r="B14" s="44">
        <v>-308.13902811</v>
      </c>
      <c r="C14" s="44">
        <v>-315.34146807</v>
      </c>
      <c r="D14" s="44">
        <v>-359.88646483</v>
      </c>
      <c r="E14" s="45">
        <v>-393.90419282</v>
      </c>
      <c r="F14" s="44">
        <v>-378.11303183000007</v>
      </c>
      <c r="G14" s="44">
        <v>-462.48838627000003</v>
      </c>
      <c r="H14" s="44">
        <v>-523.1512310599999</v>
      </c>
      <c r="I14" s="44">
        <v>-442.61411457</v>
      </c>
    </row>
    <row r="15" spans="1:9" ht="15">
      <c r="A15" s="46" t="str">
        <f>HLOOKUP(INDICE!$F$2,Nombres!$C$3:$D$636,40,FALSE)</f>
        <v>  Gastos de personal</v>
      </c>
      <c r="B15" s="44">
        <v>-165.87710144000002</v>
      </c>
      <c r="C15" s="44">
        <v>-166.23455489999998</v>
      </c>
      <c r="D15" s="44">
        <v>-186.48427492000002</v>
      </c>
      <c r="E15" s="45">
        <v>-205.72601752</v>
      </c>
      <c r="F15" s="44">
        <v>-200.64723098000002</v>
      </c>
      <c r="G15" s="44">
        <v>-246.14736519000002</v>
      </c>
      <c r="H15" s="44">
        <v>-267.44269603999993</v>
      </c>
      <c r="I15" s="44">
        <v>-232.33520937000003</v>
      </c>
    </row>
    <row r="16" spans="1:9" ht="15">
      <c r="A16" s="46" t="str">
        <f>HLOOKUP(INDICE!$F$2,Nombres!$C$3:$D$636,41,FALSE)</f>
        <v>  Otros gastos de administración</v>
      </c>
      <c r="B16" s="44">
        <v>-142.26192667000004</v>
      </c>
      <c r="C16" s="44">
        <v>-149.10691316999998</v>
      </c>
      <c r="D16" s="44">
        <v>-173.40218991</v>
      </c>
      <c r="E16" s="45">
        <v>-188.17817530000002</v>
      </c>
      <c r="F16" s="44">
        <v>-177.46580085</v>
      </c>
      <c r="G16" s="44">
        <v>-216.34102108000002</v>
      </c>
      <c r="H16" s="44">
        <v>-255.70853502</v>
      </c>
      <c r="I16" s="44">
        <v>-210.27890519999994</v>
      </c>
    </row>
    <row r="17" spans="1:9" ht="15">
      <c r="A17" s="43" t="str">
        <f>HLOOKUP(INDICE!$F$2,Nombres!$C$3:$D$636,42,FALSE)</f>
        <v>  Amortización</v>
      </c>
      <c r="B17" s="44">
        <v>-34.397999999999996</v>
      </c>
      <c r="C17" s="44">
        <v>-35.488</v>
      </c>
      <c r="D17" s="44">
        <v>-36.615</v>
      </c>
      <c r="E17" s="45">
        <v>-38.522000000000006</v>
      </c>
      <c r="F17" s="44">
        <v>-34.627</v>
      </c>
      <c r="G17" s="44">
        <v>-47.896</v>
      </c>
      <c r="H17" s="44">
        <v>-47.26100000000001</v>
      </c>
      <c r="I17" s="44">
        <v>-40.374999999999986</v>
      </c>
    </row>
    <row r="18" spans="1:9" ht="15">
      <c r="A18" s="41" t="str">
        <f>HLOOKUP(INDICE!$F$2,Nombres!$C$3:$D$636,43,FALSE)</f>
        <v>Margen neto</v>
      </c>
      <c r="B18" s="41">
        <f>+B12+B13</f>
        <v>371.7273289400001</v>
      </c>
      <c r="C18" s="41">
        <f aca="true" t="shared" si="1" ref="C18:I18">+C12+C13</f>
        <v>414.7282407799999</v>
      </c>
      <c r="D18" s="41">
        <f t="shared" si="1"/>
        <v>417.74361103</v>
      </c>
      <c r="E18" s="42">
        <f t="shared" si="1"/>
        <v>435.04579879999983</v>
      </c>
      <c r="F18" s="50">
        <f t="shared" si="1"/>
        <v>468.7443685999998</v>
      </c>
      <c r="G18" s="50">
        <f t="shared" si="1"/>
        <v>582.9152198900001</v>
      </c>
      <c r="H18" s="50">
        <f t="shared" si="1"/>
        <v>622.3029330400001</v>
      </c>
      <c r="I18" s="50">
        <f t="shared" si="1"/>
        <v>610.1041139800003</v>
      </c>
    </row>
    <row r="19" spans="1:9" ht="15">
      <c r="A19" s="43" t="str">
        <f>HLOOKUP(INDICE!$F$2,Nombres!$C$3:$D$636,44,FALSE)</f>
        <v>Deterioro de activos financieros no valorados a valor razonable con cambios en resultados</v>
      </c>
      <c r="B19" s="44">
        <v>-159.254</v>
      </c>
      <c r="C19" s="44">
        <v>-184.08600000000004</v>
      </c>
      <c r="D19" s="44">
        <v>-164.624</v>
      </c>
      <c r="E19" s="45">
        <v>-114.34799999999998</v>
      </c>
      <c r="F19" s="44">
        <v>-140.98599999999996</v>
      </c>
      <c r="G19" s="44">
        <v>-130.73500000000004</v>
      </c>
      <c r="H19" s="44">
        <v>-210.06500000000003</v>
      </c>
      <c r="I19" s="44">
        <v>-280.00700000000006</v>
      </c>
    </row>
    <row r="20" spans="1:9" ht="15">
      <c r="A20" s="43" t="str">
        <f>HLOOKUP(INDICE!$F$2,Nombres!$C$3:$D$636,45,FALSE)</f>
        <v>Provisiones o reversión de provisiones y otros resultados</v>
      </c>
      <c r="B20" s="44">
        <v>-15.966793999999998</v>
      </c>
      <c r="C20" s="44">
        <v>-13.527615</v>
      </c>
      <c r="D20" s="44">
        <v>-17.842942999999998</v>
      </c>
      <c r="E20" s="45">
        <v>-29.586426000000003</v>
      </c>
      <c r="F20" s="44">
        <v>-16.292266</v>
      </c>
      <c r="G20" s="44">
        <v>-25.30676299999998</v>
      </c>
      <c r="H20" s="44">
        <v>-21.757181000000003</v>
      </c>
      <c r="I20" s="44">
        <v>-30.316969240000006</v>
      </c>
    </row>
    <row r="21" spans="1:9" ht="15">
      <c r="A21" s="41" t="str">
        <f>HLOOKUP(INDICE!$F$2,Nombres!$C$3:$D$636,46,FALSE)</f>
        <v>Resultado antes de impuestos</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426.8734568900001</v>
      </c>
      <c r="H21" s="50">
        <f t="shared" si="2"/>
        <v>390.48075204</v>
      </c>
      <c r="I21" s="50">
        <f t="shared" si="2"/>
        <v>299.78014474000025</v>
      </c>
    </row>
    <row r="22" spans="1:9" ht="15">
      <c r="A22" s="43" t="str">
        <f>HLOOKUP(INDICE!$F$2,Nombres!$C$3:$D$636,47,FALSE)</f>
        <v>Impuesto sobre beneficios</v>
      </c>
      <c r="B22" s="44">
        <v>-57.47451337</v>
      </c>
      <c r="C22" s="44">
        <v>-70.3317353</v>
      </c>
      <c r="D22" s="44">
        <v>-74.38511543000001</v>
      </c>
      <c r="E22" s="45">
        <v>-78.58547755000004</v>
      </c>
      <c r="F22" s="44">
        <v>-87.51025711</v>
      </c>
      <c r="G22" s="44">
        <v>-54.19513837000003</v>
      </c>
      <c r="H22" s="44">
        <v>-92.23152046999999</v>
      </c>
      <c r="I22" s="44">
        <v>-111.39119015999998</v>
      </c>
    </row>
    <row r="23" spans="1:9" ht="15">
      <c r="A23" s="41" t="str">
        <f>HLOOKUP(INDICE!$F$2,Nombres!$C$3:$D$636,48,FALSE)</f>
        <v>Resultado del ejercicio</v>
      </c>
      <c r="B23" s="41">
        <f>+B21+B22</f>
        <v>139.03202157000015</v>
      </c>
      <c r="C23" s="41">
        <f aca="true" t="shared" si="3" ref="C23:I23">+C21+C22</f>
        <v>146.78289047999988</v>
      </c>
      <c r="D23" s="41">
        <f t="shared" si="3"/>
        <v>160.8915526</v>
      </c>
      <c r="E23" s="42">
        <f t="shared" si="3"/>
        <v>212.52589524999982</v>
      </c>
      <c r="F23" s="50">
        <f t="shared" si="3"/>
        <v>223.95584548999983</v>
      </c>
      <c r="G23" s="50">
        <f t="shared" si="3"/>
        <v>372.67831852000006</v>
      </c>
      <c r="H23" s="50">
        <f t="shared" si="3"/>
        <v>298.24923157</v>
      </c>
      <c r="I23" s="50">
        <f t="shared" si="3"/>
        <v>188.38895458000027</v>
      </c>
    </row>
    <row r="24" spans="1:9" ht="15">
      <c r="A24" s="43" t="str">
        <f>HLOOKUP(INDICE!$F$2,Nombres!$C$3:$D$636,49,FALSE)</f>
        <v>Minoritarios</v>
      </c>
      <c r="B24" s="44">
        <v>-39.13709874999999</v>
      </c>
      <c r="C24" s="44">
        <v>-36.19065583</v>
      </c>
      <c r="D24" s="44">
        <v>-43.94528358999999</v>
      </c>
      <c r="E24" s="45">
        <v>-64.34477244000001</v>
      </c>
      <c r="F24" s="44">
        <v>-66.08692095999999</v>
      </c>
      <c r="G24" s="44">
        <v>-117.33103138000001</v>
      </c>
      <c r="H24" s="44">
        <v>-97.91084261999998</v>
      </c>
      <c r="I24" s="44">
        <v>-67.78277473</v>
      </c>
    </row>
    <row r="25" spans="1:9" ht="15">
      <c r="A25" s="47" t="str">
        <f>HLOOKUP(INDICE!$F$2,Nombres!$C$3:$D$636,50,FALSE)</f>
        <v>Resultado atribuido</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255.34728714000005</v>
      </c>
      <c r="H25" s="51">
        <f t="shared" si="4"/>
        <v>200.33838895000002</v>
      </c>
      <c r="I25" s="51">
        <f t="shared" si="4"/>
        <v>120.60617985000027</v>
      </c>
    </row>
    <row r="26" spans="1:9" ht="15">
      <c r="A26" s="62"/>
      <c r="B26" s="63">
        <v>1.2789769243681803E-13</v>
      </c>
      <c r="C26" s="63">
        <v>0</v>
      </c>
      <c r="D26" s="63">
        <v>0</v>
      </c>
      <c r="E26" s="63">
        <v>-2.8421709430404007E-13</v>
      </c>
      <c r="F26" s="63">
        <v>0</v>
      </c>
      <c r="G26" s="63">
        <v>0</v>
      </c>
      <c r="H26" s="63">
        <v>0</v>
      </c>
      <c r="I26" s="63">
        <v>1.2789769243681803E-13</v>
      </c>
    </row>
    <row r="27" spans="1:15" ht="15">
      <c r="A27" s="41"/>
      <c r="B27" s="41"/>
      <c r="C27" s="41"/>
      <c r="D27" s="41"/>
      <c r="E27" s="41"/>
      <c r="F27" s="41"/>
      <c r="G27" s="41"/>
      <c r="H27" s="41"/>
      <c r="I27" s="41"/>
      <c r="N27" s="159"/>
      <c r="O27" s="159"/>
    </row>
    <row r="28" spans="1:15" ht="18">
      <c r="A28" s="33" t="str">
        <f>HLOOKUP(INDICE!$F$2,Nombres!$C$3:$D$636,51,FALSE)</f>
        <v>Balances</v>
      </c>
      <c r="B28" s="34"/>
      <c r="C28" s="34"/>
      <c r="D28" s="34"/>
      <c r="E28" s="34"/>
      <c r="F28" s="34"/>
      <c r="G28" s="34"/>
      <c r="H28" s="34"/>
      <c r="I28" s="34"/>
      <c r="N28" s="159"/>
      <c r="O28" s="159"/>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0" ht="15">
      <c r="A31" s="43" t="str">
        <f>HLOOKUP(INDICE!$F$2,Nombres!$C$3:$D$636,52,FALSE)</f>
        <v>Efectivo, saldos en efectivo en bancos centrales y otros depósitos a la vista</v>
      </c>
      <c r="B31" s="44">
        <v>6794.749999999998</v>
      </c>
      <c r="C31" s="44">
        <v>7127.522</v>
      </c>
      <c r="D31" s="44">
        <v>7852.526999999999</v>
      </c>
      <c r="E31" s="45">
        <v>8549.476</v>
      </c>
      <c r="F31" s="44">
        <v>8269.488</v>
      </c>
      <c r="G31" s="44">
        <v>8882.579</v>
      </c>
      <c r="H31" s="44">
        <v>9752.209</v>
      </c>
      <c r="I31" s="44">
        <v>7694.839000000001</v>
      </c>
      <c r="J31" s="81"/>
    </row>
    <row r="32" spans="1:10" ht="15">
      <c r="A32" s="43" t="str">
        <f>HLOOKUP(INDICE!$F$2,Nombres!$C$3:$D$636,53,FALSE)</f>
        <v>Activos financieros a valor razonable</v>
      </c>
      <c r="B32" s="58">
        <v>7432.951999999999</v>
      </c>
      <c r="C32" s="58">
        <v>7266.091</v>
      </c>
      <c r="D32" s="58">
        <v>7357.267</v>
      </c>
      <c r="E32" s="64">
        <v>7174.592</v>
      </c>
      <c r="F32" s="44">
        <v>9977.302</v>
      </c>
      <c r="G32" s="44">
        <v>11048.235</v>
      </c>
      <c r="H32" s="44">
        <v>11690.131999999998</v>
      </c>
      <c r="I32" s="44">
        <v>10563.099</v>
      </c>
      <c r="J32" s="81"/>
    </row>
    <row r="33" spans="1:10" ht="15">
      <c r="A33" s="43" t="str">
        <f>HLOOKUP(INDICE!$F$2,Nombres!$C$3:$D$636,54,FALSE)</f>
        <v>Activos financieros a coste amortizado</v>
      </c>
      <c r="B33" s="44">
        <v>36380.903999999995</v>
      </c>
      <c r="C33" s="44">
        <v>36356.060999999994</v>
      </c>
      <c r="D33" s="44">
        <v>36364.706</v>
      </c>
      <c r="E33" s="45">
        <v>37746.981999999996</v>
      </c>
      <c r="F33" s="44">
        <v>40535.475</v>
      </c>
      <c r="G33" s="44">
        <v>43317.137</v>
      </c>
      <c r="H33" s="44">
        <v>44430.94900000001</v>
      </c>
      <c r="I33" s="44">
        <v>40754.849</v>
      </c>
      <c r="J33" s="81"/>
    </row>
    <row r="34" spans="1:10" ht="15">
      <c r="A34" s="43" t="str">
        <f>HLOOKUP(INDICE!$F$2,Nombres!$C$3:$D$636,55,FALSE)</f>
        <v>    de los que préstamos y anticipos a la clientela</v>
      </c>
      <c r="B34" s="44">
        <v>32443.496999999996</v>
      </c>
      <c r="C34" s="44">
        <v>32634.762</v>
      </c>
      <c r="D34" s="44">
        <v>32421.622000000003</v>
      </c>
      <c r="E34" s="45">
        <v>34608.019</v>
      </c>
      <c r="F34" s="44">
        <v>37974.615000000005</v>
      </c>
      <c r="G34" s="44">
        <v>40176.287000000004</v>
      </c>
      <c r="H34" s="44">
        <v>41017.267</v>
      </c>
      <c r="I34" s="44">
        <v>38525.909999999996</v>
      </c>
      <c r="J34" s="81"/>
    </row>
    <row r="35" spans="1:10" ht="15" customHeight="1" hidden="1">
      <c r="A35" s="43"/>
      <c r="B35" s="44"/>
      <c r="C35" s="44"/>
      <c r="D35" s="44"/>
      <c r="E35" s="45"/>
      <c r="F35" s="44"/>
      <c r="G35" s="44"/>
      <c r="H35" s="44"/>
      <c r="I35" s="44"/>
      <c r="J35" s="81"/>
    </row>
    <row r="36" spans="1:10" ht="15">
      <c r="A36" s="43" t="str">
        <f>HLOOKUP(INDICE!$F$2,Nombres!$C$3:$D$636,56,FALSE)</f>
        <v>Activos tangibles</v>
      </c>
      <c r="B36" s="44">
        <v>805.5433658399999</v>
      </c>
      <c r="C36" s="44">
        <v>799.439</v>
      </c>
      <c r="D36" s="44">
        <v>813.9630000000001</v>
      </c>
      <c r="E36" s="45">
        <v>894.5609999999999</v>
      </c>
      <c r="F36" s="44">
        <v>992.9409999999999</v>
      </c>
      <c r="G36" s="44">
        <v>1099.981</v>
      </c>
      <c r="H36" s="44">
        <v>1177.8210000000001</v>
      </c>
      <c r="I36" s="44">
        <v>1087.7910000000002</v>
      </c>
      <c r="J36" s="81"/>
    </row>
    <row r="37" spans="1:10" ht="15">
      <c r="A37" s="43" t="str">
        <f>HLOOKUP(INDICE!$F$2,Nombres!$C$3:$D$636,57,FALSE)</f>
        <v>Otros activos</v>
      </c>
      <c r="B37" s="58">
        <f aca="true" t="shared" si="5" ref="B37:I37">+B38-B36-B33-B32-B31</f>
        <v>1750.1792020199937</v>
      </c>
      <c r="C37" s="58">
        <f t="shared" si="5"/>
        <v>1794.0877783200021</v>
      </c>
      <c r="D37" s="58">
        <f t="shared" si="5"/>
        <v>1750.8512304400092</v>
      </c>
      <c r="E37" s="64">
        <f t="shared" si="5"/>
        <v>1758.2016149600004</v>
      </c>
      <c r="F37" s="44">
        <f t="shared" si="5"/>
        <v>1862.290709829993</v>
      </c>
      <c r="G37" s="44">
        <f t="shared" si="5"/>
        <v>1995.0128934900113</v>
      </c>
      <c r="H37" s="44">
        <f t="shared" si="5"/>
        <v>2046.2190126599908</v>
      </c>
      <c r="I37" s="44">
        <f t="shared" si="5"/>
        <v>1966.004456579999</v>
      </c>
      <c r="J37" s="81"/>
    </row>
    <row r="38" spans="1:10" ht="15">
      <c r="A38" s="47" t="str">
        <f>HLOOKUP(INDICE!$F$2,Nombres!$C$3:$D$636,58,FALSE)</f>
        <v>Total activo / pasivo</v>
      </c>
      <c r="B38" s="47">
        <v>53164.328567859986</v>
      </c>
      <c r="C38" s="47">
        <v>53343.200778319995</v>
      </c>
      <c r="D38" s="47">
        <v>54139.31423044001</v>
      </c>
      <c r="E38" s="47">
        <v>56123.81261496</v>
      </c>
      <c r="F38" s="51">
        <v>61637.49670982999</v>
      </c>
      <c r="G38" s="51">
        <v>66342.94489349001</v>
      </c>
      <c r="H38" s="51">
        <v>69097.33001266</v>
      </c>
      <c r="I38" s="51">
        <v>62066.58245658</v>
      </c>
      <c r="J38" s="81"/>
    </row>
    <row r="39" spans="1:10" ht="15">
      <c r="A39" s="43" t="str">
        <f>HLOOKUP(INDICE!$F$2,Nombres!$C$3:$D$636,59,FALSE)</f>
        <v>Pasivos financieros mantenidos para negociar y designados a valor razonable con cambios en resultados</v>
      </c>
      <c r="B39" s="58">
        <v>1222.644</v>
      </c>
      <c r="C39" s="58">
        <v>1176.6830000000002</v>
      </c>
      <c r="D39" s="58">
        <v>1588.1860000000001</v>
      </c>
      <c r="E39" s="64">
        <v>1883.662</v>
      </c>
      <c r="F39" s="44">
        <v>2583.813</v>
      </c>
      <c r="G39" s="44">
        <v>3104.51</v>
      </c>
      <c r="H39" s="44">
        <v>3560.7909999999997</v>
      </c>
      <c r="I39" s="44">
        <v>2813.4749999999995</v>
      </c>
      <c r="J39" s="81"/>
    </row>
    <row r="40" spans="1:10" ht="15.75" customHeight="1">
      <c r="A40" s="43" t="str">
        <f>HLOOKUP(INDICE!$F$2,Nombres!$C$3:$D$636,60,FALSE)</f>
        <v>Depósitos de bancos centrales y entidades de crédito</v>
      </c>
      <c r="B40" s="58">
        <v>5196.62500001</v>
      </c>
      <c r="C40" s="58">
        <v>5348.602999999999</v>
      </c>
      <c r="D40" s="58">
        <v>5239.848999989999</v>
      </c>
      <c r="E40" s="64">
        <v>5501.245</v>
      </c>
      <c r="F40" s="44">
        <v>6513.56600001</v>
      </c>
      <c r="G40" s="44">
        <v>5653.09799999</v>
      </c>
      <c r="H40" s="44">
        <v>6112.710000000001</v>
      </c>
      <c r="I40" s="44">
        <v>5610.171</v>
      </c>
      <c r="J40" s="81"/>
    </row>
    <row r="41" spans="1:10" ht="15">
      <c r="A41" s="43" t="str">
        <f>HLOOKUP(INDICE!$F$2,Nombres!$C$3:$D$636,61,FALSE)</f>
        <v>Depósitos de la clientela</v>
      </c>
      <c r="B41" s="58">
        <v>34919.717999989996</v>
      </c>
      <c r="C41" s="58">
        <v>35236.349</v>
      </c>
      <c r="D41" s="58">
        <v>35458.31500001</v>
      </c>
      <c r="E41" s="64">
        <v>36340.104999999996</v>
      </c>
      <c r="F41" s="44">
        <v>38875.17499999</v>
      </c>
      <c r="G41" s="44">
        <v>43314.07300001</v>
      </c>
      <c r="H41" s="44">
        <v>44547.035</v>
      </c>
      <c r="I41" s="44">
        <v>40042.234</v>
      </c>
      <c r="J41" s="81"/>
    </row>
    <row r="42" spans="1:10" ht="15">
      <c r="A42" s="43" t="str">
        <f>HLOOKUP(INDICE!$F$2,Nombres!$C$3:$D$636,62,FALSE)</f>
        <v>Valores representativos de deuda emitidos</v>
      </c>
      <c r="B42" s="44">
        <v>3233.9270526300006</v>
      </c>
      <c r="C42" s="44">
        <v>3133.04524343</v>
      </c>
      <c r="D42" s="44">
        <v>3159.1872175900003</v>
      </c>
      <c r="E42" s="45">
        <v>3214.71881898</v>
      </c>
      <c r="F42" s="44">
        <v>3383.66458862</v>
      </c>
      <c r="G42" s="44">
        <v>3818.33995903</v>
      </c>
      <c r="H42" s="44">
        <v>3278.1200854899994</v>
      </c>
      <c r="I42" s="44">
        <v>2956.3270422799997</v>
      </c>
      <c r="J42" s="81"/>
    </row>
    <row r="43" spans="1:10" ht="15" customHeight="1" hidden="1">
      <c r="A43" s="43"/>
      <c r="B43" s="44"/>
      <c r="C43" s="44"/>
      <c r="D43" s="44"/>
      <c r="E43" s="45"/>
      <c r="F43" s="44"/>
      <c r="G43" s="44"/>
      <c r="H43" s="44"/>
      <c r="I43" s="44"/>
      <c r="J43" s="81"/>
    </row>
    <row r="44" spans="1:10" ht="15">
      <c r="A44" s="43" t="str">
        <f>HLOOKUP(INDICE!$F$2,Nombres!$C$3:$D$636,63,FALSE)</f>
        <v>Otros pasivos</v>
      </c>
      <c r="B44" s="58">
        <f aca="true" t="shared" si="6" ref="B44:I44">+B38-B39-B40-B41-B42-B45</f>
        <v>4044.7450244599922</v>
      </c>
      <c r="C44" s="58">
        <f t="shared" si="6"/>
        <v>3992.8996800699997</v>
      </c>
      <c r="D44" s="58">
        <f>+D38-D39-D40-D41-D42-D45</f>
        <v>4076.4331153800103</v>
      </c>
      <c r="E44" s="64">
        <f t="shared" si="6"/>
        <v>4206.903091690005</v>
      </c>
      <c r="F44" s="44">
        <f t="shared" si="6"/>
        <v>4686.023669419986</v>
      </c>
      <c r="G44" s="44">
        <f t="shared" si="6"/>
        <v>4407.153500380009</v>
      </c>
      <c r="H44" s="44">
        <f t="shared" si="6"/>
        <v>5293.3652503299945</v>
      </c>
      <c r="I44" s="44">
        <f t="shared" si="6"/>
        <v>4770.400821180002</v>
      </c>
      <c r="J44" s="81"/>
    </row>
    <row r="45" spans="1:10" ht="15">
      <c r="A45" s="43" t="str">
        <f>HLOOKUP(INDICE!$F$2,Nombres!$C$3:$D$636,282,FALSE)</f>
        <v>Dotación de capital regulatorio</v>
      </c>
      <c r="B45" s="44">
        <v>4546.669490769999</v>
      </c>
      <c r="C45" s="44">
        <v>4455.62085482</v>
      </c>
      <c r="D45" s="58">
        <v>4617.34389747</v>
      </c>
      <c r="E45" s="64">
        <v>4977.17870429</v>
      </c>
      <c r="F45" s="44">
        <v>5595.25445179</v>
      </c>
      <c r="G45" s="44">
        <v>6045.770434080001</v>
      </c>
      <c r="H45" s="44">
        <v>6305.308676839999</v>
      </c>
      <c r="I45" s="44">
        <v>5873.9745931200005</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c r="J50" s="81"/>
    </row>
    <row r="51" spans="1:10" ht="15">
      <c r="A51" s="43" t="str">
        <f>HLOOKUP(INDICE!$F$2,Nombres!$C$3:$D$636,66,FALSE)</f>
        <v>Préstamos y anticipos a la clientela bruto (*)</v>
      </c>
      <c r="B51" s="44">
        <v>34335.76074336</v>
      </c>
      <c r="C51" s="44">
        <v>34508.693044319996</v>
      </c>
      <c r="D51" s="44">
        <v>34228.86583041</v>
      </c>
      <c r="E51" s="45">
        <v>36326.94302114001</v>
      </c>
      <c r="F51" s="44">
        <v>39742.794547289996</v>
      </c>
      <c r="G51" s="44">
        <v>42043.022089759994</v>
      </c>
      <c r="H51" s="44">
        <v>42896.095361669984</v>
      </c>
      <c r="I51" s="44">
        <v>40286.30505273001</v>
      </c>
      <c r="J51" s="81"/>
    </row>
    <row r="52" spans="1:10" ht="15">
      <c r="A52" s="43" t="str">
        <f>HLOOKUP(INDICE!$F$2,Nombres!$C$3:$D$636,67,FALSE)</f>
        <v>Depósitos de clientes en gestión (**)</v>
      </c>
      <c r="B52" s="44">
        <v>34931.98349856999</v>
      </c>
      <c r="C52" s="44">
        <v>35235.611469610005</v>
      </c>
      <c r="D52" s="44">
        <v>35453.32985423</v>
      </c>
      <c r="E52" s="45">
        <v>36364.32316639999</v>
      </c>
      <c r="F52" s="44">
        <v>38892.96598518001</v>
      </c>
      <c r="G52" s="44">
        <v>43332.99135025999</v>
      </c>
      <c r="H52" s="44">
        <v>44577.655588170004</v>
      </c>
      <c r="I52" s="44">
        <v>40073.70571095999</v>
      </c>
      <c r="J52" s="81"/>
    </row>
    <row r="53" spans="1:10" ht="15">
      <c r="A53" s="43" t="str">
        <f>HLOOKUP(INDICE!$F$2,Nombres!$C$3:$D$636,68,FALSE)</f>
        <v>Fondos de inversión y carteras gestionadas</v>
      </c>
      <c r="B53" s="44">
        <v>5176.273867</v>
      </c>
      <c r="C53" s="44">
        <v>4653.722001609999</v>
      </c>
      <c r="D53" s="44">
        <v>4690.8670944899995</v>
      </c>
      <c r="E53" s="45">
        <v>5728.47216984</v>
      </c>
      <c r="F53" s="44">
        <v>6100.543357240001</v>
      </c>
      <c r="G53" s="44">
        <v>5744.49304465</v>
      </c>
      <c r="H53" s="44">
        <v>6143.737032859998</v>
      </c>
      <c r="I53" s="44">
        <v>5804.15867674</v>
      </c>
      <c r="J53" s="81"/>
    </row>
    <row r="54" spans="1:10" ht="15">
      <c r="A54" s="43" t="str">
        <f>HLOOKUP(INDICE!$F$2,Nombres!$C$3:$D$636,69,FALSE)</f>
        <v>Fondos de pensiones</v>
      </c>
      <c r="B54" s="44">
        <v>9644.26944677</v>
      </c>
      <c r="C54" s="44">
        <v>9723.71141773</v>
      </c>
      <c r="D54" s="44">
        <v>10139.32699649</v>
      </c>
      <c r="E54" s="45">
        <v>10494.68899456</v>
      </c>
      <c r="F54" s="44">
        <v>10877.21268134</v>
      </c>
      <c r="G54" s="44">
        <v>11766.86765503</v>
      </c>
      <c r="H54" s="44">
        <v>12831.88276355</v>
      </c>
      <c r="I54" s="44">
        <v>11955.83686405</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588.1345289416267</v>
      </c>
      <c r="C64" s="41">
        <v>621.2841646642222</v>
      </c>
      <c r="D64" s="41">
        <v>678.6210375571868</v>
      </c>
      <c r="E64" s="42">
        <v>736.3067706863761</v>
      </c>
      <c r="F64" s="50">
        <v>715.0490267033706</v>
      </c>
      <c r="G64" s="50">
        <v>911.7517734013336</v>
      </c>
      <c r="H64" s="50">
        <v>1157.1633063881825</v>
      </c>
      <c r="I64" s="50">
        <v>1353.5186759171133</v>
      </c>
    </row>
    <row r="65" spans="1:9" ht="15">
      <c r="A65" s="43" t="str">
        <f>HLOOKUP(INDICE!$F$2,Nombres!$C$3:$D$636,34,FALSE)</f>
        <v>Comisiones netas</v>
      </c>
      <c r="B65" s="44">
        <v>113.96580824071489</v>
      </c>
      <c r="C65" s="44">
        <v>138.9817564034559</v>
      </c>
      <c r="D65" s="44">
        <v>150.9452034053308</v>
      </c>
      <c r="E65" s="45">
        <v>157.20448865793054</v>
      </c>
      <c r="F65" s="44">
        <v>162.47715643138162</v>
      </c>
      <c r="G65" s="44">
        <v>199.56164409593322</v>
      </c>
      <c r="H65" s="44">
        <v>202.03430614982344</v>
      </c>
      <c r="I65" s="44">
        <v>214.39002203286174</v>
      </c>
    </row>
    <row r="66" spans="1:9" ht="15">
      <c r="A66" s="43" t="str">
        <f>HLOOKUP(INDICE!$F$2,Nombres!$C$3:$D$636,35,FALSE)</f>
        <v>Resultados de operaciones financieras</v>
      </c>
      <c r="B66" s="44">
        <v>67.80878033873341</v>
      </c>
      <c r="C66" s="44">
        <v>105.05285153391807</v>
      </c>
      <c r="D66" s="44">
        <v>67.9756016016256</v>
      </c>
      <c r="E66" s="45">
        <v>76.21571824004528</v>
      </c>
      <c r="F66" s="44">
        <v>83.47813942826427</v>
      </c>
      <c r="G66" s="44">
        <v>102.18496689301222</v>
      </c>
      <c r="H66" s="44">
        <v>143.963209488399</v>
      </c>
      <c r="I66" s="44">
        <v>117.11617231032452</v>
      </c>
    </row>
    <row r="67" spans="1:9" ht="15">
      <c r="A67" s="43" t="str">
        <f>HLOOKUP(INDICE!$F$2,Nombres!$C$3:$D$636,36,FALSE)</f>
        <v>Otros ingresos y cargas de explotación</v>
      </c>
      <c r="B67" s="44">
        <v>-129.13592815743573</v>
      </c>
      <c r="C67" s="44">
        <v>-145.21773198624558</v>
      </c>
      <c r="D67" s="44">
        <v>-135.50487975537047</v>
      </c>
      <c r="E67" s="45">
        <v>-155.59065019906376</v>
      </c>
      <c r="F67" s="44">
        <v>-184.77404740694595</v>
      </c>
      <c r="G67" s="44">
        <v>-266.25818923303785</v>
      </c>
      <c r="H67" s="44">
        <v>-383.62765784683546</v>
      </c>
      <c r="I67" s="44">
        <v>-267.4361055131807</v>
      </c>
    </row>
    <row r="68" spans="1:9" ht="15">
      <c r="A68" s="41" t="str">
        <f>HLOOKUP(INDICE!$F$2,Nombres!$C$3:$D$636,37,FALSE)</f>
        <v>Margen bruto</v>
      </c>
      <c r="B68" s="41">
        <f>+SUM(B64:B67)</f>
        <v>640.7731893636393</v>
      </c>
      <c r="C68" s="41">
        <f aca="true" t="shared" si="9" ref="C68:I68">+SUM(C64:C67)</f>
        <v>720.1010406153507</v>
      </c>
      <c r="D68" s="41">
        <f t="shared" si="9"/>
        <v>762.0369628087728</v>
      </c>
      <c r="E68" s="42">
        <f t="shared" si="9"/>
        <v>814.136327385288</v>
      </c>
      <c r="F68" s="50">
        <f t="shared" si="9"/>
        <v>776.2302751560705</v>
      </c>
      <c r="G68" s="50">
        <f t="shared" si="9"/>
        <v>947.240195157241</v>
      </c>
      <c r="H68" s="50">
        <f t="shared" si="9"/>
        <v>1119.5331641795692</v>
      </c>
      <c r="I68" s="50">
        <f t="shared" si="9"/>
        <v>1417.588764747119</v>
      </c>
    </row>
    <row r="69" spans="1:9" ht="15">
      <c r="A69" s="43" t="str">
        <f>HLOOKUP(INDICE!$F$2,Nombres!$C$3:$D$636,38,FALSE)</f>
        <v>Gastos de explotación</v>
      </c>
      <c r="B69" s="44">
        <v>-310.3047898186084</v>
      </c>
      <c r="C69" s="44">
        <v>-333.3771136667081</v>
      </c>
      <c r="D69" s="44">
        <v>-368.30353027336713</v>
      </c>
      <c r="E69" s="45">
        <v>-407.48904841529753</v>
      </c>
      <c r="F69" s="44">
        <v>-373.6153136667806</v>
      </c>
      <c r="G69" s="44">
        <v>-455.06946121508133</v>
      </c>
      <c r="H69" s="44">
        <v>-548.9047380258578</v>
      </c>
      <c r="I69" s="44">
        <v>-598.93625082228</v>
      </c>
    </row>
    <row r="70" spans="1:9" ht="15">
      <c r="A70" s="43" t="str">
        <f>HLOOKUP(INDICE!$F$2,Nombres!$C$3:$D$636,39,FALSE)</f>
        <v>  Gastos de administración</v>
      </c>
      <c r="B70" s="44">
        <v>-276.4599648917311</v>
      </c>
      <c r="C70" s="44">
        <v>-297.26556887233096</v>
      </c>
      <c r="D70" s="44">
        <v>-330.56742395194874</v>
      </c>
      <c r="E70" s="45">
        <v>-368.33397915868807</v>
      </c>
      <c r="F70" s="44">
        <v>-339.57899043516784</v>
      </c>
      <c r="G70" s="44">
        <v>-409.0945295347884</v>
      </c>
      <c r="H70" s="44">
        <v>-502.6439138787637</v>
      </c>
      <c r="I70" s="44">
        <v>-555.0493298812801</v>
      </c>
    </row>
    <row r="71" spans="1:9" ht="15">
      <c r="A71" s="46" t="str">
        <f>HLOOKUP(INDICE!$F$2,Nombres!$C$3:$D$636,40,FALSE)</f>
        <v>  Gastos de personal</v>
      </c>
      <c r="B71" s="44">
        <v>-148.73041116526727</v>
      </c>
      <c r="C71" s="44">
        <v>-156.71593794439735</v>
      </c>
      <c r="D71" s="44">
        <v>-173.57148074287946</v>
      </c>
      <c r="E71" s="45">
        <v>-194.93450227030425</v>
      </c>
      <c r="F71" s="44">
        <v>-180.15006066347598</v>
      </c>
      <c r="G71" s="44">
        <v>-217.30838760736992</v>
      </c>
      <c r="H71" s="44">
        <v>-257.0546199065023</v>
      </c>
      <c r="I71" s="44">
        <v>-292.0594334026518</v>
      </c>
    </row>
    <row r="72" spans="1:9" ht="15">
      <c r="A72" s="46" t="str">
        <f>HLOOKUP(INDICE!$F$2,Nombres!$C$3:$D$636,41,FALSE)</f>
        <v>  Otros gastos de administración</v>
      </c>
      <c r="B72" s="44">
        <v>-127.72955372646388</v>
      </c>
      <c r="C72" s="44">
        <v>-140.54963092793366</v>
      </c>
      <c r="D72" s="44">
        <v>-156.99594320906925</v>
      </c>
      <c r="E72" s="45">
        <v>-173.39947688838384</v>
      </c>
      <c r="F72" s="44">
        <v>-159.42892977169183</v>
      </c>
      <c r="G72" s="44">
        <v>-191.78614192741844</v>
      </c>
      <c r="H72" s="44">
        <v>-245.5892939722614</v>
      </c>
      <c r="I72" s="44">
        <v>-262.9898964786282</v>
      </c>
    </row>
    <row r="73" spans="1:9" ht="15">
      <c r="A73" s="43" t="str">
        <f>HLOOKUP(INDICE!$F$2,Nombres!$C$3:$D$636,42,FALSE)</f>
        <v>  Amortización</v>
      </c>
      <c r="B73" s="44">
        <v>-33.84482492687728</v>
      </c>
      <c r="C73" s="44">
        <v>-36.11154479437714</v>
      </c>
      <c r="D73" s="44">
        <v>-37.73610632141839</v>
      </c>
      <c r="E73" s="45">
        <v>-39.15506925660942</v>
      </c>
      <c r="F73" s="44">
        <v>-34.036323231612755</v>
      </c>
      <c r="G73" s="44">
        <v>-45.97493168029303</v>
      </c>
      <c r="H73" s="44">
        <v>-46.26082414709413</v>
      </c>
      <c r="I73" s="44">
        <v>-43.886920941000085</v>
      </c>
    </row>
    <row r="74" spans="1:9" ht="15">
      <c r="A74" s="41" t="str">
        <f>HLOOKUP(INDICE!$F$2,Nombres!$C$3:$D$636,43,FALSE)</f>
        <v>Margen neto</v>
      </c>
      <c r="B74" s="41">
        <f>+B68+B69</f>
        <v>330.4683995450309</v>
      </c>
      <c r="C74" s="41">
        <f aca="true" t="shared" si="10" ref="C74:I74">+C68+C69</f>
        <v>386.7239269486426</v>
      </c>
      <c r="D74" s="41">
        <f t="shared" si="10"/>
        <v>393.7334325354057</v>
      </c>
      <c r="E74" s="42">
        <f t="shared" si="10"/>
        <v>406.6472789699905</v>
      </c>
      <c r="F74" s="50">
        <f t="shared" si="10"/>
        <v>402.61496148928995</v>
      </c>
      <c r="G74" s="50">
        <f t="shared" si="10"/>
        <v>492.1707339421597</v>
      </c>
      <c r="H74" s="50">
        <f t="shared" si="10"/>
        <v>570.6284261537114</v>
      </c>
      <c r="I74" s="50">
        <f t="shared" si="10"/>
        <v>818.652513924839</v>
      </c>
    </row>
    <row r="75" spans="1:9" ht="15">
      <c r="A75" s="43" t="str">
        <f>HLOOKUP(INDICE!$F$2,Nombres!$C$3:$D$636,44,FALSE)</f>
        <v>Deterioro de activos financieros no valorados a valor razonable con cambios en resultados</v>
      </c>
      <c r="B75" s="44">
        <v>-155.00181216897744</v>
      </c>
      <c r="C75" s="44">
        <v>-184.7456958334747</v>
      </c>
      <c r="D75" s="44">
        <v>-169.56472078924358</v>
      </c>
      <c r="E75" s="45">
        <v>-115.59654460500349</v>
      </c>
      <c r="F75" s="44">
        <v>-126.5721010880813</v>
      </c>
      <c r="G75" s="44">
        <v>-125.11345322500316</v>
      </c>
      <c r="H75" s="44">
        <v>-203.42593751489193</v>
      </c>
      <c r="I75" s="44">
        <v>-306.6815081720237</v>
      </c>
    </row>
    <row r="76" spans="1:9" ht="15">
      <c r="A76" s="43" t="str">
        <f>HLOOKUP(INDICE!$F$2,Nombres!$C$3:$D$636,45,FALSE)</f>
        <v>Provisiones o reversión de provisiones y otros resultados</v>
      </c>
      <c r="B76" s="44">
        <v>-15.34007152694906</v>
      </c>
      <c r="C76" s="44">
        <v>-13.531543087664058</v>
      </c>
      <c r="D76" s="44">
        <v>-19.31254964126258</v>
      </c>
      <c r="E76" s="45">
        <v>-27.744148797499946</v>
      </c>
      <c r="F76" s="44">
        <v>-15.202718933781934</v>
      </c>
      <c r="G76" s="44">
        <v>-21.50318210788329</v>
      </c>
      <c r="H76" s="44">
        <v>-22.369554452575237</v>
      </c>
      <c r="I76" s="44">
        <v>-34.59772374575954</v>
      </c>
    </row>
    <row r="77" spans="1:9" ht="15">
      <c r="A77" s="41" t="str">
        <f>HLOOKUP(INDICE!$F$2,Nombres!$C$3:$D$636,46,FALSE)</f>
        <v>Resultado antes de impuestos</v>
      </c>
      <c r="B77" s="41">
        <f>+B74+B75+B76</f>
        <v>160.12651584910438</v>
      </c>
      <c r="C77" s="41">
        <f aca="true" t="shared" si="11" ref="C77:I77">+C74+C75+C76</f>
        <v>188.44668802750382</v>
      </c>
      <c r="D77" s="41">
        <f t="shared" si="11"/>
        <v>204.85616210489954</v>
      </c>
      <c r="E77" s="42">
        <f t="shared" si="11"/>
        <v>263.3065855674871</v>
      </c>
      <c r="F77" s="50">
        <f t="shared" si="11"/>
        <v>260.84014146742675</v>
      </c>
      <c r="G77" s="50">
        <f t="shared" si="11"/>
        <v>345.5540986092733</v>
      </c>
      <c r="H77" s="50">
        <f t="shared" si="11"/>
        <v>344.83293418624424</v>
      </c>
      <c r="I77" s="50">
        <f t="shared" si="11"/>
        <v>477.37328200705576</v>
      </c>
    </row>
    <row r="78" spans="1:9" ht="15">
      <c r="A78" s="43" t="str">
        <f>HLOOKUP(INDICE!$F$2,Nombres!$C$3:$D$636,47,FALSE)</f>
        <v>Impuesto sobre beneficios</v>
      </c>
      <c r="B78" s="44">
        <v>-46.9192816192524</v>
      </c>
      <c r="C78" s="44">
        <v>-68.55391304670589</v>
      </c>
      <c r="D78" s="44">
        <v>-64.04335878022478</v>
      </c>
      <c r="E78" s="45">
        <v>-67.63019192574902</v>
      </c>
      <c r="F78" s="44">
        <v>-72.36490665450916</v>
      </c>
      <c r="G78" s="44">
        <v>-25.06622763935153</v>
      </c>
      <c r="H78" s="44">
        <v>-76.13474346297703</v>
      </c>
      <c r="I78" s="44">
        <v>-171.7622283531623</v>
      </c>
    </row>
    <row r="79" spans="1:9" ht="15">
      <c r="A79" s="41" t="str">
        <f>HLOOKUP(INDICE!$F$2,Nombres!$C$3:$D$636,48,FALSE)</f>
        <v>Resultado del ejercicio</v>
      </c>
      <c r="B79" s="41">
        <f>+B77+B78</f>
        <v>113.20723422985198</v>
      </c>
      <c r="C79" s="41">
        <f aca="true" t="shared" si="12" ref="C79:I79">+C77+C78</f>
        <v>119.89277498079794</v>
      </c>
      <c r="D79" s="41">
        <f t="shared" si="12"/>
        <v>140.81280332467475</v>
      </c>
      <c r="E79" s="42">
        <f t="shared" si="12"/>
        <v>195.6763936417381</v>
      </c>
      <c r="F79" s="50">
        <f t="shared" si="12"/>
        <v>188.4752348129176</v>
      </c>
      <c r="G79" s="50">
        <f t="shared" si="12"/>
        <v>320.48787096992174</v>
      </c>
      <c r="H79" s="50">
        <f t="shared" si="12"/>
        <v>268.6981907232672</v>
      </c>
      <c r="I79" s="50">
        <f t="shared" si="12"/>
        <v>305.61105365389346</v>
      </c>
    </row>
    <row r="80" spans="1:9" ht="15">
      <c r="A80" s="43" t="str">
        <f>HLOOKUP(INDICE!$F$2,Nombres!$C$3:$D$636,49,FALSE)</f>
        <v>Minoritarios</v>
      </c>
      <c r="B80" s="44">
        <v>-32.14562678934507</v>
      </c>
      <c r="C80" s="44">
        <v>-29.22678111786853</v>
      </c>
      <c r="D80" s="44">
        <v>-38.921502889499656</v>
      </c>
      <c r="E80" s="45">
        <v>-61.442128638905515</v>
      </c>
      <c r="F80" s="44">
        <v>-56.37688324000257</v>
      </c>
      <c r="G80" s="44">
        <v>-101.80252501598267</v>
      </c>
      <c r="H80" s="44">
        <v>-87.81725661131442</v>
      </c>
      <c r="I80" s="44">
        <v>-103.11490482270034</v>
      </c>
    </row>
    <row r="81" spans="1:9" ht="15">
      <c r="A81" s="47" t="str">
        <f>HLOOKUP(INDICE!$F$2,Nombres!$C$3:$D$636,50,FALSE)</f>
        <v>Resultado atribuido</v>
      </c>
      <c r="B81" s="47">
        <f>+B79+B80</f>
        <v>81.0616074405069</v>
      </c>
      <c r="C81" s="47">
        <f aca="true" t="shared" si="13" ref="C81:I81">+C79+C80</f>
        <v>90.66599386292941</v>
      </c>
      <c r="D81" s="47">
        <f t="shared" si="13"/>
        <v>101.89130043517508</v>
      </c>
      <c r="E81" s="47">
        <f t="shared" si="13"/>
        <v>134.23426500283256</v>
      </c>
      <c r="F81" s="51">
        <f t="shared" si="13"/>
        <v>132.09835157291502</v>
      </c>
      <c r="G81" s="51">
        <f t="shared" si="13"/>
        <v>218.68534595393908</v>
      </c>
      <c r="H81" s="51">
        <f t="shared" si="13"/>
        <v>180.8809341119528</v>
      </c>
      <c r="I81" s="51">
        <f t="shared" si="13"/>
        <v>202.49614883119312</v>
      </c>
    </row>
    <row r="82" spans="1:9" ht="15">
      <c r="A82" s="62"/>
      <c r="B82" s="63">
        <v>0</v>
      </c>
      <c r="C82" s="63">
        <v>1.1368683772161603E-13</v>
      </c>
      <c r="D82" s="63">
        <v>0</v>
      </c>
      <c r="E82" s="63">
        <v>0</v>
      </c>
      <c r="F82" s="63">
        <v>0</v>
      </c>
      <c r="G82" s="63">
        <v>0</v>
      </c>
      <c r="H82" s="63">
        <v>0</v>
      </c>
      <c r="I82" s="63">
        <v>3.126388037344441E-13</v>
      </c>
    </row>
    <row r="83" spans="1:15" ht="15">
      <c r="A83" s="41"/>
      <c r="B83" s="41"/>
      <c r="C83" s="41"/>
      <c r="D83" s="41"/>
      <c r="E83" s="41"/>
      <c r="F83" s="50"/>
      <c r="G83" s="50"/>
      <c r="H83" s="50"/>
      <c r="I83" s="50"/>
      <c r="N83" s="159"/>
      <c r="O83" s="159"/>
    </row>
    <row r="84" spans="1:15" ht="18">
      <c r="A84" s="33" t="str">
        <f>HLOOKUP(INDICE!$F$2,Nombres!$C$3:$D$636,51,FALSE)</f>
        <v>Balances</v>
      </c>
      <c r="B84" s="34"/>
      <c r="C84" s="34"/>
      <c r="D84" s="34"/>
      <c r="E84" s="34"/>
      <c r="F84" s="68"/>
      <c r="G84" s="68"/>
      <c r="H84" s="68"/>
      <c r="I84" s="68"/>
      <c r="N84" s="159"/>
      <c r="O84" s="159"/>
    </row>
    <row r="85" spans="1:15" ht="15">
      <c r="A85" s="35" t="str">
        <f>HLOOKUP(INDICE!$F$2,Nombres!$C$3:$D$636,73,FALSE)</f>
        <v>(Millones de euros constantes)</v>
      </c>
      <c r="B85" s="30"/>
      <c r="C85" s="52"/>
      <c r="D85" s="52"/>
      <c r="E85" s="52"/>
      <c r="F85" s="69"/>
      <c r="G85" s="44"/>
      <c r="H85" s="44"/>
      <c r="I85" s="44"/>
      <c r="N85" s="159"/>
      <c r="O85" s="159"/>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6359.390526371006</v>
      </c>
      <c r="C87" s="44">
        <v>6785.1548719185585</v>
      </c>
      <c r="D87" s="44">
        <v>7717.430229285587</v>
      </c>
      <c r="E87" s="45">
        <v>8072.135629136826</v>
      </c>
      <c r="F87" s="44">
        <v>7459.962141497341</v>
      </c>
      <c r="G87" s="44">
        <v>7900.1913248932115</v>
      </c>
      <c r="H87" s="44">
        <v>8820.285998960862</v>
      </c>
      <c r="I87" s="44">
        <v>7694.839000000001</v>
      </c>
    </row>
    <row r="88" spans="1:9" ht="15">
      <c r="A88" s="43" t="str">
        <f>HLOOKUP(INDICE!$F$2,Nombres!$C$3:$D$636,53,FALSE)</f>
        <v>Activos financieros a valor razonable</v>
      </c>
      <c r="B88" s="58">
        <v>6949.957466599017</v>
      </c>
      <c r="C88" s="58">
        <v>7074.385933206249</v>
      </c>
      <c r="D88" s="58">
        <v>7154.281536671384</v>
      </c>
      <c r="E88" s="64">
        <v>6758.389743244004</v>
      </c>
      <c r="F88" s="44">
        <v>8548.666831780434</v>
      </c>
      <c r="G88" s="44">
        <v>9304.184584043944</v>
      </c>
      <c r="H88" s="44">
        <v>10119.87480261175</v>
      </c>
      <c r="I88" s="44">
        <v>10563.099</v>
      </c>
    </row>
    <row r="89" spans="1:9" ht="15">
      <c r="A89" s="43" t="str">
        <f>HLOOKUP(INDICE!$F$2,Nombres!$C$3:$D$636,54,FALSE)</f>
        <v>Activos financieros a coste amortizado</v>
      </c>
      <c r="B89" s="44">
        <v>35035.20883396919</v>
      </c>
      <c r="C89" s="44">
        <v>35823.11835517222</v>
      </c>
      <c r="D89" s="44">
        <v>36229.6684286992</v>
      </c>
      <c r="E89" s="45">
        <v>36502.53781290718</v>
      </c>
      <c r="F89" s="44">
        <v>36541.1840203422</v>
      </c>
      <c r="G89" s="44">
        <v>38503.01979559175</v>
      </c>
      <c r="H89" s="44">
        <v>40099.86504461196</v>
      </c>
      <c r="I89" s="44">
        <v>40754.849</v>
      </c>
    </row>
    <row r="90" spans="1:9" ht="15">
      <c r="A90" s="43" t="str">
        <f>HLOOKUP(INDICE!$F$2,Nombres!$C$3:$D$636,55,FALSE)</f>
        <v>    de los que préstamos y anticipos a la clientela</v>
      </c>
      <c r="B90" s="44">
        <v>31234.85882521962</v>
      </c>
      <c r="C90" s="44">
        <v>32460.923053248735</v>
      </c>
      <c r="D90" s="44">
        <v>32597.453226409485</v>
      </c>
      <c r="E90" s="45">
        <v>33977.33303407422</v>
      </c>
      <c r="F90" s="44">
        <v>34474.18684628257</v>
      </c>
      <c r="G90" s="44">
        <v>35973.43193640466</v>
      </c>
      <c r="H90" s="44">
        <v>37140.32426600368</v>
      </c>
      <c r="I90" s="44">
        <v>38525.909999999996</v>
      </c>
    </row>
    <row r="91" spans="1:9" ht="15" customHeight="1" hidden="1">
      <c r="A91" s="43"/>
      <c r="B91" s="44"/>
      <c r="C91" s="44"/>
      <c r="D91" s="44"/>
      <c r="E91" s="45"/>
      <c r="F91" s="44"/>
      <c r="G91" s="44"/>
      <c r="H91" s="44"/>
      <c r="I91" s="44"/>
    </row>
    <row r="92" spans="1:9" ht="15">
      <c r="A92" s="43" t="str">
        <f>HLOOKUP(INDICE!$F$2,Nombres!$C$3:$D$636,56,FALSE)</f>
        <v>Activos tangibles</v>
      </c>
      <c r="B92" s="44">
        <v>776.5085144700798</v>
      </c>
      <c r="C92" s="44">
        <v>788.7142323587304</v>
      </c>
      <c r="D92" s="44">
        <v>810.7821838682313</v>
      </c>
      <c r="E92" s="45">
        <v>873.4433732522511</v>
      </c>
      <c r="F92" s="44">
        <v>927.764268388976</v>
      </c>
      <c r="G92" s="44">
        <v>1019.2461122802425</v>
      </c>
      <c r="H92" s="44">
        <v>1102.6263175835413</v>
      </c>
      <c r="I92" s="44">
        <v>1087.7910000000002</v>
      </c>
    </row>
    <row r="93" spans="1:9" ht="15">
      <c r="A93" s="43" t="str">
        <f>HLOOKUP(INDICE!$F$2,Nombres!$C$3:$D$636,57,FALSE)</f>
        <v>Otros activos</v>
      </c>
      <c r="B93" s="58">
        <f>+B94-B92-B89-B88-B87</f>
        <v>1550.3386484851399</v>
      </c>
      <c r="C93" s="58">
        <f aca="true" t="shared" si="15" ref="C93:I93">+C94-C92-C89-C88-C87</f>
        <v>1629.9441110815396</v>
      </c>
      <c r="D93" s="58">
        <f t="shared" si="15"/>
        <v>1622.2406792021566</v>
      </c>
      <c r="E93" s="64">
        <f t="shared" si="15"/>
        <v>1638.7759716029368</v>
      </c>
      <c r="F93" s="44">
        <f t="shared" si="15"/>
        <v>1642.1651863876014</v>
      </c>
      <c r="G93" s="44">
        <f t="shared" si="15"/>
        <v>1783.6599493091026</v>
      </c>
      <c r="H93" s="44">
        <f t="shared" si="15"/>
        <v>1867.8858016527192</v>
      </c>
      <c r="I93" s="44">
        <f t="shared" si="15"/>
        <v>1966.004456579999</v>
      </c>
    </row>
    <row r="94" spans="1:9" ht="15">
      <c r="A94" s="47" t="str">
        <f>HLOOKUP(INDICE!$F$2,Nombres!$C$3:$D$636,58,FALSE)</f>
        <v>Total activo / pasivo</v>
      </c>
      <c r="B94" s="47">
        <v>50671.40398989443</v>
      </c>
      <c r="C94" s="47">
        <v>52101.3175037373</v>
      </c>
      <c r="D94" s="47">
        <v>53534.40305772656</v>
      </c>
      <c r="E94" s="47">
        <v>53845.2825301432</v>
      </c>
      <c r="F94" s="51">
        <v>55119.74244839656</v>
      </c>
      <c r="G94" s="51">
        <v>58510.301766118246</v>
      </c>
      <c r="H94" s="51">
        <v>62010.53796542083</v>
      </c>
      <c r="I94" s="51">
        <v>62066.58245658</v>
      </c>
    </row>
    <row r="95" spans="1:9" ht="15">
      <c r="A95" s="43" t="str">
        <f>HLOOKUP(INDICE!$F$2,Nombres!$C$3:$D$636,59,FALSE)</f>
        <v>Pasivos financieros mantenidos para negociar y designados a valor razonable con cambios en resultados</v>
      </c>
      <c r="B95" s="58">
        <v>1104.9806000454846</v>
      </c>
      <c r="C95" s="58">
        <v>1123.5212932110014</v>
      </c>
      <c r="D95" s="58">
        <v>1534.5614719513162</v>
      </c>
      <c r="E95" s="64">
        <v>1736.8363584946862</v>
      </c>
      <c r="F95" s="44">
        <v>2180.985898843833</v>
      </c>
      <c r="G95" s="44">
        <v>2648.01302089166</v>
      </c>
      <c r="H95" s="44">
        <v>3108.4647620207575</v>
      </c>
      <c r="I95" s="44">
        <v>2813.4749999999995</v>
      </c>
    </row>
    <row r="96" spans="1:9" ht="15">
      <c r="A96" s="43" t="str">
        <f>HLOOKUP(INDICE!$F$2,Nombres!$C$3:$D$636,60,FALSE)</f>
        <v>Depósitos de bancos centrales y entidades de crédito</v>
      </c>
      <c r="B96" s="58">
        <v>5441.0479509006545</v>
      </c>
      <c r="C96" s="58">
        <v>5836.127123568526</v>
      </c>
      <c r="D96" s="58">
        <v>5892.878155211972</v>
      </c>
      <c r="E96" s="64">
        <v>5863.561721801142</v>
      </c>
      <c r="F96" s="44">
        <v>6223.609245912611</v>
      </c>
      <c r="G96" s="44">
        <v>5351.4952804048735</v>
      </c>
      <c r="H96" s="44">
        <v>5757.6927812686845</v>
      </c>
      <c r="I96" s="44">
        <v>5610.171</v>
      </c>
    </row>
    <row r="97" spans="1:9" ht="15">
      <c r="A97" s="43" t="str">
        <f>HLOOKUP(INDICE!$F$2,Nombres!$C$3:$D$636,61,FALSE)</f>
        <v>Depósitos de la clientela</v>
      </c>
      <c r="B97" s="58">
        <v>33201.70233099399</v>
      </c>
      <c r="C97" s="58">
        <v>34176.480140999156</v>
      </c>
      <c r="D97" s="58">
        <v>34735.10860258565</v>
      </c>
      <c r="E97" s="64">
        <v>34603.02285341527</v>
      </c>
      <c r="F97" s="44">
        <v>34582.438902722526</v>
      </c>
      <c r="G97" s="44">
        <v>37826.90164125365</v>
      </c>
      <c r="H97" s="44">
        <v>39760.39065171288</v>
      </c>
      <c r="I97" s="44">
        <v>40042.234</v>
      </c>
    </row>
    <row r="98" spans="1:9" ht="15">
      <c r="A98" s="43" t="str">
        <f>HLOOKUP(INDICE!$F$2,Nombres!$C$3:$D$636,62,FALSE)</f>
        <v>Valores representativos de deuda emitidos</v>
      </c>
      <c r="B98" s="44">
        <v>3106.269104771733</v>
      </c>
      <c r="C98" s="44">
        <v>3100.8854069839385</v>
      </c>
      <c r="D98" s="44">
        <v>3217.0756423874705</v>
      </c>
      <c r="E98" s="45">
        <v>3216.015716117695</v>
      </c>
      <c r="F98" s="44">
        <v>3116.344070660641</v>
      </c>
      <c r="G98" s="44">
        <v>3559.638949756625</v>
      </c>
      <c r="H98" s="44">
        <v>3041.0168620347213</v>
      </c>
      <c r="I98" s="44">
        <v>2956.3270422799997</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3565.248126032372</v>
      </c>
      <c r="C100" s="58">
        <f aca="true" t="shared" si="16" ref="C100:I100">+C94-C95-C96-C97-C98-C101</f>
        <v>3557.2750573504463</v>
      </c>
      <c r="D100" s="58">
        <f t="shared" si="16"/>
        <v>3639.9486256711507</v>
      </c>
      <c r="E100" s="64">
        <f t="shared" si="16"/>
        <v>3651.0935439445475</v>
      </c>
      <c r="F100" s="44">
        <f t="shared" si="16"/>
        <v>4019.478606259774</v>
      </c>
      <c r="G100" s="44">
        <f t="shared" si="16"/>
        <v>3777.70443107706</v>
      </c>
      <c r="H100" s="44">
        <f t="shared" si="16"/>
        <v>4682.952910416371</v>
      </c>
      <c r="I100" s="44">
        <f t="shared" si="16"/>
        <v>4770.400821180002</v>
      </c>
    </row>
    <row r="101" spans="1:9" ht="15">
      <c r="A101" s="43" t="str">
        <f>HLOOKUP(INDICE!$F$2,Nombres!$C$3:$D$636,282,FALSE)</f>
        <v>Dotación de capital regulatorio</v>
      </c>
      <c r="B101" s="58">
        <v>4252.155877150198</v>
      </c>
      <c r="C101" s="58">
        <v>4307.028481624232</v>
      </c>
      <c r="D101" s="58">
        <v>4514.830559919002</v>
      </c>
      <c r="E101" s="64">
        <v>4774.752336369866</v>
      </c>
      <c r="F101" s="44">
        <v>4996.885723997173</v>
      </c>
      <c r="G101" s="44">
        <v>5346.548442734376</v>
      </c>
      <c r="H101" s="44">
        <v>5660.019997967421</v>
      </c>
      <c r="I101" s="44">
        <v>5873.9745931200005</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33051.37609459805</v>
      </c>
      <c r="C107" s="44">
        <v>34318.534965656</v>
      </c>
      <c r="D107" s="44">
        <v>34409.29199984175</v>
      </c>
      <c r="E107" s="45">
        <v>35665.04022274933</v>
      </c>
      <c r="F107" s="44">
        <v>36077.7785622762</v>
      </c>
      <c r="G107" s="44">
        <v>37660.10109507486</v>
      </c>
      <c r="H107" s="44">
        <v>38851.02842059645</v>
      </c>
      <c r="I107" s="44">
        <v>40286.30505273001</v>
      </c>
    </row>
    <row r="108" spans="1:9" ht="15">
      <c r="A108" s="43" t="str">
        <f>HLOOKUP(INDICE!$F$2,Nombres!$C$3:$D$636,67,FALSE)</f>
        <v>Depósitos de clientes en gestión (**)</v>
      </c>
      <c r="B108" s="44">
        <v>33217.26141970876</v>
      </c>
      <c r="C108" s="44">
        <v>34181.19900630592</v>
      </c>
      <c r="D108" s="44">
        <v>34736.06635853902</v>
      </c>
      <c r="E108" s="45">
        <v>34630.656797389194</v>
      </c>
      <c r="F108" s="44">
        <v>34600.478274151945</v>
      </c>
      <c r="G108" s="44">
        <v>37845.24675326266</v>
      </c>
      <c r="H108" s="44">
        <v>39788.8033826252</v>
      </c>
      <c r="I108" s="44">
        <v>40073.70571095999</v>
      </c>
    </row>
    <row r="109" spans="1:9" ht="15">
      <c r="A109" s="43" t="str">
        <f>HLOOKUP(INDICE!$F$2,Nombres!$C$3:$D$636,68,FALSE)</f>
        <v>Fondos de inversión y carteras gestionadas</v>
      </c>
      <c r="B109" s="44">
        <v>4613.24199182717</v>
      </c>
      <c r="C109" s="44">
        <v>4228.646013253225</v>
      </c>
      <c r="D109" s="44">
        <v>4143.5017314616725</v>
      </c>
      <c r="E109" s="45">
        <v>4964.008134086965</v>
      </c>
      <c r="F109" s="44">
        <v>4948.745935068448</v>
      </c>
      <c r="G109" s="44">
        <v>4699.689481979534</v>
      </c>
      <c r="H109" s="44">
        <v>5196.748641797641</v>
      </c>
      <c r="I109" s="44">
        <v>5804.15867674</v>
      </c>
    </row>
    <row r="110" spans="1:9" ht="15">
      <c r="A110" s="43" t="str">
        <f>HLOOKUP(INDICE!$F$2,Nombres!$C$3:$D$636,69,FALSE)</f>
        <v>Fondos de pensiones</v>
      </c>
      <c r="B110" s="44">
        <v>10601.824419953928</v>
      </c>
      <c r="C110" s="44">
        <v>10834.107114965756</v>
      </c>
      <c r="D110" s="44">
        <v>11007.244261422371</v>
      </c>
      <c r="E110" s="45">
        <v>11144.088463572618</v>
      </c>
      <c r="F110" s="44">
        <v>11320.826736873623</v>
      </c>
      <c r="G110" s="44">
        <v>11459.071285661876</v>
      </c>
      <c r="H110" s="44">
        <v>11727.469827379058</v>
      </c>
      <c r="I110" s="44">
        <v>11955.83686405</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391</v>
      </c>
    </row>
  </sheetData>
  <sheetProtection/>
  <mergeCells count="4">
    <mergeCell ref="B6:E6"/>
    <mergeCell ref="F6:I6"/>
    <mergeCell ref="B62:E62"/>
    <mergeCell ref="F62:I62"/>
  </mergeCells>
  <conditionalFormatting sqref="C82:I82">
    <cfRule type="cellIs" priority="10" dxfId="132" operator="notBetween">
      <formula>0.5</formula>
      <formula>-0.5</formula>
    </cfRule>
  </conditionalFormatting>
  <conditionalFormatting sqref="C26">
    <cfRule type="cellIs" priority="9" dxfId="18" operator="notBetween">
      <formula>-0.4</formula>
      <formula>0.4</formula>
    </cfRule>
  </conditionalFormatting>
  <conditionalFormatting sqref="D26">
    <cfRule type="cellIs" priority="8" dxfId="18" operator="notBetween">
      <formula>-0.4</formula>
      <formula>0.4</formula>
    </cfRule>
  </conditionalFormatting>
  <conditionalFormatting sqref="E26">
    <cfRule type="cellIs" priority="7" dxfId="18" operator="notBetween">
      <formula>-0.4</formula>
      <formula>0.4</formula>
    </cfRule>
  </conditionalFormatting>
  <conditionalFormatting sqref="F26">
    <cfRule type="cellIs" priority="6" dxfId="18" operator="notBetween">
      <formula>-0.4</formula>
      <formula>0.4</formula>
    </cfRule>
  </conditionalFormatting>
  <conditionalFormatting sqref="G26">
    <cfRule type="cellIs" priority="5" dxfId="18" operator="notBetween">
      <formula>-0.4</formula>
      <formula>0.4</formula>
    </cfRule>
  </conditionalFormatting>
  <conditionalFormatting sqref="H26">
    <cfRule type="cellIs" priority="4" dxfId="18" operator="notBetween">
      <formula>-0.4</formula>
      <formula>0.4</formula>
    </cfRule>
  </conditionalFormatting>
  <conditionalFormatting sqref="I26">
    <cfRule type="cellIs" priority="3" dxfId="18" operator="notBetween">
      <formula>-0.4</formula>
      <formula>0.4</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201.59000000000003</v>
      </c>
      <c r="C8" s="41">
        <v>224.785</v>
      </c>
      <c r="D8" s="41">
        <v>282.751</v>
      </c>
      <c r="E8" s="42">
        <v>342.65200000000004</v>
      </c>
      <c r="F8" s="50">
        <v>318.816</v>
      </c>
      <c r="G8" s="50">
        <v>462.1120000000001</v>
      </c>
      <c r="H8" s="50">
        <v>612.8620000000001</v>
      </c>
      <c r="I8" s="50">
        <v>428.23299999999995</v>
      </c>
    </row>
    <row r="9" spans="1:9" ht="15">
      <c r="A9" s="43" t="str">
        <f>HLOOKUP(INDICE!$F$2,Nombres!$C$3:$D$636,34,FALSE)</f>
        <v>Comisiones netas</v>
      </c>
      <c r="B9" s="44">
        <v>31.211</v>
      </c>
      <c r="C9" s="44">
        <v>52.53021648</v>
      </c>
      <c r="D9" s="44">
        <v>60.98599999999999</v>
      </c>
      <c r="E9" s="45">
        <v>57.87094900000001</v>
      </c>
      <c r="F9" s="44">
        <v>61.04930800000001</v>
      </c>
      <c r="G9" s="44">
        <v>85.27700000000002</v>
      </c>
      <c r="H9" s="44">
        <v>75.36890299</v>
      </c>
      <c r="I9" s="44">
        <v>24.86649499999998</v>
      </c>
    </row>
    <row r="10" spans="1:9" ht="15">
      <c r="A10" s="43" t="str">
        <f>HLOOKUP(INDICE!$F$2,Nombres!$C$3:$D$636,35,FALSE)</f>
        <v>Resultados de operaciones financieras</v>
      </c>
      <c r="B10" s="44">
        <v>25.746997999999998</v>
      </c>
      <c r="C10" s="44">
        <v>24.615463</v>
      </c>
      <c r="D10" s="44">
        <v>25.485568999999998</v>
      </c>
      <c r="E10" s="45">
        <v>16.042649509999997</v>
      </c>
      <c r="F10" s="44">
        <v>34.023920000000004</v>
      </c>
      <c r="G10" s="44">
        <v>31.88125</v>
      </c>
      <c r="H10" s="44">
        <v>59.550112580000004</v>
      </c>
      <c r="I10" s="44">
        <v>11.721707999999985</v>
      </c>
    </row>
    <row r="11" spans="1:9" ht="15">
      <c r="A11" s="43" t="str">
        <f>HLOOKUP(INDICE!$F$2,Nombres!$C$3:$D$636,36,FALSE)</f>
        <v>Otros ingresos y cargas de explotación</v>
      </c>
      <c r="B11" s="44">
        <v>-121.00899999999999</v>
      </c>
      <c r="C11" s="44">
        <v>-125.608</v>
      </c>
      <c r="D11" s="44">
        <v>-119.70800000000001</v>
      </c>
      <c r="E11" s="45">
        <v>-161.60999999999999</v>
      </c>
      <c r="F11" s="44">
        <v>-185.903</v>
      </c>
      <c r="G11" s="44">
        <v>-262.47799999999995</v>
      </c>
      <c r="H11" s="44">
        <v>-365.0690000000001</v>
      </c>
      <c r="I11" s="44">
        <v>-181.86899999999997</v>
      </c>
    </row>
    <row r="12" spans="1:9" ht="15">
      <c r="A12" s="41" t="str">
        <f>HLOOKUP(INDICE!$F$2,Nombres!$C$3:$D$636,37,FALSE)</f>
        <v>Margen bruto</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316.7922500000002</v>
      </c>
      <c r="H12" s="50">
        <f t="shared" si="0"/>
        <v>382.71201557000006</v>
      </c>
      <c r="I12" s="50">
        <f t="shared" si="0"/>
        <v>282.95220299999994</v>
      </c>
    </row>
    <row r="13" spans="1:9" ht="15">
      <c r="A13" s="43" t="str">
        <f>HLOOKUP(INDICE!$F$2,Nombres!$C$3:$D$636,38,FALSE)</f>
        <v>Gastos de explotación</v>
      </c>
      <c r="B13" s="44">
        <v>-106.12388035</v>
      </c>
      <c r="C13" s="44">
        <v>-118.05492236</v>
      </c>
      <c r="D13" s="44">
        <v>-162.63306934000002</v>
      </c>
      <c r="E13" s="45">
        <v>-177.55090436000003</v>
      </c>
      <c r="F13" s="44">
        <v>-145.78886380999998</v>
      </c>
      <c r="G13" s="44">
        <v>-216.16730637000003</v>
      </c>
      <c r="H13" s="44">
        <v>-244.90415468999996</v>
      </c>
      <c r="I13" s="44">
        <v>-135.15492395</v>
      </c>
    </row>
    <row r="14" spans="1:9" ht="15">
      <c r="A14" s="43" t="str">
        <f>HLOOKUP(INDICE!$F$2,Nombres!$C$3:$D$636,39,FALSE)</f>
        <v>  Gastos de administración</v>
      </c>
      <c r="B14" s="44">
        <v>-98.70588035</v>
      </c>
      <c r="C14" s="44">
        <v>-108.32692236</v>
      </c>
      <c r="D14" s="44">
        <v>-151.30306934</v>
      </c>
      <c r="E14" s="45">
        <v>-164.43490436000002</v>
      </c>
      <c r="F14" s="44">
        <v>-139.93386381</v>
      </c>
      <c r="G14" s="44">
        <v>-199.43230637</v>
      </c>
      <c r="H14" s="44">
        <v>-229.19715468999996</v>
      </c>
      <c r="I14" s="44">
        <v>-124.46492395000003</v>
      </c>
    </row>
    <row r="15" spans="1:9" ht="15">
      <c r="A15" s="46" t="str">
        <f>HLOOKUP(INDICE!$F$2,Nombres!$C$3:$D$636,40,FALSE)</f>
        <v>  Gastos de personal</v>
      </c>
      <c r="B15" s="44">
        <v>-55.644999999999996</v>
      </c>
      <c r="C15" s="44">
        <v>-59.501</v>
      </c>
      <c r="D15" s="44">
        <v>-75.02199999999999</v>
      </c>
      <c r="E15" s="45">
        <v>-82.89559500000001</v>
      </c>
      <c r="F15" s="44">
        <v>-75.525</v>
      </c>
      <c r="G15" s="44">
        <v>-107.994</v>
      </c>
      <c r="H15" s="44">
        <v>-119.57899999999998</v>
      </c>
      <c r="I15" s="44">
        <v>-67.26600000000002</v>
      </c>
    </row>
    <row r="16" spans="1:9" ht="15">
      <c r="A16" s="46" t="str">
        <f>HLOOKUP(INDICE!$F$2,Nombres!$C$3:$D$636,41,FALSE)</f>
        <v>  Otros gastos de administración</v>
      </c>
      <c r="B16" s="44">
        <v>-43.06088035</v>
      </c>
      <c r="C16" s="44">
        <v>-48.82592236000001</v>
      </c>
      <c r="D16" s="44">
        <v>-76.28106933999999</v>
      </c>
      <c r="E16" s="45">
        <v>-81.53930936000003</v>
      </c>
      <c r="F16" s="44">
        <v>-64.40886380999999</v>
      </c>
      <c r="G16" s="44">
        <v>-91.43830637000002</v>
      </c>
      <c r="H16" s="44">
        <v>-109.61815468999998</v>
      </c>
      <c r="I16" s="44">
        <v>-57.19892395</v>
      </c>
    </row>
    <row r="17" spans="1:9" ht="15">
      <c r="A17" s="43" t="str">
        <f>HLOOKUP(INDICE!$F$2,Nombres!$C$3:$D$636,42,FALSE)</f>
        <v>  Amortización</v>
      </c>
      <c r="B17" s="44">
        <v>-7.418000000000002</v>
      </c>
      <c r="C17" s="44">
        <v>-9.728</v>
      </c>
      <c r="D17" s="44">
        <v>-11.33</v>
      </c>
      <c r="E17" s="45">
        <v>-13.116</v>
      </c>
      <c r="F17" s="44">
        <v>-5.8549999999999995</v>
      </c>
      <c r="G17" s="44">
        <v>-16.735</v>
      </c>
      <c r="H17" s="44">
        <v>-15.706999999999997</v>
      </c>
      <c r="I17" s="44">
        <v>-10.689999999999998</v>
      </c>
    </row>
    <row r="18" spans="1:9" ht="15">
      <c r="A18" s="41" t="str">
        <f>HLOOKUP(INDICE!$F$2,Nombres!$C$3:$D$636,43,FALSE)</f>
        <v>Margen neto</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100.62494363000016</v>
      </c>
      <c r="H18" s="50">
        <f t="shared" si="1"/>
        <v>137.8078608800001</v>
      </c>
      <c r="I18" s="50">
        <f t="shared" si="1"/>
        <v>147.79727904999993</v>
      </c>
    </row>
    <row r="19" spans="1:9" ht="15">
      <c r="A19" s="43" t="str">
        <f>HLOOKUP(INDICE!$F$2,Nombres!$C$3:$D$636,44,FALSE)</f>
        <v>Deterioro de activos financieros no valorados a valor razonable con cambios en resultados</v>
      </c>
      <c r="B19" s="44">
        <v>-20.544000000000004</v>
      </c>
      <c r="C19" s="44">
        <v>-32.67099999999999</v>
      </c>
      <c r="D19" s="44">
        <v>-33.587999999999994</v>
      </c>
      <c r="E19" s="45">
        <v>-26.778</v>
      </c>
      <c r="F19" s="44">
        <v>-47.348999999999975</v>
      </c>
      <c r="G19" s="44">
        <v>-16.98500000000002</v>
      </c>
      <c r="H19" s="44">
        <v>-52.236999999999995</v>
      </c>
      <c r="I19" s="44">
        <v>-54.31999999999999</v>
      </c>
    </row>
    <row r="20" spans="1:9" ht="15">
      <c r="A20" s="43" t="str">
        <f>HLOOKUP(INDICE!$F$2,Nombres!$C$3:$D$636,45,FALSE)</f>
        <v>Provisiones o reversión de provisiones y otros resultados</v>
      </c>
      <c r="B20" s="44">
        <v>-1.9580000000000004</v>
      </c>
      <c r="C20" s="44">
        <v>-4.7379999999999995</v>
      </c>
      <c r="D20" s="44">
        <v>-3.2439999999999998</v>
      </c>
      <c r="E20" s="45">
        <v>-9.539999999999997</v>
      </c>
      <c r="F20" s="44">
        <v>-4.836</v>
      </c>
      <c r="G20" s="44">
        <v>-12.673</v>
      </c>
      <c r="H20" s="44">
        <v>-3.695999999999998</v>
      </c>
      <c r="I20" s="44">
        <v>-20.678</v>
      </c>
    </row>
    <row r="21" spans="1:9" ht="15">
      <c r="A21" s="41" t="str">
        <f>HLOOKUP(INDICE!$F$2,Nombres!$C$3:$D$636,46,FALSE)</f>
        <v>Resultado antes de impuestos</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70.96694363000015</v>
      </c>
      <c r="H21" s="50">
        <f t="shared" si="2"/>
        <v>81.87486088000011</v>
      </c>
      <c r="I21" s="50">
        <f t="shared" si="2"/>
        <v>72.79927904999994</v>
      </c>
    </row>
    <row r="22" spans="1:9" ht="15">
      <c r="A22" s="43" t="str">
        <f>HLOOKUP(INDICE!$F$2,Nombres!$C$3:$D$636,47,FALSE)</f>
        <v>Impuesto sobre beneficios</v>
      </c>
      <c r="B22" s="44">
        <v>-3.435435299999999</v>
      </c>
      <c r="C22" s="44">
        <v>-9.961027120000002</v>
      </c>
      <c r="D22" s="44">
        <v>-10.61474992000001</v>
      </c>
      <c r="E22" s="45">
        <v>-12.272786740000027</v>
      </c>
      <c r="F22" s="44">
        <v>-4.880427639999995</v>
      </c>
      <c r="G22" s="44">
        <v>49.968401039999975</v>
      </c>
      <c r="H22" s="44">
        <v>-2.684797159999988</v>
      </c>
      <c r="I22" s="44">
        <v>-30.017021439999994</v>
      </c>
    </row>
    <row r="23" spans="1:9" ht="15">
      <c r="A23" s="41" t="str">
        <f>HLOOKUP(INDICE!$F$2,Nombres!$C$3:$D$636,48,FALSE)</f>
        <v>Resultado del ejercicio</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120.93534467000012</v>
      </c>
      <c r="H23" s="50">
        <f t="shared" si="3"/>
        <v>79.19006372000013</v>
      </c>
      <c r="I23" s="50">
        <f t="shared" si="3"/>
        <v>42.782257609999945</v>
      </c>
    </row>
    <row r="24" spans="1:9" ht="15">
      <c r="A24" s="43" t="str">
        <f>HLOOKUP(INDICE!$F$2,Nombres!$C$3:$D$636,49,FALSE)</f>
        <v>Minoritarios</v>
      </c>
      <c r="B24" s="44">
        <v>-1.0705837599999972</v>
      </c>
      <c r="C24" s="44">
        <v>-2.3194256900000028</v>
      </c>
      <c r="D24" s="44">
        <v>-13.459307979999993</v>
      </c>
      <c r="E24" s="45">
        <v>-9.535898540000012</v>
      </c>
      <c r="F24" s="44">
        <v>-6.679911369999999</v>
      </c>
      <c r="G24" s="44">
        <v>-38.769879939999996</v>
      </c>
      <c r="H24" s="44">
        <v>-23.84957100999999</v>
      </c>
      <c r="I24" s="44">
        <v>-13.564785000000013</v>
      </c>
    </row>
    <row r="25" spans="1:9" ht="15">
      <c r="A25" s="47" t="str">
        <f>HLOOKUP(INDICE!$F$2,Nombres!$C$3:$D$636,50,FALSE)</f>
        <v>Resultado atribuido</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82.16546473000012</v>
      </c>
      <c r="H25" s="51">
        <f t="shared" si="4"/>
        <v>55.340492710000134</v>
      </c>
      <c r="I25" s="51">
        <f t="shared" si="4"/>
        <v>29.21747260999993</v>
      </c>
    </row>
    <row r="26" spans="1:9" ht="15">
      <c r="A26" s="62"/>
      <c r="B26" s="63">
        <v>5.5067062021407764E-14</v>
      </c>
      <c r="C26" s="63">
        <v>0</v>
      </c>
      <c r="D26" s="63">
        <v>-4.973799150320701E-14</v>
      </c>
      <c r="E26" s="63">
        <v>0</v>
      </c>
      <c r="F26" s="63">
        <v>6.394884621840902E-14</v>
      </c>
      <c r="G26" s="63">
        <v>0</v>
      </c>
      <c r="H26" s="63">
        <v>5.684341886080802E-14</v>
      </c>
      <c r="I26" s="63">
        <v>3.552713678800501E-14</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1814.7499999999998</v>
      </c>
      <c r="C31" s="44">
        <v>1743.115</v>
      </c>
      <c r="D31" s="44">
        <v>1725.562</v>
      </c>
      <c r="E31" s="45">
        <v>1883.8760000000002</v>
      </c>
      <c r="F31" s="44">
        <v>1617.2679999999998</v>
      </c>
      <c r="G31" s="44">
        <v>1458.5610000000001</v>
      </c>
      <c r="H31" s="44">
        <v>1430.5249999999999</v>
      </c>
      <c r="I31" s="44">
        <v>1605.0690000000002</v>
      </c>
    </row>
    <row r="32" spans="1:9" ht="15">
      <c r="A32" s="43" t="str">
        <f>HLOOKUP(INDICE!$F$2,Nombres!$C$3:$D$636,53,FALSE)</f>
        <v>Activos financieros a valor razonable</v>
      </c>
      <c r="B32" s="58">
        <v>1347.5679999999998</v>
      </c>
      <c r="C32" s="58">
        <v>1426.29</v>
      </c>
      <c r="D32" s="58">
        <v>1574.5140000000001</v>
      </c>
      <c r="E32" s="64">
        <v>1590.261</v>
      </c>
      <c r="F32" s="44">
        <v>2951.362</v>
      </c>
      <c r="G32" s="44">
        <v>3358.946</v>
      </c>
      <c r="H32" s="44">
        <v>3762.2329999999997</v>
      </c>
      <c r="I32" s="44">
        <v>3516.6970000000006</v>
      </c>
    </row>
    <row r="33" spans="1:9" ht="15">
      <c r="A33" s="43" t="str">
        <f>HLOOKUP(INDICE!$F$2,Nombres!$C$3:$D$636,54,FALSE)</f>
        <v>Activos financieros a coste amortizado</v>
      </c>
      <c r="B33" s="44">
        <v>3214.4900000000002</v>
      </c>
      <c r="C33" s="44">
        <v>3911.3070000000002</v>
      </c>
      <c r="D33" s="44">
        <v>4157.168</v>
      </c>
      <c r="E33" s="45">
        <v>4826.938999999999</v>
      </c>
      <c r="F33" s="44">
        <v>4265.255999999999</v>
      </c>
      <c r="G33" s="44">
        <v>5266.887000000001</v>
      </c>
      <c r="H33" s="44">
        <v>5177.993</v>
      </c>
      <c r="I33" s="44">
        <v>4527.292999999999</v>
      </c>
    </row>
    <row r="34" spans="1:9" ht="15">
      <c r="A34" s="43" t="str">
        <f>HLOOKUP(INDICE!$F$2,Nombres!$C$3:$D$636,55,FALSE)</f>
        <v>    de los que préstamos y anticipos a la clientela</v>
      </c>
      <c r="B34" s="44">
        <v>2678.9059999999995</v>
      </c>
      <c r="C34" s="44">
        <v>2718.075</v>
      </c>
      <c r="D34" s="44">
        <v>2908.585</v>
      </c>
      <c r="E34" s="45">
        <v>3296.4390000000003</v>
      </c>
      <c r="F34" s="44">
        <v>3349.9570000000003</v>
      </c>
      <c r="G34" s="44">
        <v>3977.5950000000003</v>
      </c>
      <c r="H34" s="44">
        <v>4059.781</v>
      </c>
      <c r="I34" s="44">
        <v>3854.427</v>
      </c>
    </row>
    <row r="35" spans="1:9" ht="15" customHeight="1" hidden="1">
      <c r="A35" s="43"/>
      <c r="B35" s="44"/>
      <c r="C35" s="44"/>
      <c r="D35" s="44"/>
      <c r="E35" s="45"/>
      <c r="F35" s="44"/>
      <c r="G35" s="44"/>
      <c r="H35" s="44"/>
      <c r="I35" s="44"/>
    </row>
    <row r="36" spans="1:9" ht="15">
      <c r="A36" s="43" t="str">
        <f>HLOOKUP(INDICE!$F$2,Nombres!$C$3:$D$636,56,FALSE)</f>
        <v>Activos tangibles</v>
      </c>
      <c r="B36" s="44">
        <v>358.37536584</v>
      </c>
      <c r="C36" s="44">
        <v>374.83600000000007</v>
      </c>
      <c r="D36" s="44">
        <v>399.10699999999997</v>
      </c>
      <c r="E36" s="45">
        <v>451.578</v>
      </c>
      <c r="F36" s="44">
        <v>524.04</v>
      </c>
      <c r="G36" s="44">
        <v>621.434</v>
      </c>
      <c r="H36" s="44">
        <v>682.75</v>
      </c>
      <c r="I36" s="44">
        <v>619.248</v>
      </c>
    </row>
    <row r="37" spans="1:9" ht="15">
      <c r="A37" s="43" t="str">
        <f>HLOOKUP(INDICE!$F$2,Nombres!$C$3:$D$636,57,FALSE)</f>
        <v>Otros activos</v>
      </c>
      <c r="B37" s="58">
        <f>+B38-B36-B33-B32-B31</f>
        <v>295.6163780199988</v>
      </c>
      <c r="C37" s="58">
        <f aca="true" t="shared" si="5" ref="C37:I37">+C38-C36-C33-C32-C31</f>
        <v>294.76199999999994</v>
      </c>
      <c r="D37" s="58">
        <f t="shared" si="5"/>
        <v>270.47801206000076</v>
      </c>
      <c r="E37" s="64">
        <f t="shared" si="5"/>
        <v>284.7910000000006</v>
      </c>
      <c r="F37" s="44">
        <f t="shared" si="5"/>
        <v>297.0854528299999</v>
      </c>
      <c r="G37" s="44">
        <f t="shared" si="5"/>
        <v>321.9555165100005</v>
      </c>
      <c r="H37" s="44">
        <f t="shared" si="5"/>
        <v>296.7246464600014</v>
      </c>
      <c r="I37" s="44">
        <f t="shared" si="5"/>
        <v>288.6990862200016</v>
      </c>
    </row>
    <row r="38" spans="1:9" ht="15">
      <c r="A38" s="47" t="str">
        <f>HLOOKUP(INDICE!$F$2,Nombres!$C$3:$D$636,58,FALSE)</f>
        <v>Total activo / pasivo</v>
      </c>
      <c r="B38" s="47">
        <v>7030.799743859999</v>
      </c>
      <c r="C38" s="47">
        <v>7750.31</v>
      </c>
      <c r="D38" s="47">
        <v>8126.82901206</v>
      </c>
      <c r="E38" s="47">
        <v>9037.445</v>
      </c>
      <c r="F38" s="51">
        <v>9655.01145283</v>
      </c>
      <c r="G38" s="51">
        <v>11027.78351651</v>
      </c>
      <c r="H38" s="51">
        <v>11350.225646460001</v>
      </c>
      <c r="I38" s="51">
        <v>10557.00608622</v>
      </c>
    </row>
    <row r="39" spans="1:9" ht="15">
      <c r="A39" s="43" t="str">
        <f>HLOOKUP(INDICE!$F$2,Nombres!$C$3:$D$636,59,FALSE)</f>
        <v>Pasivos financieros mantenidos para negociar y designados a valor razonable con cambios en resultados</v>
      </c>
      <c r="B39" s="58">
        <v>3.699</v>
      </c>
      <c r="C39" s="58">
        <v>1.248</v>
      </c>
      <c r="D39" s="58">
        <v>3.49</v>
      </c>
      <c r="E39" s="64">
        <v>2.7</v>
      </c>
      <c r="F39" s="44">
        <v>2.659</v>
      </c>
      <c r="G39" s="44">
        <v>1.1320000000000001</v>
      </c>
      <c r="H39" s="44">
        <v>3.865</v>
      </c>
      <c r="I39" s="44">
        <v>1.774</v>
      </c>
    </row>
    <row r="40" spans="1:9" ht="15.75" customHeight="1">
      <c r="A40" s="43" t="str">
        <f>HLOOKUP(INDICE!$F$2,Nombres!$C$3:$D$636,60,FALSE)</f>
        <v>Depósitos de bancos centrales y entidades de crédito</v>
      </c>
      <c r="B40" s="58">
        <v>120.434</v>
      </c>
      <c r="C40" s="58">
        <v>106.039</v>
      </c>
      <c r="D40" s="58">
        <v>107.00999999999999</v>
      </c>
      <c r="E40" s="64">
        <v>112.35500000000002</v>
      </c>
      <c r="F40" s="44">
        <v>116.77300000000004</v>
      </c>
      <c r="G40" s="44">
        <v>157.352</v>
      </c>
      <c r="H40" s="44">
        <v>121.06600000000003</v>
      </c>
      <c r="I40" s="44">
        <v>122.95299999999996</v>
      </c>
    </row>
    <row r="41" spans="1:9" ht="15">
      <c r="A41" s="43" t="str">
        <f>HLOOKUP(INDICE!$F$2,Nombres!$C$3:$D$636,61,FALSE)</f>
        <v>Depósitos de la clientela</v>
      </c>
      <c r="B41" s="58">
        <v>4706.075999999999</v>
      </c>
      <c r="C41" s="58">
        <v>5349.341</v>
      </c>
      <c r="D41" s="58">
        <v>5515.021</v>
      </c>
      <c r="E41" s="64">
        <v>6082.594</v>
      </c>
      <c r="F41" s="44">
        <v>6466.273999999999</v>
      </c>
      <c r="G41" s="44">
        <v>7491.32</v>
      </c>
      <c r="H41" s="44">
        <v>7411.194</v>
      </c>
      <c r="I41" s="44">
        <v>6963.756000000001</v>
      </c>
    </row>
    <row r="42" spans="1:9" ht="15">
      <c r="A42" s="43" t="str">
        <f>HLOOKUP(INDICE!$F$2,Nombres!$C$3:$D$636,62,FALSE)</f>
        <v>Valores representativos de deuda emitidos</v>
      </c>
      <c r="B42" s="44">
        <v>193.7862963</v>
      </c>
      <c r="C42" s="44">
        <v>182.45249046</v>
      </c>
      <c r="D42" s="44">
        <v>199.47880386000003</v>
      </c>
      <c r="E42" s="45">
        <v>228.56989066</v>
      </c>
      <c r="F42" s="44">
        <v>251.78840171</v>
      </c>
      <c r="G42" s="44">
        <v>281.33826361</v>
      </c>
      <c r="H42" s="44">
        <v>297.48515428999997</v>
      </c>
      <c r="I42" s="44">
        <v>272.18229649</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1345.5633811499997</v>
      </c>
      <c r="C44" s="58">
        <f aca="true" t="shared" si="6" ref="C44:I44">+C38-C39-C40-C41-C42-C45</f>
        <v>1465.610611580001</v>
      </c>
      <c r="D44" s="58">
        <f t="shared" si="6"/>
        <v>1590.5955163200006</v>
      </c>
      <c r="E44" s="64">
        <f t="shared" si="6"/>
        <v>1844.5041246699993</v>
      </c>
      <c r="F44" s="44">
        <f t="shared" si="6"/>
        <v>1962.178336110002</v>
      </c>
      <c r="G44" s="44">
        <f t="shared" si="6"/>
        <v>2163.9178413300006</v>
      </c>
      <c r="H44" s="44">
        <f t="shared" si="6"/>
        <v>2517.7167392700003</v>
      </c>
      <c r="I44" s="44">
        <f t="shared" si="6"/>
        <v>2268.8449703600004</v>
      </c>
    </row>
    <row r="45" spans="1:9" ht="15">
      <c r="A45" s="43" t="str">
        <f>HLOOKUP(INDICE!$F$2,Nombres!$C$3:$D$636,282,FALSE)</f>
        <v>Dotación de capital regulatorio</v>
      </c>
      <c r="B45" s="58">
        <v>661.24106641</v>
      </c>
      <c r="C45" s="58">
        <v>645.6188979599999</v>
      </c>
      <c r="D45" s="58">
        <v>711.23369188</v>
      </c>
      <c r="E45" s="64">
        <v>766.72198467</v>
      </c>
      <c r="F45" s="44">
        <v>855.3387150099999</v>
      </c>
      <c r="G45" s="44">
        <v>932.72341157</v>
      </c>
      <c r="H45" s="44">
        <v>998.8987529000002</v>
      </c>
      <c r="I45" s="44">
        <v>927.4958193699999</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2810.16765727</v>
      </c>
      <c r="C51" s="44">
        <v>2853.16225809</v>
      </c>
      <c r="D51" s="44">
        <v>3049.04407403</v>
      </c>
      <c r="E51" s="45">
        <v>3414.3422099300005</v>
      </c>
      <c r="F51" s="44">
        <v>3446.8962606699997</v>
      </c>
      <c r="G51" s="44">
        <v>4076.2669623099996</v>
      </c>
      <c r="H51" s="44">
        <v>4166.5673637400005</v>
      </c>
      <c r="I51" s="44">
        <v>3964.02664087</v>
      </c>
    </row>
    <row r="52" spans="1:9" ht="15">
      <c r="A52" s="43" t="str">
        <f>HLOOKUP(INDICE!$F$2,Nombres!$C$3:$D$636,67,FALSE)</f>
        <v>Depósitos de clientes en gestión (**)</v>
      </c>
      <c r="B52" s="44">
        <v>4706.07777928</v>
      </c>
      <c r="C52" s="44">
        <v>5349.3398651200005</v>
      </c>
      <c r="D52" s="44">
        <v>5515.0211831999995</v>
      </c>
      <c r="E52" s="45">
        <v>6082.59164753</v>
      </c>
      <c r="F52" s="44">
        <v>6466.27290943</v>
      </c>
      <c r="G52" s="44">
        <v>7491.320779940001</v>
      </c>
      <c r="H52" s="44">
        <v>7411.194430590001</v>
      </c>
      <c r="I52" s="44">
        <v>6963.75571808</v>
      </c>
    </row>
    <row r="53" spans="1:9" ht="15">
      <c r="A53" s="43" t="str">
        <f>HLOOKUP(INDICE!$F$2,Nombres!$C$3:$D$636,68,FALSE)</f>
        <v>Fondos de inversión y carteras gestionadas</v>
      </c>
      <c r="B53" s="44">
        <v>1327.07892138</v>
      </c>
      <c r="C53" s="44">
        <v>1346.10370657</v>
      </c>
      <c r="D53" s="44">
        <v>1673.9364056799998</v>
      </c>
      <c r="E53" s="45">
        <v>1716.11286795</v>
      </c>
      <c r="F53" s="44">
        <v>1985.78785607</v>
      </c>
      <c r="G53" s="44">
        <v>1986.68423752</v>
      </c>
      <c r="H53" s="44">
        <v>2336.8586472099996</v>
      </c>
      <c r="I53" s="44">
        <v>2302.8792526</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118.18198891560893</v>
      </c>
      <c r="C64" s="41">
        <v>152.12256464432022</v>
      </c>
      <c r="D64" s="41">
        <v>187.25177799919197</v>
      </c>
      <c r="E64" s="42">
        <v>247.73749352123332</v>
      </c>
      <c r="F64" s="50">
        <v>212.88203475381738</v>
      </c>
      <c r="G64" s="50">
        <v>350.97219167611</v>
      </c>
      <c r="H64" s="50">
        <v>556.292434149595</v>
      </c>
      <c r="I64" s="50">
        <v>701.8763394204776</v>
      </c>
    </row>
    <row r="65" spans="1:9" ht="15">
      <c r="A65" s="43" t="str">
        <f>HLOOKUP(INDICE!$F$2,Nombres!$C$3:$D$636,34,FALSE)</f>
        <v>Comisiones netas</v>
      </c>
      <c r="B65" s="44">
        <v>18.16201817282289</v>
      </c>
      <c r="C65" s="44">
        <v>34.17267168502892</v>
      </c>
      <c r="D65" s="44">
        <v>39.776771695907115</v>
      </c>
      <c r="E65" s="45">
        <v>42.26849431929766</v>
      </c>
      <c r="F65" s="44">
        <v>40.64284096068225</v>
      </c>
      <c r="G65" s="44">
        <v>64.23555844475572</v>
      </c>
      <c r="H65" s="44">
        <v>72.77284340980668</v>
      </c>
      <c r="I65" s="44">
        <v>68.91046317475534</v>
      </c>
    </row>
    <row r="66" spans="1:9" ht="15">
      <c r="A66" s="43" t="str">
        <f>HLOOKUP(INDICE!$F$2,Nombres!$C$3:$D$636,35,FALSE)</f>
        <v>Resultados de operaciones financieras</v>
      </c>
      <c r="B66" s="44">
        <v>15.132951386802027</v>
      </c>
      <c r="C66" s="44">
        <v>16.89974862286097</v>
      </c>
      <c r="D66" s="44">
        <v>17.258443362064444</v>
      </c>
      <c r="E66" s="45">
        <v>13.750781495507761</v>
      </c>
      <c r="F66" s="44">
        <v>22.656476578942247</v>
      </c>
      <c r="G66" s="44">
        <v>26.178968000519106</v>
      </c>
      <c r="H66" s="44">
        <v>53.24399647121867</v>
      </c>
      <c r="I66" s="44">
        <v>35.09754952931996</v>
      </c>
    </row>
    <row r="67" spans="1:9" ht="15">
      <c r="A67" s="43" t="str">
        <f>HLOOKUP(INDICE!$F$2,Nombres!$C$3:$D$636,36,FALSE)</f>
        <v>Otros ingresos y cargas de explotación</v>
      </c>
      <c r="B67" s="44">
        <v>-109.08395802770907</v>
      </c>
      <c r="C67" s="44">
        <v>-114.73427007979919</v>
      </c>
      <c r="D67" s="44">
        <v>-105.105563680725</v>
      </c>
      <c r="E67" s="45">
        <v>-148.04626985363316</v>
      </c>
      <c r="F67" s="44">
        <v>-170.76725264060653</v>
      </c>
      <c r="G67" s="44">
        <v>-250.1796938459317</v>
      </c>
      <c r="H67" s="44">
        <v>-357.8634455755596</v>
      </c>
      <c r="I67" s="44">
        <v>-216.50860793790207</v>
      </c>
    </row>
    <row r="68" spans="1:9" ht="15">
      <c r="A68" s="41" t="str">
        <f>HLOOKUP(INDICE!$F$2,Nombres!$C$3:$D$636,37,FALSE)</f>
        <v>Margen bruto</v>
      </c>
      <c r="B68" s="41">
        <f>+SUM(B64:B67)</f>
        <v>42.393000447524784</v>
      </c>
      <c r="C68" s="41">
        <f aca="true" t="shared" si="9" ref="C68:I68">+SUM(C64:C67)</f>
        <v>88.46071487241093</v>
      </c>
      <c r="D68" s="41">
        <f t="shared" si="9"/>
        <v>139.18142937643853</v>
      </c>
      <c r="E68" s="42">
        <f t="shared" si="9"/>
        <v>155.71049948240554</v>
      </c>
      <c r="F68" s="50">
        <f t="shared" si="9"/>
        <v>105.41409965283535</v>
      </c>
      <c r="G68" s="50">
        <f t="shared" si="9"/>
        <v>191.20702427545314</v>
      </c>
      <c r="H68" s="50">
        <f t="shared" si="9"/>
        <v>324.4458284550608</v>
      </c>
      <c r="I68" s="50">
        <f t="shared" si="9"/>
        <v>589.3757441866509</v>
      </c>
    </row>
    <row r="69" spans="1:9" ht="15">
      <c r="A69" s="43" t="str">
        <f>HLOOKUP(INDICE!$F$2,Nombres!$C$3:$D$636,38,FALSE)</f>
        <v>Gastos de explotación</v>
      </c>
      <c r="B69" s="44">
        <v>-63.517927888704584</v>
      </c>
      <c r="C69" s="44">
        <v>-82.41462947268882</v>
      </c>
      <c r="D69" s="44">
        <v>-109.9540786713101</v>
      </c>
      <c r="E69" s="45">
        <v>-132.95913986743616</v>
      </c>
      <c r="F69" s="44">
        <v>-98.17981495346902</v>
      </c>
      <c r="G69" s="44">
        <v>-168.4455612095747</v>
      </c>
      <c r="H69" s="44">
        <v>-230.1266473845644</v>
      </c>
      <c r="I69" s="44">
        <v>-245.26322527239188</v>
      </c>
    </row>
    <row r="70" spans="1:9" ht="15">
      <c r="A70" s="43" t="str">
        <f>HLOOKUP(INDICE!$F$2,Nombres!$C$3:$D$636,39,FALSE)</f>
        <v>  Gastos de administración</v>
      </c>
      <c r="B70" s="44">
        <v>-57.990575053804065</v>
      </c>
      <c r="C70" s="44">
        <v>-74.20320539734816</v>
      </c>
      <c r="D70" s="44">
        <v>-100.36759954263586</v>
      </c>
      <c r="E70" s="45">
        <v>-121.38909401602093</v>
      </c>
      <c r="F70" s="44">
        <v>-93.93113571590015</v>
      </c>
      <c r="G70" s="44">
        <v>-152.9599798443469</v>
      </c>
      <c r="H70" s="44">
        <v>-214.72248253522113</v>
      </c>
      <c r="I70" s="44">
        <v>-231.4146507245318</v>
      </c>
    </row>
    <row r="71" spans="1:9" ht="15">
      <c r="A71" s="46" t="str">
        <f>HLOOKUP(INDICE!$F$2,Nombres!$C$3:$D$636,40,FALSE)</f>
        <v>  Gastos de personal</v>
      </c>
      <c r="B71" s="44">
        <v>-32.7110633595998</v>
      </c>
      <c r="C71" s="44">
        <v>-40.74638500995051</v>
      </c>
      <c r="D71" s="44">
        <v>-50.134137474483154</v>
      </c>
      <c r="E71" s="45">
        <v>-61.513123683135404</v>
      </c>
      <c r="F71" s="44">
        <v>-50.62345565168752</v>
      </c>
      <c r="G71" s="44">
        <v>-82.61514249585105</v>
      </c>
      <c r="H71" s="44">
        <v>-112.44942762139517</v>
      </c>
      <c r="I71" s="44">
        <v>-124.67597423106628</v>
      </c>
    </row>
    <row r="72" spans="1:9" ht="15">
      <c r="A72" s="46" t="str">
        <f>HLOOKUP(INDICE!$F$2,Nombres!$C$3:$D$636,41,FALSE)</f>
        <v>  Otros gastos de administración</v>
      </c>
      <c r="B72" s="44">
        <v>-25.279511694204267</v>
      </c>
      <c r="C72" s="44">
        <v>-33.45682038739765</v>
      </c>
      <c r="D72" s="44">
        <v>-50.233462068152704</v>
      </c>
      <c r="E72" s="45">
        <v>-59.875970332885544</v>
      </c>
      <c r="F72" s="44">
        <v>-43.30768006421265</v>
      </c>
      <c r="G72" s="44">
        <v>-70.34483734849582</v>
      </c>
      <c r="H72" s="44">
        <v>-102.27305491382597</v>
      </c>
      <c r="I72" s="44">
        <v>-106.73867649346553</v>
      </c>
    </row>
    <row r="73" spans="1:9" ht="15">
      <c r="A73" s="43" t="str">
        <f>HLOOKUP(INDICE!$F$2,Nombres!$C$3:$D$636,42,FALSE)</f>
        <v>  Amortización</v>
      </c>
      <c r="B73" s="44">
        <v>-5.527352834900518</v>
      </c>
      <c r="C73" s="44">
        <v>-8.21142407534067</v>
      </c>
      <c r="D73" s="44">
        <v>-9.58647912867425</v>
      </c>
      <c r="E73" s="45">
        <v>-11.570045851415228</v>
      </c>
      <c r="F73" s="44">
        <v>-4.248679237568863</v>
      </c>
      <c r="G73" s="44">
        <v>-15.48558136522783</v>
      </c>
      <c r="H73" s="44">
        <v>-15.404164849343275</v>
      </c>
      <c r="I73" s="44">
        <v>-13.848574547860032</v>
      </c>
    </row>
    <row r="74" spans="1:9" ht="15">
      <c r="A74" s="41" t="str">
        <f>HLOOKUP(INDICE!$F$2,Nombres!$C$3:$D$636,43,FALSE)</f>
        <v>Margen neto</v>
      </c>
      <c r="B74" s="41">
        <f>+B68+B69</f>
        <v>-21.1249274411798</v>
      </c>
      <c r="C74" s="41">
        <f aca="true" t="shared" si="10" ref="C74:I74">+C68+C69</f>
        <v>6.0460853997221164</v>
      </c>
      <c r="D74" s="41">
        <f t="shared" si="10"/>
        <v>29.22735070512843</v>
      </c>
      <c r="E74" s="42">
        <f t="shared" si="10"/>
        <v>22.751359614969374</v>
      </c>
      <c r="F74" s="50">
        <f t="shared" si="10"/>
        <v>7.234284699366327</v>
      </c>
      <c r="G74" s="50">
        <f t="shared" si="10"/>
        <v>22.761463065878445</v>
      </c>
      <c r="H74" s="50">
        <f t="shared" si="10"/>
        <v>94.3191810704964</v>
      </c>
      <c r="I74" s="50">
        <f t="shared" si="10"/>
        <v>344.112518914259</v>
      </c>
    </row>
    <row r="75" spans="1:9" ht="15">
      <c r="A75" s="43" t="str">
        <f>HLOOKUP(INDICE!$F$2,Nombres!$C$3:$D$636,44,FALSE)</f>
        <v>Deterioro de activos financieros no valorados a valor razonable con cambios en resultados</v>
      </c>
      <c r="B75" s="44">
        <v>-12.037468881034533</v>
      </c>
      <c r="C75" s="44">
        <v>-22.221765003027595</v>
      </c>
      <c r="D75" s="44">
        <v>-23.875911491504922</v>
      </c>
      <c r="E75" s="45">
        <v>-22.62349744432704</v>
      </c>
      <c r="F75" s="44">
        <v>-31.793873932445425</v>
      </c>
      <c r="G75" s="44">
        <v>-15.247872905870473</v>
      </c>
      <c r="H75" s="44">
        <v>-47.290842421089025</v>
      </c>
      <c r="I75" s="44">
        <v>-76.5584107405951</v>
      </c>
    </row>
    <row r="76" spans="1:9" ht="15">
      <c r="A76" s="43" t="str">
        <f>HLOOKUP(INDICE!$F$2,Nombres!$C$3:$D$636,45,FALSE)</f>
        <v>Provisiones o reversión de provisiones y otros resultados</v>
      </c>
      <c r="B76" s="44">
        <v>-1.003848012497055</v>
      </c>
      <c r="C76" s="44">
        <v>-2.9063361623208737</v>
      </c>
      <c r="D76" s="44">
        <v>-2.198762944699638</v>
      </c>
      <c r="E76" s="45">
        <v>-6.30326867001993</v>
      </c>
      <c r="F76" s="44">
        <v>-3.209767047876507</v>
      </c>
      <c r="G76" s="44">
        <v>-9.190790704117234</v>
      </c>
      <c r="H76" s="44">
        <v>-4.707510133187836</v>
      </c>
      <c r="I76" s="44">
        <v>-24.774932114818426</v>
      </c>
    </row>
    <row r="77" spans="1:9" ht="15">
      <c r="A77" s="41" t="str">
        <f>HLOOKUP(INDICE!$F$2,Nombres!$C$3:$D$636,46,FALSE)</f>
        <v>Resultado antes de impuestos</v>
      </c>
      <c r="B77" s="41">
        <f>+B74+B75+B76</f>
        <v>-34.166244334711386</v>
      </c>
      <c r="C77" s="41">
        <f aca="true" t="shared" si="11" ref="C77:I77">+C74+C75+C76</f>
        <v>-19.082015765626352</v>
      </c>
      <c r="D77" s="41">
        <f t="shared" si="11"/>
        <v>3.1526762689238694</v>
      </c>
      <c r="E77" s="42">
        <f t="shared" si="11"/>
        <v>-6.175406499377596</v>
      </c>
      <c r="F77" s="50">
        <f t="shared" si="11"/>
        <v>-27.769356280955606</v>
      </c>
      <c r="G77" s="50">
        <f t="shared" si="11"/>
        <v>-1.6772005441092617</v>
      </c>
      <c r="H77" s="50">
        <f t="shared" si="11"/>
        <v>42.320828516219535</v>
      </c>
      <c r="I77" s="50">
        <f t="shared" si="11"/>
        <v>242.77917605884548</v>
      </c>
    </row>
    <row r="78" spans="1:9" ht="15">
      <c r="A78" s="43" t="str">
        <f>HLOOKUP(INDICE!$F$2,Nombres!$C$3:$D$636,47,FALSE)</f>
        <v>Impuesto sobre beneficios</v>
      </c>
      <c r="B78" s="44">
        <v>9.080813650279694</v>
      </c>
      <c r="C78" s="44">
        <v>-4.450178788323948</v>
      </c>
      <c r="D78" s="44">
        <v>5.114366975488377</v>
      </c>
      <c r="E78" s="45">
        <v>4.105635257713894</v>
      </c>
      <c r="F78" s="44">
        <v>11.910785829479032</v>
      </c>
      <c r="G78" s="44">
        <v>76.43242386345614</v>
      </c>
      <c r="H78" s="44">
        <v>11.65070017600673</v>
      </c>
      <c r="I78" s="44">
        <v>-87.60775506894191</v>
      </c>
    </row>
    <row r="79" spans="1:9" ht="15">
      <c r="A79" s="41" t="str">
        <f>HLOOKUP(INDICE!$F$2,Nombres!$C$3:$D$636,48,FALSE)</f>
        <v>Resultado del ejercicio</v>
      </c>
      <c r="B79" s="41">
        <f>+B77+B78</f>
        <v>-25.085430684431692</v>
      </c>
      <c r="C79" s="41">
        <f aca="true" t="shared" si="12" ref="C79:I79">+C77+C78</f>
        <v>-23.532194553950298</v>
      </c>
      <c r="D79" s="41">
        <f t="shared" si="12"/>
        <v>8.267043244412246</v>
      </c>
      <c r="E79" s="42">
        <f t="shared" si="12"/>
        <v>-2.0697712416637017</v>
      </c>
      <c r="F79" s="50">
        <f t="shared" si="12"/>
        <v>-15.858570451476574</v>
      </c>
      <c r="G79" s="50">
        <f t="shared" si="12"/>
        <v>74.75522331934687</v>
      </c>
      <c r="H79" s="50">
        <f t="shared" si="12"/>
        <v>53.971528692226265</v>
      </c>
      <c r="I79" s="50">
        <f t="shared" si="12"/>
        <v>155.17142098990357</v>
      </c>
    </row>
    <row r="80" spans="1:9" ht="15">
      <c r="A80" s="43" t="str">
        <f>HLOOKUP(INDICE!$F$2,Nombres!$C$3:$D$636,49,FALSE)</f>
        <v>Minoritarios</v>
      </c>
      <c r="B80" s="44">
        <v>9.006701252848732</v>
      </c>
      <c r="C80" s="44">
        <v>8.86491322084812</v>
      </c>
      <c r="D80" s="44">
        <v>-3.017618148762649</v>
      </c>
      <c r="E80" s="45">
        <v>0.5753476367393433</v>
      </c>
      <c r="F80" s="44">
        <v>6.453489728374535</v>
      </c>
      <c r="G80" s="44">
        <v>-23.82850624071964</v>
      </c>
      <c r="H80" s="44">
        <v>-15.803608870226302</v>
      </c>
      <c r="I80" s="44">
        <v>-49.6855219374286</v>
      </c>
    </row>
    <row r="81" spans="1:9" ht="15">
      <c r="A81" s="47" t="str">
        <f>HLOOKUP(INDICE!$F$2,Nombres!$C$3:$D$636,50,FALSE)</f>
        <v>Resultado atribuido</v>
      </c>
      <c r="B81" s="47">
        <f>+B79+B80</f>
        <v>-16.07872943158296</v>
      </c>
      <c r="C81" s="47">
        <f aca="true" t="shared" si="13" ref="C81:I81">+C79+C80</f>
        <v>-14.667281333102178</v>
      </c>
      <c r="D81" s="47">
        <f t="shared" si="13"/>
        <v>5.249425095649597</v>
      </c>
      <c r="E81" s="47">
        <f t="shared" si="13"/>
        <v>-1.4944236049243584</v>
      </c>
      <c r="F81" s="51">
        <f t="shared" si="13"/>
        <v>-9.405080723102039</v>
      </c>
      <c r="G81" s="51">
        <f t="shared" si="13"/>
        <v>50.92671707862723</v>
      </c>
      <c r="H81" s="51">
        <f t="shared" si="13"/>
        <v>38.16791982199996</v>
      </c>
      <c r="I81" s="51">
        <f t="shared" si="13"/>
        <v>105.48589905247496</v>
      </c>
    </row>
    <row r="82" spans="1:9" ht="15">
      <c r="A82" s="62"/>
      <c r="B82" s="63">
        <v>0</v>
      </c>
      <c r="C82" s="63">
        <v>3.730349362740526E-14</v>
      </c>
      <c r="D82" s="63">
        <v>-1.0658141036401503E-14</v>
      </c>
      <c r="E82" s="63">
        <v>-2.353672812205332E-14</v>
      </c>
      <c r="F82" s="63">
        <v>4.618527782440651E-14</v>
      </c>
      <c r="G82" s="63">
        <v>0</v>
      </c>
      <c r="H82" s="63">
        <v>1.6342482922482304E-13</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1037.9490892109197</v>
      </c>
      <c r="C87" s="44">
        <v>1051.6682713074176</v>
      </c>
      <c r="D87" s="44">
        <v>1046.1554878743145</v>
      </c>
      <c r="E87" s="45">
        <v>1162.9637073291865</v>
      </c>
      <c r="F87" s="44">
        <v>1056.3224207083522</v>
      </c>
      <c r="G87" s="44">
        <v>1004.9316438696754</v>
      </c>
      <c r="H87" s="44">
        <v>1088.0518234299107</v>
      </c>
      <c r="I87" s="44">
        <v>1605.0690000000002</v>
      </c>
    </row>
    <row r="88" spans="1:9" ht="15">
      <c r="A88" s="43" t="str">
        <f>HLOOKUP(INDICE!$F$2,Nombres!$C$3:$D$636,53,FALSE)</f>
        <v>Activos financieros a valor razonable</v>
      </c>
      <c r="B88" s="58">
        <v>770.7436166137379</v>
      </c>
      <c r="C88" s="58">
        <v>860.5192076730775</v>
      </c>
      <c r="D88" s="58">
        <v>954.5797032125988</v>
      </c>
      <c r="E88" s="64">
        <v>981.7078343696822</v>
      </c>
      <c r="F88" s="44">
        <v>1927.6890733178693</v>
      </c>
      <c r="G88" s="44">
        <v>2314.274908933854</v>
      </c>
      <c r="H88" s="44">
        <v>2861.53997715397</v>
      </c>
      <c r="I88" s="44">
        <v>3516.6970000000006</v>
      </c>
    </row>
    <row r="89" spans="1:9" ht="15">
      <c r="A89" s="43" t="str">
        <f>HLOOKUP(INDICE!$F$2,Nombres!$C$3:$D$636,54,FALSE)</f>
        <v>Activos financieros a coste amortizado</v>
      </c>
      <c r="B89" s="44">
        <v>1838.5325624893835</v>
      </c>
      <c r="C89" s="44">
        <v>2359.7969561633063</v>
      </c>
      <c r="D89" s="44">
        <v>2520.363868244368</v>
      </c>
      <c r="E89" s="45">
        <v>2979.790004486408</v>
      </c>
      <c r="F89" s="44">
        <v>2785.8620481335333</v>
      </c>
      <c r="G89" s="44">
        <v>3628.824170525486</v>
      </c>
      <c r="H89" s="44">
        <v>3938.3615982644924</v>
      </c>
      <c r="I89" s="44">
        <v>4527.292999999999</v>
      </c>
    </row>
    <row r="90" spans="1:9" ht="15">
      <c r="A90" s="43" t="str">
        <f>HLOOKUP(INDICE!$F$2,Nombres!$C$3:$D$636,55,FALSE)</f>
        <v>    de los que préstamos y anticipos a la clientela</v>
      </c>
      <c r="B90" s="44">
        <v>1532.2044594471238</v>
      </c>
      <c r="C90" s="44">
        <v>1639.8879227898958</v>
      </c>
      <c r="D90" s="44">
        <v>1763.3861661875453</v>
      </c>
      <c r="E90" s="45">
        <v>2034.9741280341789</v>
      </c>
      <c r="F90" s="44">
        <v>2188.032340656521</v>
      </c>
      <c r="G90" s="44">
        <v>2740.516908101754</v>
      </c>
      <c r="H90" s="44">
        <v>3087.8538437119983</v>
      </c>
      <c r="I90" s="44">
        <v>3854.427</v>
      </c>
    </row>
    <row r="91" spans="1:9" ht="15" customHeight="1" hidden="1">
      <c r="A91" s="43"/>
      <c r="B91" s="44"/>
      <c r="C91" s="44"/>
      <c r="D91" s="44"/>
      <c r="E91" s="45"/>
      <c r="F91" s="44"/>
      <c r="G91" s="44"/>
      <c r="H91" s="44"/>
      <c r="I91" s="44"/>
    </row>
    <row r="92" spans="1:9" ht="15">
      <c r="A92" s="43" t="str">
        <f>HLOOKUP(INDICE!$F$2,Nombres!$C$3:$D$636,56,FALSE)</f>
        <v>Activos tangibles</v>
      </c>
      <c r="B92" s="44">
        <v>319.4215278940656</v>
      </c>
      <c r="C92" s="44">
        <v>340.7573583107194</v>
      </c>
      <c r="D92" s="44">
        <v>364.27533795406333</v>
      </c>
      <c r="E92" s="45">
        <v>409.8225435330724</v>
      </c>
      <c r="F92" s="44">
        <v>473.77634972810665</v>
      </c>
      <c r="G92" s="44">
        <v>567.3861049815382</v>
      </c>
      <c r="H92" s="44">
        <v>636.3108789089367</v>
      </c>
      <c r="I92" s="44">
        <v>619.248</v>
      </c>
    </row>
    <row r="93" spans="1:9" ht="15">
      <c r="A93" s="43" t="str">
        <f>HLOOKUP(INDICE!$F$2,Nombres!$C$3:$D$636,57,FALSE)</f>
        <v>Otros activos</v>
      </c>
      <c r="B93" s="58">
        <f>+B94-B92-B89-B88-B87</f>
        <v>167.9844052480505</v>
      </c>
      <c r="C93" s="58">
        <f aca="true" t="shared" si="15" ref="C93:I93">+C94-C92-C89-C88-C87</f>
        <v>178.87353591730516</v>
      </c>
      <c r="D93" s="58">
        <f t="shared" si="15"/>
        <v>166.56924321958786</v>
      </c>
      <c r="E93" s="64">
        <f t="shared" si="15"/>
        <v>180.42909285614724</v>
      </c>
      <c r="F93" s="44">
        <f t="shared" si="15"/>
        <v>199.45722455312261</v>
      </c>
      <c r="G93" s="44">
        <f t="shared" si="15"/>
        <v>228.43499146210672</v>
      </c>
      <c r="H93" s="44">
        <f t="shared" si="15"/>
        <v>232.55979132121092</v>
      </c>
      <c r="I93" s="44">
        <f t="shared" si="15"/>
        <v>288.6990862200016</v>
      </c>
    </row>
    <row r="94" spans="1:9" ht="15">
      <c r="A94" s="47" t="str">
        <f>HLOOKUP(INDICE!$F$2,Nombres!$C$3:$D$636,58,FALSE)</f>
        <v>Total activo / pasivo</v>
      </c>
      <c r="B94" s="47">
        <v>4134.631201456157</v>
      </c>
      <c r="C94" s="47">
        <v>4791.615329371826</v>
      </c>
      <c r="D94" s="47">
        <v>5051.943640504933</v>
      </c>
      <c r="E94" s="47">
        <v>5714.713182574496</v>
      </c>
      <c r="F94" s="51">
        <v>6443.107116440984</v>
      </c>
      <c r="G94" s="51">
        <v>7743.851819772661</v>
      </c>
      <c r="H94" s="51">
        <v>8756.82406907852</v>
      </c>
      <c r="I94" s="51">
        <v>10557.00608622</v>
      </c>
    </row>
    <row r="95" spans="1:9" ht="15">
      <c r="A95" s="43" t="str">
        <f>HLOOKUP(INDICE!$F$2,Nombres!$C$3:$D$636,59,FALSE)</f>
        <v>Pasivos financieros mantenidos para negociar y designados a valor razonable con cambios en resultados</v>
      </c>
      <c r="B95" s="58">
        <v>2.1156488116771963</v>
      </c>
      <c r="C95" s="58">
        <v>0.7529520442378483</v>
      </c>
      <c r="D95" s="58">
        <v>2.115880306057596</v>
      </c>
      <c r="E95" s="64">
        <v>1.6667774364070693</v>
      </c>
      <c r="F95" s="44">
        <v>1.7367321412799288</v>
      </c>
      <c r="G95" s="44">
        <v>0.7799348953252367</v>
      </c>
      <c r="H95" s="44">
        <v>2.93970416284693</v>
      </c>
      <c r="I95" s="44">
        <v>1.774</v>
      </c>
    </row>
    <row r="96" spans="1:9" ht="15">
      <c r="A96" s="43" t="str">
        <f>HLOOKUP(INDICE!$F$2,Nombres!$C$3:$D$636,60,FALSE)</f>
        <v>Depósitos de bancos centrales y entidades de crédito</v>
      </c>
      <c r="B96" s="58">
        <v>68.88241389173601</v>
      </c>
      <c r="C96" s="58">
        <v>63.97618735491765</v>
      </c>
      <c r="D96" s="58">
        <v>64.87689156195512</v>
      </c>
      <c r="E96" s="64">
        <v>69.35954772870971</v>
      </c>
      <c r="F96" s="44">
        <v>76.27056123869166</v>
      </c>
      <c r="G96" s="44">
        <v>108.41370640390161</v>
      </c>
      <c r="H96" s="44">
        <v>92.0823348458542</v>
      </c>
      <c r="I96" s="44">
        <v>122.95299999999996</v>
      </c>
    </row>
    <row r="97" spans="1:9" ht="15">
      <c r="A97" s="43" t="str">
        <f>HLOOKUP(INDICE!$F$2,Nombres!$C$3:$D$636,61,FALSE)</f>
        <v>Depósitos de la clientela</v>
      </c>
      <c r="B97" s="58">
        <v>2691.647498530028</v>
      </c>
      <c r="C97" s="58">
        <v>3227.4016356372886</v>
      </c>
      <c r="D97" s="58">
        <v>3343.5886307719393</v>
      </c>
      <c r="E97" s="64">
        <v>3754.937197787044</v>
      </c>
      <c r="F97" s="44">
        <v>4223.46216251325</v>
      </c>
      <c r="G97" s="44">
        <v>5161.432756226018</v>
      </c>
      <c r="H97" s="44">
        <v>5636.9257059420925</v>
      </c>
      <c r="I97" s="44">
        <v>6963.756000000001</v>
      </c>
    </row>
    <row r="98" spans="1:9" ht="15">
      <c r="A98" s="43" t="str">
        <f>HLOOKUP(INDICE!$F$2,Nombres!$C$3:$D$636,62,FALSE)</f>
        <v>Valores representativos de deuda emitidos</v>
      </c>
      <c r="B98" s="44">
        <v>110.83637401633419</v>
      </c>
      <c r="C98" s="44">
        <v>110.07850614434577</v>
      </c>
      <c r="D98" s="44">
        <v>120.93790044793697</v>
      </c>
      <c r="E98" s="45">
        <v>141.10190236819219</v>
      </c>
      <c r="F98" s="44">
        <v>164.4561903163818</v>
      </c>
      <c r="G98" s="44">
        <v>193.83880669580319</v>
      </c>
      <c r="H98" s="44">
        <v>226.26606635225724</v>
      </c>
      <c r="I98" s="44">
        <v>272.18229649</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882.881341054044</v>
      </c>
      <c r="C100" s="58">
        <f aca="true" t="shared" si="16" ref="C100:I100">+C94-C95-C96-C97-C98-C101</f>
        <v>999.8202003829069</v>
      </c>
      <c r="D100" s="58">
        <f t="shared" si="16"/>
        <v>1089.1554109537308</v>
      </c>
      <c r="E100" s="64">
        <f t="shared" si="16"/>
        <v>1274.2587890627615</v>
      </c>
      <c r="F100" s="44">
        <f t="shared" si="16"/>
        <v>1418.447763034476</v>
      </c>
      <c r="G100" s="44">
        <f t="shared" si="16"/>
        <v>1636.6859439748155</v>
      </c>
      <c r="H100" s="44">
        <f t="shared" si="16"/>
        <v>2038.7986346867237</v>
      </c>
      <c r="I100" s="44">
        <f t="shared" si="16"/>
        <v>2268.8449703600004</v>
      </c>
    </row>
    <row r="101" spans="1:9" ht="15">
      <c r="A101" s="43" t="str">
        <f>HLOOKUP(INDICE!$F$2,Nombres!$C$3:$D$636,282,FALSE)</f>
        <v>Dotación de capital regulatorio</v>
      </c>
      <c r="B101" s="58">
        <v>378.2679251523372</v>
      </c>
      <c r="C101" s="58">
        <v>389.5858478081296</v>
      </c>
      <c r="D101" s="58">
        <v>431.268926463313</v>
      </c>
      <c r="E101" s="64">
        <v>473.3889681913819</v>
      </c>
      <c r="F101" s="44">
        <v>558.7337071969039</v>
      </c>
      <c r="G101" s="44">
        <v>642.7006715767978</v>
      </c>
      <c r="H101" s="44">
        <v>759.8116230887453</v>
      </c>
      <c r="I101" s="44">
        <v>927.4958193699999</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1607.2797687799314</v>
      </c>
      <c r="C107" s="44">
        <v>1721.3897073486703</v>
      </c>
      <c r="D107" s="44">
        <v>1848.542208751202</v>
      </c>
      <c r="E107" s="45">
        <v>2107.758724327249</v>
      </c>
      <c r="F107" s="44">
        <v>2251.348448124554</v>
      </c>
      <c r="G107" s="44">
        <v>2808.5007478506805</v>
      </c>
      <c r="H107" s="44">
        <v>3169.0751420358697</v>
      </c>
      <c r="I107" s="44">
        <v>3964.02664087</v>
      </c>
    </row>
    <row r="108" spans="1:9" ht="15">
      <c r="A108" s="43" t="str">
        <f>HLOOKUP(INDICE!$F$2,Nombres!$C$3:$D$636,67,FALSE)</f>
        <v>Depósitos de clientes en gestión (**)</v>
      </c>
      <c r="B108" s="44">
        <v>2691.648516191996</v>
      </c>
      <c r="C108" s="44">
        <v>3227.4009509335897</v>
      </c>
      <c r="D108" s="44">
        <v>3343.5887418404986</v>
      </c>
      <c r="E108" s="45">
        <v>3754.935745548557</v>
      </c>
      <c r="F108" s="44">
        <v>4223.4614502048735</v>
      </c>
      <c r="G108" s="44">
        <v>5161.43329359565</v>
      </c>
      <c r="H108" s="44">
        <v>5636.926033447195</v>
      </c>
      <c r="I108" s="44">
        <v>6963.75571808</v>
      </c>
    </row>
    <row r="109" spans="1:9" ht="15">
      <c r="A109" s="43" t="str">
        <f>HLOOKUP(INDICE!$F$2,Nombres!$C$3:$D$636,68,FALSE)</f>
        <v>Fondos de inversión y carteras gestionadas</v>
      </c>
      <c r="B109" s="44">
        <v>759.0248561826041</v>
      </c>
      <c r="C109" s="44">
        <v>812.1406551426494</v>
      </c>
      <c r="D109" s="44">
        <v>1014.8564683011892</v>
      </c>
      <c r="E109" s="45">
        <v>1059.3993357877348</v>
      </c>
      <c r="F109" s="44">
        <v>1297.022036630361</v>
      </c>
      <c r="G109" s="44">
        <v>1368.802440666483</v>
      </c>
      <c r="H109" s="44">
        <v>1777.405716219426</v>
      </c>
      <c r="I109" s="44">
        <v>2302.8792526</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21735.656959069278</v>
      </c>
      <c r="C120" s="41">
        <v>26758.454143550065</v>
      </c>
      <c r="D120" s="41">
        <v>32552.26818263314</v>
      </c>
      <c r="E120" s="42">
        <v>41353.91734199981</v>
      </c>
      <c r="F120" s="50">
        <v>39255.376981208814</v>
      </c>
      <c r="G120" s="50">
        <v>62174.86435180591</v>
      </c>
      <c r="H120" s="50">
        <v>98416.01296423678</v>
      </c>
      <c r="I120" s="50">
        <v>143631.3255935359</v>
      </c>
    </row>
    <row r="121" spans="1:9" ht="15">
      <c r="A121" s="43" t="str">
        <f>HLOOKUP(INDICE!$F$2,Nombres!$C$3:$D$636,34,FALSE)</f>
        <v>Comisiones netas</v>
      </c>
      <c r="B121" s="44">
        <v>3365.2045704127745</v>
      </c>
      <c r="C121" s="44">
        <v>6159.171520703305</v>
      </c>
      <c r="D121" s="44">
        <v>7016.5727384810925</v>
      </c>
      <c r="E121" s="45">
        <v>7036.341768693674</v>
      </c>
      <c r="F121" s="44">
        <v>7516.917595045193</v>
      </c>
      <c r="G121" s="44">
        <v>11488.56400352605</v>
      </c>
      <c r="H121" s="44">
        <v>12781.916439863795</v>
      </c>
      <c r="I121" s="44">
        <v>14693.035011635715</v>
      </c>
    </row>
    <row r="122" spans="1:9" ht="15">
      <c r="A122" s="43" t="str">
        <f>HLOOKUP(INDICE!$F$2,Nombres!$C$3:$D$636,35,FALSE)</f>
        <v>Resultados de operaciones financieras</v>
      </c>
      <c r="B122" s="44">
        <v>2776.0698261513107</v>
      </c>
      <c r="C122" s="44">
        <v>2951.9460733159035</v>
      </c>
      <c r="D122" s="44">
        <v>2940.694890179773</v>
      </c>
      <c r="E122" s="45">
        <v>2025.0348765523192</v>
      </c>
      <c r="F122" s="44">
        <v>4189.318622586353</v>
      </c>
      <c r="G122" s="44">
        <v>4370.724426444238</v>
      </c>
      <c r="H122" s="44">
        <v>9428.153383298692</v>
      </c>
      <c r="I122" s="44">
        <v>7871.642187226968</v>
      </c>
    </row>
    <row r="123" spans="1:9" ht="15">
      <c r="A123" s="43" t="str">
        <f>HLOOKUP(INDICE!$F$2,Nombres!$C$3:$D$636,36,FALSE)</f>
        <v>Otros ingresos y cargas de explotación</v>
      </c>
      <c r="B123" s="44">
        <v>-13047.324336326277</v>
      </c>
      <c r="C123" s="44">
        <v>-15001.86287632614</v>
      </c>
      <c r="D123" s="44">
        <v>-13818.287526209393</v>
      </c>
      <c r="E123" s="45">
        <v>-19570.77610866346</v>
      </c>
      <c r="F123" s="44">
        <v>-22889.981515788615</v>
      </c>
      <c r="G123" s="44">
        <v>-35347.64479436862</v>
      </c>
      <c r="H123" s="44">
        <v>-58397.54509880628</v>
      </c>
      <c r="I123" s="44">
        <v>-70996.79665034125</v>
      </c>
    </row>
    <row r="124" spans="1:9" ht="15">
      <c r="A124" s="41" t="str">
        <f>HLOOKUP(INDICE!$F$2,Nombres!$C$3:$D$636,37,FALSE)</f>
        <v>Margen bruto</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42686.507987407575</v>
      </c>
      <c r="H124" s="50">
        <f t="shared" si="19"/>
        <v>62228.53768859299</v>
      </c>
      <c r="I124" s="50">
        <f t="shared" si="19"/>
        <v>95199.20614205734</v>
      </c>
    </row>
    <row r="125" spans="1:9" ht="15">
      <c r="A125" s="43" t="str">
        <f>HLOOKUP(INDICE!$F$2,Nombres!$C$3:$D$636,38,FALSE)</f>
        <v>Gastos de explotación</v>
      </c>
      <c r="B125" s="44">
        <v>-11442.394257914146</v>
      </c>
      <c r="C125" s="44">
        <v>-14054.76614190039</v>
      </c>
      <c r="D125" s="44">
        <v>-18711.769598807507</v>
      </c>
      <c r="E125" s="45">
        <v>-21468.59057887973</v>
      </c>
      <c r="F125" s="44">
        <v>-17950.782923453222</v>
      </c>
      <c r="G125" s="44">
        <v>-29061.619875948454</v>
      </c>
      <c r="H125" s="44">
        <v>-40001.25263425957</v>
      </c>
      <c r="I125" s="44">
        <v>-52866.90694494433</v>
      </c>
    </row>
    <row r="126" spans="1:9" ht="15">
      <c r="A126" s="43" t="str">
        <f>HLOOKUP(INDICE!$F$2,Nombres!$C$3:$D$636,39,FALSE)</f>
        <v>  Gastos de administración</v>
      </c>
      <c r="B126" s="44">
        <v>-10642.577286227179</v>
      </c>
      <c r="C126" s="44">
        <v>-12904.468709681145</v>
      </c>
      <c r="D126" s="44">
        <v>-17407.34715520446</v>
      </c>
      <c r="E126" s="45">
        <v>-19882.872983606692</v>
      </c>
      <c r="F126" s="44">
        <v>-17229.864800695963</v>
      </c>
      <c r="G126" s="44">
        <v>-26848.452972028725</v>
      </c>
      <c r="H126" s="44">
        <v>-37444.18619563557</v>
      </c>
      <c r="I126" s="44">
        <v>-49123.303302263674</v>
      </c>
    </row>
    <row r="127" spans="1:9" ht="15">
      <c r="A127" s="46" t="str">
        <f>HLOOKUP(INDICE!$F$2,Nombres!$C$3:$D$636,40,FALSE)</f>
        <v>  Gastos de personal</v>
      </c>
      <c r="B127" s="44">
        <v>-5999.705498722209</v>
      </c>
      <c r="C127" s="44">
        <v>-7096.519460579362</v>
      </c>
      <c r="D127" s="44">
        <v>-8638.174647986692</v>
      </c>
      <c r="E127" s="45">
        <v>-10043.280688462253</v>
      </c>
      <c r="F127" s="44">
        <v>-9299.289704738145</v>
      </c>
      <c r="G127" s="44">
        <v>-14536.936502022949</v>
      </c>
      <c r="H127" s="44">
        <v>-19622.974953376615</v>
      </c>
      <c r="I127" s="44">
        <v>-26359.747557124145</v>
      </c>
    </row>
    <row r="128" spans="1:9" ht="15">
      <c r="A128" s="46" t="str">
        <f>HLOOKUP(INDICE!$F$2,Nombres!$C$3:$D$636,41,FALSE)</f>
        <v>  Otros gastos de administración</v>
      </c>
      <c r="B128" s="44">
        <v>-4642.8717875049715</v>
      </c>
      <c r="C128" s="44">
        <v>-5807.9492491017845</v>
      </c>
      <c r="D128" s="44">
        <v>-8769.172507217772</v>
      </c>
      <c r="E128" s="45">
        <v>-9839.59229514444</v>
      </c>
      <c r="F128" s="44">
        <v>-7930.575095957818</v>
      </c>
      <c r="G128" s="44">
        <v>-12311.516470005772</v>
      </c>
      <c r="H128" s="44">
        <v>-17821.211242258956</v>
      </c>
      <c r="I128" s="44">
        <v>-22763.555745139533</v>
      </c>
    </row>
    <row r="129" spans="1:9" ht="15">
      <c r="A129" s="43" t="str">
        <f>HLOOKUP(INDICE!$F$2,Nombres!$C$3:$D$636,42,FALSE)</f>
        <v>  Amortización</v>
      </c>
      <c r="B129" s="44">
        <v>-799.8169716869681</v>
      </c>
      <c r="C129" s="44">
        <v>-1150.297432219244</v>
      </c>
      <c r="D129" s="44">
        <v>-1304.4224436030456</v>
      </c>
      <c r="E129" s="45">
        <v>-1585.7175952730377</v>
      </c>
      <c r="F129" s="44">
        <v>-720.918122757257</v>
      </c>
      <c r="G129" s="44">
        <v>-2213.166903919725</v>
      </c>
      <c r="H129" s="44">
        <v>-2557.0664386239896</v>
      </c>
      <c r="I129" s="44">
        <v>-3743.6036426806527</v>
      </c>
    </row>
    <row r="130" spans="1:9" ht="15">
      <c r="A130" s="41" t="str">
        <f>HLOOKUP(INDICE!$F$2,Nombres!$C$3:$D$636,43,FALSE)</f>
        <v>Margen neto</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13624.88811145912</v>
      </c>
      <c r="H130" s="50">
        <f t="shared" si="20"/>
        <v>22227.28505433342</v>
      </c>
      <c r="I130" s="50">
        <f t="shared" si="20"/>
        <v>42332.29919711302</v>
      </c>
    </row>
    <row r="131" spans="1:9" ht="15">
      <c r="A131" s="43" t="str">
        <f>HLOOKUP(INDICE!$F$2,Nombres!$C$3:$D$636,44,FALSE)</f>
        <v>Deterioro de activos financieros no valorados a valor razonable con cambios en resultados</v>
      </c>
      <c r="B131" s="44">
        <v>-2215.0768220999025</v>
      </c>
      <c r="C131" s="44">
        <v>-3837.3749453017717</v>
      </c>
      <c r="D131" s="44">
        <v>-3868.3082401255815</v>
      </c>
      <c r="E131" s="45">
        <v>-3297.189114074396</v>
      </c>
      <c r="F131" s="44">
        <v>-5830.017454215773</v>
      </c>
      <c r="G131" s="44">
        <v>-2525.9553703188435</v>
      </c>
      <c r="H131" s="44">
        <v>-8358.365569115002</v>
      </c>
      <c r="I131" s="44">
        <v>-15501.07661764088</v>
      </c>
    </row>
    <row r="132" spans="1:9" ht="15">
      <c r="A132" s="43" t="str">
        <f>HLOOKUP(INDICE!$F$2,Nombres!$C$3:$D$636,45,FALSE)</f>
        <v>Provisiones o reversión de provisiones y otros resultados</v>
      </c>
      <c r="B132" s="44">
        <v>-211.11372749569747</v>
      </c>
      <c r="C132" s="44">
        <v>-550.4613365749893</v>
      </c>
      <c r="D132" s="44">
        <v>-374.4727047255634</v>
      </c>
      <c r="E132" s="45">
        <v>-1130.9304131954575</v>
      </c>
      <c r="F132" s="44">
        <v>-595.4500498128259</v>
      </c>
      <c r="G132" s="44">
        <v>-1678.693143285328</v>
      </c>
      <c r="H132" s="44">
        <v>-766.3003617940602</v>
      </c>
      <c r="I132" s="44">
        <v>-4855.105227184548</v>
      </c>
    </row>
    <row r="133" spans="1:9" ht="15">
      <c r="A133" s="41" t="str">
        <f>HLOOKUP(INDICE!$F$2,Nombres!$C$3:$D$636,46,FALSE)</f>
        <v>Resultado antes de impuestos</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9420.23959785495</v>
      </c>
      <c r="H133" s="50">
        <f t="shared" si="21"/>
        <v>13102.61912342436</v>
      </c>
      <c r="I133" s="50">
        <f t="shared" si="21"/>
        <v>21976.11735228759</v>
      </c>
    </row>
    <row r="134" spans="1:9" ht="15">
      <c r="A134" s="43" t="str">
        <f>HLOOKUP(INDICE!$F$2,Nombres!$C$3:$D$636,47,FALSE)</f>
        <v>Impuesto sobre beneficios</v>
      </c>
      <c r="B134" s="44">
        <v>-370.41243705480065</v>
      </c>
      <c r="C134" s="44">
        <v>-1153.2452280933553</v>
      </c>
      <c r="D134" s="44">
        <v>-1220.5962790118053</v>
      </c>
      <c r="E134" s="45">
        <v>-1478.2837493599184</v>
      </c>
      <c r="F134" s="44">
        <v>-600.9203642154448</v>
      </c>
      <c r="G134" s="44">
        <v>6457.137612384988</v>
      </c>
      <c r="H134" s="44">
        <v>223.69144816936569</v>
      </c>
      <c r="I134" s="44">
        <v>-3744.9401065589454</v>
      </c>
    </row>
    <row r="135" spans="1:9" ht="15">
      <c r="A135" s="41" t="str">
        <f>HLOOKUP(INDICE!$F$2,Nombres!$C$3:$D$636,48,FALSE)</f>
        <v>Resultado del ejercicio</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15877.377210239938</v>
      </c>
      <c r="H135" s="50">
        <f t="shared" si="22"/>
        <v>13326.310571593725</v>
      </c>
      <c r="I135" s="50">
        <f t="shared" si="22"/>
        <v>18231.177245728646</v>
      </c>
    </row>
    <row r="136" spans="1:9" ht="15">
      <c r="A136" s="43" t="str">
        <f>HLOOKUP(INDICE!$F$2,Nombres!$C$3:$D$636,49,FALSE)</f>
        <v>Minoritarios</v>
      </c>
      <c r="B136" s="44">
        <v>-115.43152613378948</v>
      </c>
      <c r="C136" s="44">
        <v>-270.1339852288121</v>
      </c>
      <c r="D136" s="44">
        <v>-1540.1517393508057</v>
      </c>
      <c r="E136" s="45">
        <v>-1144.853022958522</v>
      </c>
      <c r="F136" s="44">
        <v>-822.4883287865507</v>
      </c>
      <c r="G136" s="44">
        <v>-5080.723364363719</v>
      </c>
      <c r="H136" s="44">
        <v>-4033.1617812182426</v>
      </c>
      <c r="I136" s="44">
        <v>-5684.711869333121</v>
      </c>
    </row>
    <row r="137" spans="1:9" ht="15">
      <c r="A137" s="47" t="str">
        <f>HLOOKUP(INDICE!$F$2,Nombres!$C$3:$D$636,50,FALSE)</f>
        <v>Resultado atribuido</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10796.653845876219</v>
      </c>
      <c r="H137" s="51">
        <f t="shared" si="23"/>
        <v>9293.148790375482</v>
      </c>
      <c r="I137" s="51">
        <f t="shared" si="23"/>
        <v>12546.465376395525</v>
      </c>
    </row>
    <row r="138" spans="1:9" ht="15">
      <c r="A138" s="62"/>
      <c r="B138" s="63">
        <v>2.0463630789890885E-12</v>
      </c>
      <c r="C138" s="63">
        <v>0</v>
      </c>
      <c r="D138" s="63">
        <v>-7.275957614183426E-12</v>
      </c>
      <c r="E138" s="63">
        <v>5.4569682106375694E-12</v>
      </c>
      <c r="F138" s="63">
        <v>-4.092726157978177E-12</v>
      </c>
      <c r="G138" s="63">
        <v>0</v>
      </c>
      <c r="H138" s="63">
        <v>0</v>
      </c>
      <c r="I138" s="63">
        <v>2.546585164964199E-11</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195668.35391870118</v>
      </c>
      <c r="C143" s="44">
        <v>198254.61735477528</v>
      </c>
      <c r="D143" s="44">
        <v>197215.37827158908</v>
      </c>
      <c r="E143" s="45">
        <v>219235.4101425981</v>
      </c>
      <c r="F143" s="44">
        <v>199131.99155514664</v>
      </c>
      <c r="G143" s="44">
        <v>189444.0898891105</v>
      </c>
      <c r="H143" s="44">
        <v>205113.44099798083</v>
      </c>
      <c r="I143" s="44">
        <v>302578.62588876556</v>
      </c>
    </row>
    <row r="144" spans="1:9" ht="15">
      <c r="A144" s="43" t="str">
        <f>HLOOKUP(INDICE!$F$2,Nombres!$C$3:$D$636,53,FALSE)</f>
        <v>Activos financieros a valor razonable</v>
      </c>
      <c r="B144" s="58">
        <v>145296.2735106854</v>
      </c>
      <c r="C144" s="58">
        <v>162220.26555158006</v>
      </c>
      <c r="D144" s="58">
        <v>179952.02380668602</v>
      </c>
      <c r="E144" s="64">
        <v>185066.0672829731</v>
      </c>
      <c r="F144" s="44">
        <v>363397.1567236727</v>
      </c>
      <c r="G144" s="44">
        <v>436274.15511361416</v>
      </c>
      <c r="H144" s="44">
        <v>539441.503270587</v>
      </c>
      <c r="I144" s="44">
        <v>662948.0389485712</v>
      </c>
    </row>
    <row r="145" spans="1:9" ht="15">
      <c r="A145" s="43" t="str">
        <f>HLOOKUP(INDICE!$F$2,Nombres!$C$3:$D$636,54,FALSE)</f>
        <v>Activos financieros a coste amortizado</v>
      </c>
      <c r="B145" s="44">
        <v>346589.8702235161</v>
      </c>
      <c r="C145" s="44">
        <v>444855.71671522193</v>
      </c>
      <c r="D145" s="44">
        <v>475124.89244579175</v>
      </c>
      <c r="E145" s="45">
        <v>561733.3366942953</v>
      </c>
      <c r="F145" s="44">
        <v>525175.123586529</v>
      </c>
      <c r="G145" s="44">
        <v>684085.6256706354</v>
      </c>
      <c r="H145" s="44">
        <v>742437.8893717045</v>
      </c>
      <c r="I145" s="44">
        <v>853459.941557545</v>
      </c>
    </row>
    <row r="146" spans="1:9" ht="15">
      <c r="A146" s="43" t="str">
        <f>HLOOKUP(INDICE!$F$2,Nombres!$C$3:$D$636,55,FALSE)</f>
        <v>    de los que préstamos y anticipos a la clientela</v>
      </c>
      <c r="B146" s="44">
        <v>288842.6104548462</v>
      </c>
      <c r="C146" s="44">
        <v>309142.49436588</v>
      </c>
      <c r="D146" s="44">
        <v>332423.6921131029</v>
      </c>
      <c r="E146" s="45">
        <v>383621.9348699468</v>
      </c>
      <c r="F146" s="44">
        <v>412475.6125973583</v>
      </c>
      <c r="G146" s="44">
        <v>516626.9115398509</v>
      </c>
      <c r="H146" s="44">
        <v>582104.9269381687</v>
      </c>
      <c r="I146" s="44">
        <v>726615.0086062074</v>
      </c>
    </row>
    <row r="147" spans="1:9" ht="15" customHeight="1" hidden="1">
      <c r="A147" s="43"/>
      <c r="B147" s="44"/>
      <c r="C147" s="44"/>
      <c r="D147" s="44"/>
      <c r="E147" s="45"/>
      <c r="F147" s="44"/>
      <c r="G147" s="44"/>
      <c r="H147" s="44"/>
      <c r="I147" s="44"/>
    </row>
    <row r="148" spans="1:9" ht="15">
      <c r="A148" s="43" t="str">
        <f>HLOOKUP(INDICE!$F$2,Nombres!$C$3:$D$636,56,FALSE)</f>
        <v>Activos tangibles</v>
      </c>
      <c r="B148" s="44">
        <v>38640.42866451309</v>
      </c>
      <c r="C148" s="44">
        <v>42632.280572879325</v>
      </c>
      <c r="D148" s="44">
        <v>45614.14656548944</v>
      </c>
      <c r="E148" s="45">
        <v>52552.231697507785</v>
      </c>
      <c r="F148" s="44">
        <v>64524.32673778189</v>
      </c>
      <c r="G148" s="44">
        <v>80714.48404019405</v>
      </c>
      <c r="H148" s="44">
        <v>97894.96991759767</v>
      </c>
      <c r="I148" s="44">
        <v>116737.16763850418</v>
      </c>
    </row>
    <row r="149" spans="1:9" ht="15">
      <c r="A149" s="43" t="str">
        <f>HLOOKUP(INDICE!$F$2,Nombres!$C$3:$D$636,57,FALSE)</f>
        <v>Otros activos</v>
      </c>
      <c r="B149" s="58">
        <f>+B150-B148-B145-B144-B143</f>
        <v>31873.68512389154</v>
      </c>
      <c r="C149" s="58">
        <f aca="true" t="shared" si="25" ref="C149:H149">+C150-C148-C145-C144-C143</f>
        <v>33524.9983625453</v>
      </c>
      <c r="D149" s="58">
        <f t="shared" si="25"/>
        <v>30913.072646801593</v>
      </c>
      <c r="E149" s="64">
        <f t="shared" si="25"/>
        <v>33142.45294802869</v>
      </c>
      <c r="F149" s="44">
        <f t="shared" si="25"/>
        <v>36579.72450088704</v>
      </c>
      <c r="G149" s="44">
        <f t="shared" si="25"/>
        <v>41816.94821815172</v>
      </c>
      <c r="H149" s="44">
        <f t="shared" si="25"/>
        <v>42545.368493609305</v>
      </c>
      <c r="I149" s="44">
        <f>+I150-I148-I145-I144-I143</f>
        <v>54423.93616959138</v>
      </c>
    </row>
    <row r="150" spans="1:9" ht="15">
      <c r="A150" s="47" t="str">
        <f>HLOOKUP(INDICE!$F$2,Nombres!$C$3:$D$636,58,FALSE)</f>
        <v>Total activo / pasivo</v>
      </c>
      <c r="B150" s="47">
        <v>758068.6114413072</v>
      </c>
      <c r="C150" s="47">
        <v>881487.8785570019</v>
      </c>
      <c r="D150" s="47">
        <v>928819.5137363579</v>
      </c>
      <c r="E150" s="47">
        <v>1051729.498765403</v>
      </c>
      <c r="F150" s="51">
        <v>1188808.3231040174</v>
      </c>
      <c r="G150" s="51">
        <v>1432335.3029317057</v>
      </c>
      <c r="H150" s="51">
        <v>1627433.1720514793</v>
      </c>
      <c r="I150" s="51">
        <v>1990147.7102029773</v>
      </c>
    </row>
    <row r="151" spans="1:9" ht="15">
      <c r="A151" s="43" t="str">
        <f>HLOOKUP(INDICE!$F$2,Nombres!$C$3:$D$636,59,FALSE)</f>
        <v>Pasivos financieros mantenidos para negociar y designados a valor razonable con cambios en resultados</v>
      </c>
      <c r="B151" s="58">
        <v>398.83027477353664</v>
      </c>
      <c r="C151" s="58">
        <v>141.94230584830007</v>
      </c>
      <c r="D151" s="58">
        <v>398.8739147986835</v>
      </c>
      <c r="E151" s="64">
        <v>314.2115549988507</v>
      </c>
      <c r="F151" s="44">
        <v>327.3990244938593</v>
      </c>
      <c r="G151" s="44">
        <v>147.02896193883774</v>
      </c>
      <c r="H151" s="44">
        <v>554.1765781494179</v>
      </c>
      <c r="I151" s="44">
        <v>334.4245526682467</v>
      </c>
    </row>
    <row r="152" spans="1:9" ht="15">
      <c r="A152" s="43" t="str">
        <f>HLOOKUP(INDICE!$F$2,Nombres!$C$3:$D$636,60,FALSE)</f>
        <v>Depósitos de bancos centrales y entidades de crédito</v>
      </c>
      <c r="B152" s="58">
        <v>12985.327199804304</v>
      </c>
      <c r="C152" s="58">
        <v>12060.43282840376</v>
      </c>
      <c r="D152" s="58">
        <v>12230.22854515963</v>
      </c>
      <c r="E152" s="64">
        <v>13075.273800702174</v>
      </c>
      <c r="F152" s="44">
        <v>14378.099393464245</v>
      </c>
      <c r="G152" s="44">
        <v>20437.54524646643</v>
      </c>
      <c r="H152" s="44">
        <v>17358.846470954053</v>
      </c>
      <c r="I152" s="44">
        <v>23178.411513088464</v>
      </c>
    </row>
    <row r="153" spans="1:9" ht="15">
      <c r="A153" s="43" t="str">
        <f>HLOOKUP(INDICE!$F$2,Nombres!$C$3:$D$636,61,FALSE)</f>
        <v>Depósitos de la clientela</v>
      </c>
      <c r="B153" s="58">
        <v>507414.3239213696</v>
      </c>
      <c r="C153" s="58">
        <v>608411.6957602976</v>
      </c>
      <c r="D153" s="58">
        <v>630314.6178988395</v>
      </c>
      <c r="E153" s="64">
        <v>707859.7478395109</v>
      </c>
      <c r="F153" s="44">
        <v>796183.4523166625</v>
      </c>
      <c r="G153" s="44">
        <v>973004.4197452771</v>
      </c>
      <c r="H153" s="44">
        <v>1062641.6897597662</v>
      </c>
      <c r="I153" s="44">
        <v>1312768.3118324797</v>
      </c>
    </row>
    <row r="154" spans="1:9" ht="15">
      <c r="A154" s="43" t="str">
        <f>HLOOKUP(INDICE!$F$2,Nombres!$C$3:$D$636,62,FALSE)</f>
        <v>Valores representativos de deuda emitidos</v>
      </c>
      <c r="B154" s="44">
        <v>20894.252987476346</v>
      </c>
      <c r="C154" s="44">
        <v>20751.38397728956</v>
      </c>
      <c r="D154" s="44">
        <v>22798.536222062157</v>
      </c>
      <c r="E154" s="45">
        <v>26599.74102599847</v>
      </c>
      <c r="F154" s="44">
        <v>31002.360699030454</v>
      </c>
      <c r="G154" s="44">
        <v>36541.407113298046</v>
      </c>
      <c r="H154" s="44">
        <v>42654.41264028041</v>
      </c>
      <c r="I154" s="44">
        <v>51310.2833979055</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145080.13328717608</v>
      </c>
      <c r="C156" s="58">
        <f aca="true" t="shared" si="26" ref="C156:I156">+C150-C151-C152-C153-C154-C157</f>
        <v>166692.4276309313</v>
      </c>
      <c r="D156" s="58">
        <f t="shared" si="26"/>
        <v>181789.98866928119</v>
      </c>
      <c r="E156" s="64">
        <f t="shared" si="26"/>
        <v>214653.52193124234</v>
      </c>
      <c r="F156" s="44">
        <f t="shared" si="26"/>
        <v>241600.3283660772</v>
      </c>
      <c r="G156" s="44">
        <f t="shared" si="26"/>
        <v>281058.82856155524</v>
      </c>
      <c r="H156" s="44">
        <f t="shared" si="26"/>
        <v>360998.61508878635</v>
      </c>
      <c r="I156" s="44">
        <f t="shared" si="26"/>
        <v>427709.9573203182</v>
      </c>
    </row>
    <row r="157" spans="1:9" ht="15.75" customHeight="1">
      <c r="A157" s="43" t="str">
        <f>HLOOKUP(INDICE!$F$2,Nombres!$C$3:$D$636,282,FALSE)</f>
        <v>Dotación de capital regulatorio</v>
      </c>
      <c r="B157" s="58">
        <v>71295.74377070741</v>
      </c>
      <c r="C157" s="58">
        <v>73429.99605423138</v>
      </c>
      <c r="D157" s="58">
        <v>81287.26848621668</v>
      </c>
      <c r="E157" s="64">
        <v>89227.00261295025</v>
      </c>
      <c r="F157" s="44">
        <v>105316.68330428928</v>
      </c>
      <c r="G157" s="44">
        <v>121146.07330316995</v>
      </c>
      <c r="H157" s="44">
        <v>143225.4315135428</v>
      </c>
      <c r="I157" s="44">
        <v>174846.32158651704</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302995.3876476615</v>
      </c>
      <c r="C163" s="44">
        <v>324506.75470563886</v>
      </c>
      <c r="D163" s="44">
        <v>348476.832722657</v>
      </c>
      <c r="E163" s="45">
        <v>397342.879659377</v>
      </c>
      <c r="F163" s="44">
        <v>424411.61085930414</v>
      </c>
      <c r="G163" s="44">
        <v>529442.8445706877</v>
      </c>
      <c r="H163" s="44">
        <v>597416.311582529</v>
      </c>
      <c r="I163" s="44">
        <v>747276.119581715</v>
      </c>
    </row>
    <row r="164" spans="1:9" ht="15">
      <c r="A164" s="43" t="str">
        <f>HLOOKUP(INDICE!$F$2,Nombres!$C$3:$D$636,67,FALSE)</f>
        <v>Depósitos de clientes en gestión (**)</v>
      </c>
      <c r="B164" s="44">
        <v>507414.515765309</v>
      </c>
      <c r="C164" s="44">
        <v>608411.566683788</v>
      </c>
      <c r="D164" s="44">
        <v>630314.6388368629</v>
      </c>
      <c r="E164" s="45">
        <v>707859.4740716382</v>
      </c>
      <c r="F164" s="44">
        <v>796183.3180362736</v>
      </c>
      <c r="G164" s="44">
        <v>973004.5210471927</v>
      </c>
      <c r="H164" s="44">
        <v>1062641.7514991954</v>
      </c>
      <c r="I164" s="44">
        <v>1312768.2586864987</v>
      </c>
    </row>
    <row r="165" spans="1:9" ht="15">
      <c r="A165" s="43" t="str">
        <f>HLOOKUP(INDICE!$F$2,Nombres!$C$3:$D$636,68,FALSE)</f>
        <v>Fondos de inversión y carteras gestionadas</v>
      </c>
      <c r="B165" s="44">
        <v>143087.1183725748</v>
      </c>
      <c r="C165" s="44">
        <v>153100.21155568052</v>
      </c>
      <c r="D165" s="44">
        <v>191315.06225146668</v>
      </c>
      <c r="E165" s="45">
        <v>199712.03436744696</v>
      </c>
      <c r="F165" s="44">
        <v>244507.33618994747</v>
      </c>
      <c r="G165" s="44">
        <v>258038.97627457322</v>
      </c>
      <c r="H165" s="44">
        <v>335066.57923149166</v>
      </c>
      <c r="I165" s="44">
        <v>434125.90975182713</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2023-01-31T16:33:26Z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