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26" yWindow="1335" windowWidth="23475" windowHeight="918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r:id="rId22"/>
    <sheet name="Recursos" sheetId="23" r:id="rId23"/>
    <sheet name="ALCO" sheetId="24" r:id="rId24"/>
  </sheets>
  <externalReferences>
    <externalReference r:id="rId27"/>
    <externalReference r:id="rId28"/>
  </externalReferences>
  <definedNames/>
  <calcPr fullCalcOnLoad="1"/>
</workbook>
</file>

<file path=xl/sharedStrings.xml><?xml version="1.0" encoding="utf-8"?>
<sst xmlns="http://schemas.openxmlformats.org/spreadsheetml/2006/main" count="669" uniqueCount="555">
  <si>
    <t>IDIOMA/LANGUAGE</t>
  </si>
  <si>
    <t>1er Trim.</t>
  </si>
  <si>
    <t>2º Trim.</t>
  </si>
  <si>
    <t>3er Trim.</t>
  </si>
  <si>
    <t>4º Trim.</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</si>
  <si>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</si>
  <si>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</si>
  <si>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</si>
  <si>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</si>
  <si>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</si>
  <si>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</si>
  <si>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</si>
  <si>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</si>
  <si>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</si>
  <si>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</si>
  <si>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</si>
  <si>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</si>
  <si>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</si>
  <si>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</si>
  <si>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</si>
  <si>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</si>
  <si>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</si>
  <si>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</si>
  <si>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</si>
  <si>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</si>
  <si>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</si>
  <si>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</si>
  <si>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</si>
  <si>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</si>
  <si>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</si>
  <si>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</si>
  <si>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</si>
  <si>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</si>
  <si>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</si>
  <si>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</si>
  <si>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</si>
  <si>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</si>
  <si>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</si>
  <si>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</si>
  <si>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</si>
  <si>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</si>
  <si>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</si>
  <si>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</si>
  <si>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</si>
  <si>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</si>
  <si>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</si>
  <si>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</si>
  <si>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</si>
  <si>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</si>
  <si>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</si>
  <si>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</si>
  <si>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</si>
  <si>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</si>
  <si>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</si>
  <si>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</si>
  <si>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</si>
  <si>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</si>
  <si>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</si>
  <si>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</si>
  <si>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</si>
  <si>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</si>
  <si>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</si>
  <si>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</si>
  <si>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</si>
  <si>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</si>
  <si>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</si>
  <si>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</si>
  <si>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</si>
  <si>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</si>
  <si>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</si>
  <si>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</si>
  <si>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</si>
  <si>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</si>
  <si>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</si>
  <si>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</si>
  <si>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</si>
  <si>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</si>
  <si>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</si>
  <si>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</si>
  <si>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</si>
  <si>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</si>
  <si>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</si>
  <si>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</si>
  <si>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</si>
  <si>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</si>
  <si>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</si>
  <si>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</si>
  <si>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</si>
  <si>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</si>
  <si>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</si>
  <si>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</si>
  <si>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</si>
  <si>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</si>
  <si>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</si>
  <si>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</si>
  <si>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</si>
  <si>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</si>
  <si>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</si>
  <si>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</si>
  <si>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</si>
  <si>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</si>
  <si>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</si>
  <si>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</si>
  <si>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</si>
  <si>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</si>
  <si>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</si>
  <si>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</si>
  <si>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</si>
  <si>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</si>
  <si>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</si>
  <si>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</si>
  <si>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</si>
  <si>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</si>
  <si>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</si>
  <si>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</si>
  <si>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</si>
  <si>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</si>
  <si>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</si>
  <si>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</si>
  <si>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</si>
  <si>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</si>
  <si>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</si>
  <si>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</si>
  <si>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</si>
  <si>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</si>
  <si>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</si>
  <si>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</si>
  <si>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</si>
  <si>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</si>
  <si>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</si>
  <si>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</si>
  <si>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</si>
  <si>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</si>
  <si>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</si>
  <si>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</si>
  <si>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</si>
  <si>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</si>
  <si>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</si>
  <si>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</si>
  <si>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</si>
  <si>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</si>
  <si>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</si>
  <si>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</si>
  <si>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</si>
  <si>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</si>
  <si>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</si>
  <si>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</si>
  <si>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</si>
  <si>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</si>
  <si>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</si>
  <si>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</si>
  <si>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</si>
  <si>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</si>
  <si>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</si>
  <si>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</si>
  <si>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</si>
  <si>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</si>
  <si>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</si>
  <si>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</si>
  <si>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</si>
  <si>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</si>
  <si>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</si>
  <si>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</si>
  <si>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</si>
  <si>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</si>
  <si>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</si>
  <si>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</si>
  <si>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</si>
  <si>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</si>
  <si>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</si>
  <si>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</si>
  <si>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</si>
  <si>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</si>
  <si>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</si>
  <si>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</si>
  <si>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</si>
  <si>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</si>
  <si>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</si>
  <si>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</si>
  <si>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</si>
  <si>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</si>
  <si>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</si>
  <si>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</si>
  <si>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</si>
  <si>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</si>
  <si>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</si>
  <si>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</si>
  <si>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</si>
  <si>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</si>
  <si>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</si>
  <si>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</si>
  <si>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</si>
  <si>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</si>
  <si>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</si>
  <si>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</si>
  <si>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</si>
  <si>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</si>
  <si>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</si>
  <si>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</si>
  <si>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</si>
  <si>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</si>
  <si>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</si>
  <si>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</si>
  <si>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</si>
  <si>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</si>
  <si>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</si>
  <si>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</si>
  <si>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</si>
  <si>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</si>
  <si>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</si>
  <si>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</si>
  <si>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</si>
  <si>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</si>
  <si>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</si>
  <si>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</si>
  <si>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</si>
  <si>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</si>
  <si>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</si>
  <si>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</si>
  <si>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</si>
  <si>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</si>
  <si>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</si>
  <si>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</si>
  <si>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</si>
  <si>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</si>
  <si>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</si>
  <si>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</si>
  <si>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</si>
  <si>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</si>
  <si>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</si>
  <si>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</si>
  <si>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</si>
  <si>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</si>
  <si>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</si>
  <si>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</si>
  <si>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</si>
  <si>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</si>
  <si>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</si>
  <si>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</si>
  <si>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</si>
  <si>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</si>
  <si>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</si>
  <si>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</si>
  <si>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</si>
  <si>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</si>
  <si>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</si>
  <si>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</si>
  <si>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</si>
  <si>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</si>
  <si>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</si>
  <si>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</si>
  <si>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</si>
  <si>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</si>
  <si>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</si>
  <si>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</si>
  <si>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</si>
  <si>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</si>
  <si>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</si>
  <si>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</si>
  <si>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</si>
  <si>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</si>
  <si>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</si>
  <si>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</si>
  <si>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</si>
  <si>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</si>
  <si>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</si>
  <si>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</si>
  <si>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</si>
  <si>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</si>
  <si>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</si>
  <si>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</si>
  <si>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</si>
  <si>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</si>
  <si>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</si>
  <si>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</si>
  <si>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</si>
  <si>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</si>
  <si>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</si>
  <si>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</si>
  <si>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</si>
  <si>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</si>
  <si>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</si>
  <si>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</si>
  <si>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</si>
  <si>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</si>
  <si>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</si>
  <si>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</si>
  <si>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</si>
  <si>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</si>
  <si>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</si>
  <si>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</si>
  <si>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</si>
  <si>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</si>
  <si>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</si>
  <si>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</si>
  <si>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</si>
  <si>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</si>
  <si>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</si>
  <si>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</si>
  <si>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</si>
  <si>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</si>
  <si>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</si>
  <si>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</si>
  <si>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</si>
  <si>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</si>
  <si>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</si>
  <si>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</si>
  <si>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</si>
  <si>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</si>
  <si>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</si>
  <si>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</si>
  <si>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</si>
  <si>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</si>
  <si>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</si>
  <si>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</si>
  <si>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</si>
  <si>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</si>
  <si>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</si>
  <si>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</si>
  <si>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</si>
  <si>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</si>
  <si>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</si>
  <si>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</si>
  <si>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</si>
  <si>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</si>
  <si>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</si>
  <si>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</si>
  <si>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</si>
  <si>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</si>
  <si>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</si>
  <si>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</si>
  <si>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</si>
  <si>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</si>
  <si>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</si>
  <si>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</si>
  <si>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</si>
  <si>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</si>
  <si>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</si>
  <si>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</si>
  <si>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</si>
  <si>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</si>
  <si>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</si>
  <si>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</si>
  <si>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</si>
  <si>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</si>
  <si>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</si>
  <si>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</si>
  <si>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</si>
  <si>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</si>
  <si>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</si>
  <si>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</si>
  <si>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</si>
  <si>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</si>
  <si>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</si>
  <si>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</si>
  <si>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</si>
  <si>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</si>
  <si>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</si>
  <si>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</si>
  <si>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</si>
  <si>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</si>
  <si>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</si>
  <si>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</si>
  <si>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</si>
  <si>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</si>
  <si>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</si>
  <si>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</si>
  <si>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</si>
  <si>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</si>
  <si>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</si>
  <si>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</si>
  <si>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</si>
  <si>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</si>
  <si>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</si>
  <si>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</si>
  <si>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</si>
  <si>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</si>
  <si>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</si>
  <si>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</si>
  <si>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</si>
  <si>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</si>
  <si>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</si>
  <si>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</si>
  <si>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</si>
  <si>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</si>
  <si>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</si>
  <si>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</si>
  <si>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</si>
  <si>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</si>
  <si>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</si>
  <si>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</si>
  <si>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</si>
  <si>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</si>
  <si>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</si>
  <si>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</si>
  <si>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</si>
  <si>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</si>
  <si>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</si>
  <si>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</si>
  <si>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</si>
  <si>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</si>
  <si>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</si>
  <si>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</si>
  <si>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</si>
  <si>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</si>
  <si>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</si>
  <si>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</si>
  <si>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</si>
  <si>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</si>
  <si>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</si>
  <si>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</si>
  <si>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</si>
  <si>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</si>
  <si>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</si>
  <si>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</si>
  <si>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</si>
  <si>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</si>
  <si>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</si>
  <si>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</si>
  <si>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</si>
  <si>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</si>
  <si>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</si>
  <si>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</si>
  <si>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</si>
  <si>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</si>
  <si>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</si>
  <si>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</si>
  <si>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</si>
  <si>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</si>
  <si>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</si>
  <si>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</si>
  <si>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</si>
  <si>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</si>
  <si>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</si>
  <si>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</si>
  <si>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</si>
  <si>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</si>
  <si>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</si>
  <si>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</si>
  <si>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</si>
  <si>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</si>
  <si>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</si>
  <si>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</si>
  <si>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</si>
  <si>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</si>
  <si>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</si>
  <si>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</si>
  <si>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</si>
  <si>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</si>
  <si>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</si>
  <si>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</si>
  <si>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</si>
  <si>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</si>
  <si>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</si>
  <si>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</si>
  <si>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</si>
  <si>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</si>
  <si>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</si>
  <si>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</si>
  <si>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</si>
  <si>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</si>
  <si>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</si>
  <si>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</si>
  <si>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</si>
  <si>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</si>
  <si>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</si>
  <si>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</si>
  <si>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</si>
  <si>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</si>
  <si>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</si>
  <si>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</si>
  <si>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</si>
  <si>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</si>
  <si>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</si>
  <si>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</si>
  <si>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</si>
  <si>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</si>
  <si>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</si>
  <si>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</si>
  <si>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</si>
  <si>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</si>
  <si>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</si>
  <si>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</si>
  <si>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</si>
  <si>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</si>
  <si>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</si>
  <si>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</si>
  <si>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</si>
  <si>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</si>
  <si>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</si>
  <si>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</si>
  <si>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</si>
  <si>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</si>
  <si>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</si>
  <si>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</si>
  <si>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</si>
  <si>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</si>
  <si>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</si>
  <si>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</si>
  <si>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</si>
  <si>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</si>
  <si>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</si>
  <si>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</si>
  <si>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</si>
  <si>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</si>
  <si>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</si>
  <si>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</si>
  <si>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</si>
  <si>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</si>
  <si>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</si>
  <si>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</si>
  <si>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</si>
  <si>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</si>
  <si>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</si>
  <si>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</si>
  <si>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</si>
  <si>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</si>
  <si>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</si>
  <si>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</si>
  <si>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</si>
  <si>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</si>
  <si>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</si>
  <si>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</si>
  <si>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</si>
  <si>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</si>
  <si>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</si>
  <si>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</si>
  <si>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</si>
  <si>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</si>
  <si>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</si>
  <si>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</si>
  <si>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</si>
  <si>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</si>
  <si>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</si>
  <si>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</si>
  <si>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</si>
  <si>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</si>
  <si>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</si>
  <si>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</si>
  <si>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</si>
  <si>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</si>
  <si>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</si>
  <si>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</si>
  <si>
    <t>(*)El dato del trimestre en curso es provisional</t>
  </si>
  <si>
    <t>(*)The data for the current quarter is provisional</t>
  </si>
  <si>
    <t>Resultado Atribuido</t>
  </si>
  <si>
    <t>Series trimestrales 2022-2023</t>
  </si>
  <si>
    <t>Quarterly series 2022-2023</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</si>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</sst>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
    <numFmt numFmtId="178" formatCode="0.00000%"/>
    <numFmt numFmtId="179" formatCode="0.000000%"/>
    <numFmt numFmtId="180" formatCode="0.0000000%"/>
    <numFmt numFmtId="181" formatCode="0.000"/>
    <numFmt numFmtId="182" formatCode="0.0000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8"/>
      <color indexed="56"/>
      <name val="Calibri"/>
      <family val="2"/>
    </font>
    <font>
      <sz val="12"/>
      <color indexed="56"/>
      <name val="Arial"/>
      <family val="2"/>
    </font>
    <font>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10">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69"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10" fontId="15" fillId="0" borderId="0" xfId="54" applyNumberFormat="1" applyFont="1" applyFill="1" applyBorder="1">
      <alignment/>
      <protection/>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69"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10" fontId="0" fillId="0" borderId="0" xfId="63" applyNumberFormat="1" applyFont="1" applyFill="1" applyAlignment="1">
      <alignment/>
    </xf>
    <xf numFmtId="0" fontId="0" fillId="0" borderId="0" xfId="57" applyFont="1" applyAlignment="1">
      <alignment horizontal="right"/>
      <protection/>
    </xf>
    <xf numFmtId="14" fontId="18" fillId="0" borderId="0" xfId="0" applyNumberFormat="1" applyFont="1" applyFill="1" applyAlignment="1">
      <alignment vertical="center"/>
    </xf>
    <xf numFmtId="165" fontId="16" fillId="0" borderId="0" xfId="0" applyNumberFormat="1" applyFont="1" applyFill="1" applyBorder="1" applyAlignment="1">
      <alignment horizontal="right" vertical="center"/>
    </xf>
    <xf numFmtId="165" fontId="15" fillId="0" borderId="10" xfId="0" applyNumberFormat="1" applyFont="1" applyFill="1" applyBorder="1" applyAlignment="1">
      <alignment/>
    </xf>
    <xf numFmtId="165" fontId="15" fillId="0" borderId="0" xfId="0" applyNumberFormat="1" applyFont="1" applyFill="1" applyBorder="1" applyAlignment="1">
      <alignment horizontal="right"/>
    </xf>
    <xf numFmtId="165" fontId="15" fillId="0" borderId="0" xfId="59" applyNumberFormat="1" applyFont="1" applyFill="1" applyBorder="1">
      <alignment/>
      <protection/>
    </xf>
    <xf numFmtId="10" fontId="0" fillId="0" borderId="0" xfId="64" applyNumberFormat="1" applyFont="1" applyAlignment="1">
      <alignment/>
    </xf>
    <xf numFmtId="0" fontId="0" fillId="0" borderId="0" xfId="57" applyFont="1" applyAlignment="1">
      <alignment horizontal="right"/>
      <protection/>
    </xf>
    <xf numFmtId="0" fontId="69" fillId="0" borderId="0" xfId="57" applyFont="1">
      <alignment/>
      <protection/>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0" fontId="0" fillId="0" borderId="0" xfId="0" applyFill="1" applyBorder="1" applyAlignment="1">
      <alignment horizontal="right"/>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113" fillId="0" borderId="11"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xf numFmtId="167" fontId="0" fillId="0" borderId="0" xfId="63" applyNumberFormat="1" applyFont="1" applyAlignment="1">
      <alignment/>
    </xf>
    <xf numFmtId="0" fontId="0" fillId="0" borderId="0" xfId="57" applyFont="1">
      <alignment/>
      <protection/>
    </xf>
    <xf numFmtId="3" fontId="109" fillId="0" borderId="0" xfId="57" applyNumberFormat="1" applyFont="1" applyFill="1">
      <alignment/>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26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860107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628650</xdr:colOff>
      <xdr:row>5</xdr:row>
      <xdr:rowOff>85725</xdr:rowOff>
    </xdr:to>
    <xdr:sp>
      <xdr:nvSpPr>
        <xdr:cNvPr id="1" name="2 Rectángulo redondeado">
          <a:hlinkClick r:id="rId1"/>
        </xdr:cNvPr>
        <xdr:cNvSpPr>
          <a:spLocks/>
        </xdr:cNvSpPr>
      </xdr:nvSpPr>
      <xdr:spPr>
        <a:xfrm>
          <a:off x="8124825" y="3429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581025</xdr:colOff>
      <xdr:row>6</xdr:row>
      <xdr:rowOff>9525</xdr:rowOff>
    </xdr:to>
    <xdr:sp>
      <xdr:nvSpPr>
        <xdr:cNvPr id="1" name="2 Rectángulo redondeado">
          <a:hlinkClick r:id="rId1"/>
        </xdr:cNvPr>
        <xdr:cNvSpPr>
          <a:spLocks/>
        </xdr:cNvSpPr>
      </xdr:nvSpPr>
      <xdr:spPr>
        <a:xfrm>
          <a:off x="7515225" y="457200"/>
          <a:ext cx="119062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8067675" y="523875"/>
          <a:ext cx="12382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733425</xdr:colOff>
      <xdr:row>5</xdr:row>
      <xdr:rowOff>123825</xdr:rowOff>
    </xdr:to>
    <xdr:sp>
      <xdr:nvSpPr>
        <xdr:cNvPr id="1" name="2 Rectángulo redondeado">
          <a:hlinkClick r:id="rId1"/>
        </xdr:cNvPr>
        <xdr:cNvSpPr>
          <a:spLocks/>
        </xdr:cNvSpPr>
      </xdr:nvSpPr>
      <xdr:spPr>
        <a:xfrm>
          <a:off x="8229600" y="35242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6553200" y="123825"/>
          <a:ext cx="95250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105650" y="133350"/>
          <a:ext cx="1200150"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5829300" y="323850"/>
          <a:ext cx="952500"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15375" y="200025"/>
          <a:ext cx="1066800"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5953125"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9124950"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7677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7029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6772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6496050" y="266700"/>
          <a:ext cx="981075"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152400</xdr:rowOff>
    </xdr:to>
    <xdr:sp>
      <xdr:nvSpPr>
        <xdr:cNvPr id="1" name="2 Rectángulo redondeado">
          <a:hlinkClick r:id="rId1"/>
        </xdr:cNvPr>
        <xdr:cNvSpPr>
          <a:spLocks/>
        </xdr:cNvSpPr>
      </xdr:nvSpPr>
      <xdr:spPr>
        <a:xfrm>
          <a:off x="9620250" y="6000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8458200" y="590550"/>
          <a:ext cx="120015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161925</xdr:rowOff>
    </xdr:from>
    <xdr:to>
      <xdr:col>10</xdr:col>
      <xdr:colOff>628650</xdr:colOff>
      <xdr:row>6</xdr:row>
      <xdr:rowOff>171450</xdr:rowOff>
    </xdr:to>
    <xdr:sp>
      <xdr:nvSpPr>
        <xdr:cNvPr id="1" name="2 Rectángulo redondeado">
          <a:hlinkClick r:id="rId1"/>
        </xdr:cNvPr>
        <xdr:cNvSpPr>
          <a:spLocks/>
        </xdr:cNvSpPr>
      </xdr:nvSpPr>
      <xdr:spPr>
        <a:xfrm>
          <a:off x="8096250" y="638175"/>
          <a:ext cx="123825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8296275" y="552450"/>
          <a:ext cx="1200150"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86106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8191500" y="514350"/>
          <a:ext cx="1219200"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666750</xdr:colOff>
      <xdr:row>6</xdr:row>
      <xdr:rowOff>0</xdr:rowOff>
    </xdr:to>
    <xdr:sp>
      <xdr:nvSpPr>
        <xdr:cNvPr id="1" name="2 Rectángulo redondeado">
          <a:hlinkClick r:id="rId1"/>
        </xdr:cNvPr>
        <xdr:cNvSpPr>
          <a:spLocks/>
        </xdr:cNvSpPr>
      </xdr:nvSpPr>
      <xdr:spPr>
        <a:xfrm>
          <a:off x="8362950" y="438150"/>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ies%20Web%20Q1%20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81G369\BUDGET%20&amp;%20GROUP%20ANALYSIS\Series%20WEB\Series_web_SPG23%20ofici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bres"/>
      <sheetName val="INDICE"/>
      <sheetName val="Cuenta de Resultados"/>
      <sheetName val="Balance"/>
      <sheetName val="España"/>
      <sheetName val="Mexico"/>
      <sheetName val="Turquia"/>
      <sheetName val="AdS"/>
      <sheetName val="Argentina"/>
      <sheetName val="Chile"/>
      <sheetName val="Colombia"/>
      <sheetName val="Peru"/>
      <sheetName val="Resto de Negocios"/>
      <sheetName val="Centro Corporativo"/>
      <sheetName val="Corporate &amp; Investment Banking"/>
      <sheetName val="Eficiencia"/>
      <sheetName val="Mora,cobertura,coste de riesgo"/>
      <sheetName val="Empleados, oficinas y cajeros"/>
      <sheetName val="Tipos de Cambio"/>
      <sheetName val="Diferenciales"/>
      <sheetName val="APRs"/>
      <sheetName val="Inversion"/>
      <sheetName val="Recursos"/>
      <sheetName val="ALC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UALIZAR"/>
      <sheetName val="BBVABAL"/>
      <sheetName val="BBVARES"/>
      <sheetName val="ESPBAL"/>
      <sheetName val="ESPRES"/>
      <sheetName val="MEXBAL"/>
      <sheetName val="MEXRES"/>
      <sheetName val="TURRES"/>
      <sheetName val="TURBAL"/>
      <sheetName val="ADSRES"/>
      <sheetName val="ADSBAL"/>
      <sheetName val="ARGRES"/>
      <sheetName val="ARGBAL"/>
      <sheetName val="CHIBAL"/>
      <sheetName val="CHIRES"/>
      <sheetName val="COLBAL"/>
      <sheetName val="COLRES"/>
      <sheetName val="PERBAL"/>
      <sheetName val="PERES"/>
      <sheetName val="VENBAL"/>
      <sheetName val="VENRES"/>
      <sheetName val="CIBBAL"/>
      <sheetName val="HOLRES"/>
      <sheetName val="HOLBAL"/>
      <sheetName val="CIBRES"/>
      <sheetName val="RESTRES"/>
      <sheetName val="RESTBAL"/>
      <sheetName val="ELIMRES"/>
      <sheetName val="ELIMBAL"/>
      <sheetName val="HIPRES"/>
      <sheetName val="HIPBAL"/>
      <sheetName val="RATIO EFICIENCIA"/>
      <sheetName val="TASA DE MORA"/>
      <sheetName val="COSTE DE RIESGO"/>
      <sheetName val="COBERTURA"/>
      <sheetName val="APR"/>
      <sheetName val="Consulta tipos"/>
      <sheetName val="Actividad"/>
      <sheetName val="AjustesKreg2023"/>
      <sheetName val="Manuales&gt;&gt;&gt;&gt;"/>
      <sheetName val="Pegado Balance"/>
      <sheetName val="Chile Pegado"/>
      <sheetName val="InversionTotalPegado"/>
      <sheetName val="RecursosTotalPegado"/>
      <sheetName val="Inversion España"/>
      <sheetName val="Inversion Mexico"/>
      <sheetName val="Inversion Turquia"/>
      <sheetName val="Inversion USA"/>
      <sheetName val="Inversion AdS"/>
      <sheetName val="Recursos AdS"/>
      <sheetName val="Pegado Diferenciales"/>
      <sheetName val="Emp ofic caje pegado"/>
      <sheetName val="ALCO_pegado"/>
      <sheetName val="SALIDAS--&gt;&gt;&gt;"/>
      <sheetName val="Pegado Aj Cap REG CIB 2023"/>
      <sheetName val="Nombres"/>
      <sheetName val="INDICE"/>
      <sheetName val="Cuenta de Resultados"/>
      <sheetName val="Balance"/>
      <sheetName val="España"/>
      <sheetName val="Mexico"/>
      <sheetName val="Turquia"/>
      <sheetName val="AdS"/>
      <sheetName val="Argentina"/>
      <sheetName val="Chile"/>
      <sheetName val="Colombia"/>
      <sheetName val="Peru"/>
      <sheetName val="Resto de Negocios"/>
      <sheetName val="Centro Corporativo"/>
      <sheetName val="Corporate &amp; Investment Banking"/>
      <sheetName val="Eficiencia"/>
      <sheetName val="Mora,cobertura,coste de riesgo"/>
      <sheetName val="Empleados, oficinas y cajeros"/>
      <sheetName val="Tipos de Cambio"/>
      <sheetName val="Diferenciales"/>
      <sheetName val="APRs"/>
      <sheetName val="Inversion"/>
      <sheetName val="Recursos"/>
      <sheetName val="ALCO"/>
      <sheetName val="Control"/>
      <sheetName val="Centro Eliminaciones"/>
      <sheetName val="BBVA Con Inversion"/>
      <sheetName val="Balance SPG"/>
      <sheetName val="Turquia hiper"/>
      <sheetName val="Hoja4"/>
      <sheetName val="Hoja1"/>
      <sheetName val="Hoja2"/>
    </sheetNames>
  </externalBook>
</externalLink>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52">
      <selection activeCell="C308" sqref="C308"/>
    </sheetView>
  </sheetViews>
  <sheetFormatPr defaultColWidth="11.421875" defaultRowHeight="15"/>
  <cols>
    <col min="2" max="2" width="6.421875" style="0" customWidth="1"/>
    <col min="3" max="3" width="107.421875" style="0" customWidth="1"/>
    <col min="4" max="4" width="54.421875" style="0" customWidth="1"/>
  </cols>
  <sheetData>
    <row r="1" spans="1:4" ht="15">
      <c r="A1" s="225"/>
      <c r="B1" s="225"/>
      <c r="C1" s="226"/>
      <c r="D1" s="226"/>
    </row>
    <row r="2" spans="1:4" ht="15">
      <c r="A2" s="225"/>
      <c r="B2" s="225" t="s">
        <v>11</v>
      </c>
      <c r="C2" s="226" t="s">
        <v>12</v>
      </c>
      <c r="D2" s="226" t="s">
        <v>13</v>
      </c>
    </row>
    <row r="3" spans="1:9" ht="19.5">
      <c r="A3" s="225"/>
      <c r="B3" s="225">
        <v>1</v>
      </c>
      <c r="C3" s="227">
        <v>7</v>
      </c>
      <c r="D3" s="227">
        <v>8</v>
      </c>
      <c r="I3" s="228" t="s">
        <v>0</v>
      </c>
    </row>
    <row r="4" spans="2:9" ht="19.5">
      <c r="B4">
        <v>2</v>
      </c>
      <c r="C4" s="229" t="s">
        <v>546</v>
      </c>
      <c r="D4" s="229" t="s">
        <v>547</v>
      </c>
      <c r="I4" s="228" t="s">
        <v>14</v>
      </c>
    </row>
    <row r="5" spans="2:9" ht="19.5">
      <c r="B5">
        <v>3</v>
      </c>
      <c r="C5" s="229" t="s">
        <v>15</v>
      </c>
      <c r="D5" s="229" t="s">
        <v>16</v>
      </c>
      <c r="I5" s="228" t="s">
        <v>17</v>
      </c>
    </row>
    <row r="6" spans="2:4" ht="15.75">
      <c r="B6">
        <v>4</v>
      </c>
      <c r="C6" s="229" t="s">
        <v>18</v>
      </c>
      <c r="D6" s="229" t="s">
        <v>19</v>
      </c>
    </row>
    <row r="7" spans="2:4" ht="15.75">
      <c r="B7">
        <v>5</v>
      </c>
      <c r="C7" s="229" t="s">
        <v>20</v>
      </c>
      <c r="D7" s="229" t="s">
        <v>21</v>
      </c>
    </row>
    <row r="8" spans="2:4" ht="15.75">
      <c r="B8">
        <v>6</v>
      </c>
      <c r="C8" s="229" t="s">
        <v>22</v>
      </c>
      <c r="D8" s="229" t="s">
        <v>23</v>
      </c>
    </row>
    <row r="9" spans="2:4" ht="15.75">
      <c r="B9">
        <v>7</v>
      </c>
      <c r="C9" s="229" t="s">
        <v>24</v>
      </c>
      <c r="D9" s="229" t="s">
        <v>25</v>
      </c>
    </row>
    <row r="10" spans="2:4" ht="15.75">
      <c r="B10">
        <v>8</v>
      </c>
      <c r="C10" s="229" t="s">
        <v>26</v>
      </c>
      <c r="D10" s="229" t="s">
        <v>27</v>
      </c>
    </row>
    <row r="11" spans="2:4" ht="15.75">
      <c r="B11">
        <v>9</v>
      </c>
      <c r="C11" s="229" t="s">
        <v>28</v>
      </c>
      <c r="D11" s="229" t="s">
        <v>28</v>
      </c>
    </row>
    <row r="12" spans="2:4" ht="15.75">
      <c r="B12">
        <v>10</v>
      </c>
      <c r="C12" s="230" t="s">
        <v>29</v>
      </c>
      <c r="D12" s="230" t="s">
        <v>30</v>
      </c>
    </row>
    <row r="13" spans="2:4" ht="15.75">
      <c r="B13">
        <v>11</v>
      </c>
      <c r="C13" s="230" t="s">
        <v>31</v>
      </c>
      <c r="D13" s="230" t="s">
        <v>32</v>
      </c>
    </row>
    <row r="14" spans="2:4" ht="15.75">
      <c r="B14">
        <v>12</v>
      </c>
      <c r="C14" s="230" t="s">
        <v>33</v>
      </c>
      <c r="D14" s="230" t="s">
        <v>34</v>
      </c>
    </row>
    <row r="15" spans="2:4" ht="15.75">
      <c r="B15">
        <v>13</v>
      </c>
      <c r="C15" s="230" t="s">
        <v>35</v>
      </c>
      <c r="D15" s="230" t="s">
        <v>36</v>
      </c>
    </row>
    <row r="16" spans="2:4" ht="15.75">
      <c r="B16">
        <v>14</v>
      </c>
      <c r="C16" s="230" t="s">
        <v>6</v>
      </c>
      <c r="D16" s="230" t="s">
        <v>6</v>
      </c>
    </row>
    <row r="17" spans="2:4" ht="15.75">
      <c r="B17">
        <v>15</v>
      </c>
      <c r="C17" s="230" t="s">
        <v>7</v>
      </c>
      <c r="D17" s="230" t="s">
        <v>7</v>
      </c>
    </row>
    <row r="18" spans="2:4" ht="15.75">
      <c r="B18">
        <v>16</v>
      </c>
      <c r="C18" s="230" t="s">
        <v>8</v>
      </c>
      <c r="D18" s="230" t="s">
        <v>8</v>
      </c>
    </row>
    <row r="19" spans="2:4" ht="15.75">
      <c r="B19">
        <v>17</v>
      </c>
      <c r="C19" s="230" t="s">
        <v>9</v>
      </c>
      <c r="D19" s="230" t="s">
        <v>37</v>
      </c>
    </row>
    <row r="20" spans="2:4" ht="15.75">
      <c r="B20">
        <v>18</v>
      </c>
      <c r="C20" s="230" t="s">
        <v>38</v>
      </c>
      <c r="D20" s="230" t="s">
        <v>39</v>
      </c>
    </row>
    <row r="21" spans="2:4" ht="15.75">
      <c r="B21">
        <v>19</v>
      </c>
      <c r="C21" s="230" t="s">
        <v>40</v>
      </c>
      <c r="D21" s="230" t="s">
        <v>41</v>
      </c>
    </row>
    <row r="22" spans="2:4" ht="15.75">
      <c r="B22">
        <v>20</v>
      </c>
      <c r="C22" s="230" t="s">
        <v>42</v>
      </c>
      <c r="D22" s="230" t="s">
        <v>43</v>
      </c>
    </row>
    <row r="23" spans="2:4" ht="15.75">
      <c r="B23">
        <v>21</v>
      </c>
      <c r="C23" s="230" t="s">
        <v>44</v>
      </c>
      <c r="D23" s="230" t="s">
        <v>44</v>
      </c>
    </row>
    <row r="24" spans="2:4" ht="15.75">
      <c r="B24">
        <v>22</v>
      </c>
      <c r="C24" s="230" t="s">
        <v>45</v>
      </c>
      <c r="D24" s="230" t="s">
        <v>46</v>
      </c>
    </row>
    <row r="25" spans="2:4" ht="15.75">
      <c r="B25">
        <v>23</v>
      </c>
      <c r="C25" s="230" t="s">
        <v>47</v>
      </c>
      <c r="D25" s="230" t="s">
        <v>48</v>
      </c>
    </row>
    <row r="26" spans="2:4" ht="15.75">
      <c r="B26">
        <v>24</v>
      </c>
      <c r="C26" s="230" t="s">
        <v>49</v>
      </c>
      <c r="D26" s="230" t="s">
        <v>50</v>
      </c>
    </row>
    <row r="27" spans="2:4" ht="15.75">
      <c r="B27">
        <v>25</v>
      </c>
      <c r="C27" s="230" t="s">
        <v>51</v>
      </c>
      <c r="D27" s="230" t="s">
        <v>52</v>
      </c>
    </row>
    <row r="28" spans="2:4" ht="15.75">
      <c r="B28">
        <v>26</v>
      </c>
      <c r="C28" s="230" t="s">
        <v>53</v>
      </c>
      <c r="D28" s="230" t="s">
        <v>54</v>
      </c>
    </row>
    <row r="29" spans="2:4" ht="15.75">
      <c r="B29">
        <v>27</v>
      </c>
      <c r="C29" s="230" t="s">
        <v>55</v>
      </c>
      <c r="D29" s="230" t="s">
        <v>56</v>
      </c>
    </row>
    <row r="30" spans="2:4" ht="15.75">
      <c r="B30">
        <v>28</v>
      </c>
      <c r="C30" s="230" t="s">
        <v>57</v>
      </c>
      <c r="D30" s="230" t="s">
        <v>58</v>
      </c>
    </row>
    <row r="31" spans="2:4" ht="15.75">
      <c r="B31">
        <v>29</v>
      </c>
      <c r="C31" s="230" t="s">
        <v>59</v>
      </c>
      <c r="D31" s="230" t="s">
        <v>60</v>
      </c>
    </row>
    <row r="32" spans="2:4" ht="15.75">
      <c r="B32">
        <v>30</v>
      </c>
      <c r="C32" s="230" t="s">
        <v>61</v>
      </c>
      <c r="D32" s="230" t="s">
        <v>62</v>
      </c>
    </row>
    <row r="33" spans="2:4" ht="15.75">
      <c r="B33">
        <v>31</v>
      </c>
      <c r="C33" s="230" t="s">
        <v>63</v>
      </c>
      <c r="D33" t="s">
        <v>64</v>
      </c>
    </row>
    <row r="34" spans="2:4" ht="15.75">
      <c r="B34">
        <v>32</v>
      </c>
      <c r="C34" s="230" t="s">
        <v>65</v>
      </c>
      <c r="D34" t="s">
        <v>66</v>
      </c>
    </row>
    <row r="35" spans="2:4" ht="15.75">
      <c r="B35">
        <v>33</v>
      </c>
      <c r="C35" s="230" t="s">
        <v>67</v>
      </c>
      <c r="D35" t="s">
        <v>68</v>
      </c>
    </row>
    <row r="36" spans="2:4" ht="15.75">
      <c r="B36">
        <v>34</v>
      </c>
      <c r="C36" s="230" t="s">
        <v>69</v>
      </c>
      <c r="D36" t="s">
        <v>70</v>
      </c>
    </row>
    <row r="37" spans="2:4" ht="15.75">
      <c r="B37">
        <v>35</v>
      </c>
      <c r="C37" s="230" t="s">
        <v>71</v>
      </c>
      <c r="D37" t="s">
        <v>72</v>
      </c>
    </row>
    <row r="38" spans="2:4" ht="15.75">
      <c r="B38">
        <v>36</v>
      </c>
      <c r="C38" s="230" t="s">
        <v>73</v>
      </c>
      <c r="D38" t="s">
        <v>74</v>
      </c>
    </row>
    <row r="39" spans="2:4" ht="15.75">
      <c r="B39">
        <v>37</v>
      </c>
      <c r="C39" s="230" t="s">
        <v>75</v>
      </c>
      <c r="D39" t="s">
        <v>76</v>
      </c>
    </row>
    <row r="40" spans="2:4" ht="15.75">
      <c r="B40">
        <v>38</v>
      </c>
      <c r="C40" s="230" t="s">
        <v>77</v>
      </c>
      <c r="D40" t="s">
        <v>78</v>
      </c>
    </row>
    <row r="41" spans="2:4" ht="15.75">
      <c r="B41">
        <v>39</v>
      </c>
      <c r="C41" s="230" t="s">
        <v>79</v>
      </c>
      <c r="D41" t="s">
        <v>80</v>
      </c>
    </row>
    <row r="42" spans="2:4" ht="15.75">
      <c r="B42">
        <v>40</v>
      </c>
      <c r="C42" s="230" t="s">
        <v>81</v>
      </c>
      <c r="D42" t="s">
        <v>82</v>
      </c>
    </row>
    <row r="43" spans="2:4" ht="15.75">
      <c r="B43">
        <v>41</v>
      </c>
      <c r="C43" s="230" t="s">
        <v>83</v>
      </c>
      <c r="D43" t="s">
        <v>84</v>
      </c>
    </row>
    <row r="44" spans="2:4" ht="15.75">
      <c r="B44">
        <v>42</v>
      </c>
      <c r="C44" s="230" t="s">
        <v>85</v>
      </c>
      <c r="D44" t="s">
        <v>86</v>
      </c>
    </row>
    <row r="45" spans="2:10" ht="15.75">
      <c r="B45">
        <v>43</v>
      </c>
      <c r="C45" s="230" t="s">
        <v>87</v>
      </c>
      <c r="D45" t="s">
        <v>88</v>
      </c>
      <c r="J45" t="s">
        <v>527</v>
      </c>
    </row>
    <row r="46" spans="2:4" ht="15.75">
      <c r="B46">
        <v>44</v>
      </c>
      <c r="C46" s="230" t="s">
        <v>89</v>
      </c>
      <c r="D46" t="s">
        <v>90</v>
      </c>
    </row>
    <row r="47" spans="2:4" ht="15.75">
      <c r="B47">
        <v>45</v>
      </c>
      <c r="C47" s="230" t="s">
        <v>91</v>
      </c>
      <c r="D47" t="s">
        <v>92</v>
      </c>
    </row>
    <row r="48" spans="2:4" ht="15.75">
      <c r="B48">
        <v>46</v>
      </c>
      <c r="C48" s="230" t="s">
        <v>93</v>
      </c>
      <c r="D48" t="s">
        <v>94</v>
      </c>
    </row>
    <row r="49" spans="2:4" ht="15.75">
      <c r="B49">
        <v>47</v>
      </c>
      <c r="C49" s="230" t="s">
        <v>95</v>
      </c>
      <c r="D49" t="s">
        <v>96</v>
      </c>
    </row>
    <row r="50" spans="2:4" ht="15.75">
      <c r="B50">
        <v>48</v>
      </c>
      <c r="C50" s="230" t="s">
        <v>97</v>
      </c>
      <c r="D50" t="s">
        <v>98</v>
      </c>
    </row>
    <row r="51" spans="2:4" ht="15.75">
      <c r="B51">
        <v>49</v>
      </c>
      <c r="C51" s="230" t="s">
        <v>99</v>
      </c>
      <c r="D51" t="s">
        <v>100</v>
      </c>
    </row>
    <row r="52" spans="2:4" ht="15.75">
      <c r="B52">
        <v>50</v>
      </c>
      <c r="C52" s="230" t="s">
        <v>101</v>
      </c>
      <c r="D52" t="s">
        <v>102</v>
      </c>
    </row>
    <row r="53" spans="2:4" ht="15.75">
      <c r="B53">
        <v>51</v>
      </c>
      <c r="C53" s="230" t="s">
        <v>103</v>
      </c>
      <c r="D53" t="s">
        <v>104</v>
      </c>
    </row>
    <row r="54" spans="2:4" ht="15.75">
      <c r="B54">
        <v>52</v>
      </c>
      <c r="C54" s="230" t="s">
        <v>105</v>
      </c>
      <c r="D54" t="s">
        <v>106</v>
      </c>
    </row>
    <row r="55" spans="2:4" ht="15.75">
      <c r="B55">
        <v>53</v>
      </c>
      <c r="C55" s="230" t="s">
        <v>107</v>
      </c>
      <c r="D55" t="s">
        <v>108</v>
      </c>
    </row>
    <row r="56" spans="2:4" ht="15.75">
      <c r="B56">
        <v>54</v>
      </c>
      <c r="C56" s="230" t="s">
        <v>109</v>
      </c>
      <c r="D56" t="s">
        <v>110</v>
      </c>
    </row>
    <row r="57" spans="2:4" ht="15.75">
      <c r="B57">
        <v>55</v>
      </c>
      <c r="C57" s="230" t="s">
        <v>111</v>
      </c>
      <c r="D57" t="s">
        <v>112</v>
      </c>
    </row>
    <row r="58" spans="2:4" ht="15.75">
      <c r="B58">
        <v>56</v>
      </c>
      <c r="C58" s="230" t="s">
        <v>113</v>
      </c>
      <c r="D58" t="s">
        <v>114</v>
      </c>
    </row>
    <row r="59" spans="2:4" ht="15.75">
      <c r="B59">
        <v>57</v>
      </c>
      <c r="C59" s="230" t="s">
        <v>115</v>
      </c>
      <c r="D59" t="s">
        <v>116</v>
      </c>
    </row>
    <row r="60" spans="2:4" ht="15.75">
      <c r="B60">
        <v>58</v>
      </c>
      <c r="C60" s="230" t="s">
        <v>117</v>
      </c>
      <c r="D60" t="s">
        <v>118</v>
      </c>
    </row>
    <row r="61" spans="2:4" ht="15.75">
      <c r="B61">
        <v>59</v>
      </c>
      <c r="C61" s="230" t="s">
        <v>119</v>
      </c>
      <c r="D61" t="s">
        <v>120</v>
      </c>
    </row>
    <row r="62" spans="2:4" ht="15.75">
      <c r="B62">
        <v>60</v>
      </c>
      <c r="C62" s="230" t="s">
        <v>121</v>
      </c>
      <c r="D62" t="s">
        <v>122</v>
      </c>
    </row>
    <row r="63" spans="2:4" ht="15.75">
      <c r="B63">
        <v>61</v>
      </c>
      <c r="C63" s="230" t="s">
        <v>123</v>
      </c>
      <c r="D63" t="s">
        <v>124</v>
      </c>
    </row>
    <row r="64" spans="2:4" ht="15.75">
      <c r="B64">
        <v>62</v>
      </c>
      <c r="C64" s="230" t="s">
        <v>125</v>
      </c>
      <c r="D64" t="s">
        <v>126</v>
      </c>
    </row>
    <row r="65" spans="2:4" ht="15.75">
      <c r="B65">
        <v>63</v>
      </c>
      <c r="C65" s="230" t="s">
        <v>127</v>
      </c>
      <c r="D65" t="s">
        <v>128</v>
      </c>
    </row>
    <row r="66" spans="2:4" ht="15.75">
      <c r="B66">
        <v>64</v>
      </c>
      <c r="C66" s="230" t="s">
        <v>129</v>
      </c>
      <c r="D66" t="s">
        <v>130</v>
      </c>
    </row>
    <row r="67" spans="2:4" ht="15.75">
      <c r="B67">
        <v>65</v>
      </c>
      <c r="C67" s="230" t="s">
        <v>131</v>
      </c>
      <c r="D67" t="s">
        <v>132</v>
      </c>
    </row>
    <row r="68" spans="2:4" ht="15.75">
      <c r="B68">
        <v>66</v>
      </c>
      <c r="C68" s="230" t="s">
        <v>133</v>
      </c>
      <c r="D68" s="59" t="s">
        <v>134</v>
      </c>
    </row>
    <row r="69" spans="2:4" ht="15.75">
      <c r="B69">
        <v>67</v>
      </c>
      <c r="C69" s="230" t="s">
        <v>135</v>
      </c>
      <c r="D69" s="59" t="s">
        <v>136</v>
      </c>
    </row>
    <row r="70" spans="2:4" ht="15.75">
      <c r="B70">
        <v>68</v>
      </c>
      <c r="C70" s="230" t="s">
        <v>520</v>
      </c>
      <c r="D70" s="59" t="s">
        <v>521</v>
      </c>
    </row>
    <row r="71" spans="2:4" ht="15.75">
      <c r="B71">
        <v>69</v>
      </c>
      <c r="C71" s="230" t="s">
        <v>137</v>
      </c>
      <c r="D71" s="59" t="s">
        <v>138</v>
      </c>
    </row>
    <row r="72" spans="2:4" ht="15.75">
      <c r="B72">
        <v>70</v>
      </c>
      <c r="C72" s="230" t="s">
        <v>139</v>
      </c>
      <c r="D72" s="59" t="s">
        <v>140</v>
      </c>
    </row>
    <row r="73" spans="2:4" ht="15.75">
      <c r="B73">
        <v>71</v>
      </c>
      <c r="C73" s="230" t="s">
        <v>141</v>
      </c>
      <c r="D73" s="231" t="s">
        <v>142</v>
      </c>
    </row>
    <row r="74" spans="2:4" ht="15.75">
      <c r="B74">
        <v>72</v>
      </c>
      <c r="C74" s="230" t="s">
        <v>143</v>
      </c>
      <c r="D74" s="231"/>
    </row>
    <row r="75" spans="2:4" ht="15.75">
      <c r="B75">
        <v>73</v>
      </c>
      <c r="C75" s="230" t="s">
        <v>144</v>
      </c>
      <c r="D75" s="160" t="s">
        <v>145</v>
      </c>
    </row>
    <row r="76" spans="2:4" ht="15.75">
      <c r="B76">
        <v>74</v>
      </c>
      <c r="C76" s="230" t="s">
        <v>146</v>
      </c>
      <c r="D76" s="160" t="s">
        <v>147</v>
      </c>
    </row>
    <row r="77" spans="2:4" ht="15.75">
      <c r="B77">
        <v>75</v>
      </c>
      <c r="C77" s="230" t="s">
        <v>148</v>
      </c>
      <c r="D77" s="160" t="s">
        <v>149</v>
      </c>
    </row>
    <row r="78" spans="2:4" ht="15.75">
      <c r="B78">
        <v>76</v>
      </c>
      <c r="C78" s="230" t="s">
        <v>150</v>
      </c>
      <c r="D78" s="160" t="s">
        <v>151</v>
      </c>
    </row>
    <row r="79" spans="2:4" ht="15.75">
      <c r="B79">
        <v>77</v>
      </c>
      <c r="C79" s="230" t="s">
        <v>152</v>
      </c>
      <c r="D79" s="160" t="s">
        <v>153</v>
      </c>
    </row>
    <row r="80" spans="2:4" ht="15.75">
      <c r="B80">
        <v>78</v>
      </c>
      <c r="C80" s="230" t="s">
        <v>154</v>
      </c>
      <c r="D80" s="160" t="s">
        <v>155</v>
      </c>
    </row>
    <row r="81" spans="2:4" ht="15.75">
      <c r="B81">
        <v>79</v>
      </c>
      <c r="C81" s="230" t="s">
        <v>156</v>
      </c>
      <c r="D81" s="160" t="s">
        <v>157</v>
      </c>
    </row>
    <row r="82" spans="2:4" ht="15.75">
      <c r="B82">
        <v>80</v>
      </c>
      <c r="C82" s="230" t="s">
        <v>158</v>
      </c>
      <c r="D82" s="160" t="s">
        <v>158</v>
      </c>
    </row>
    <row r="83" spans="2:4" ht="15.75">
      <c r="B83">
        <v>81</v>
      </c>
      <c r="C83" s="230" t="s">
        <v>159</v>
      </c>
      <c r="D83" s="160" t="s">
        <v>160</v>
      </c>
    </row>
    <row r="84" spans="2:4" ht="15">
      <c r="B84">
        <v>82</v>
      </c>
      <c r="C84" t="s">
        <v>161</v>
      </c>
      <c r="D84" t="s">
        <v>162</v>
      </c>
    </row>
    <row r="85" spans="2:4" ht="15">
      <c r="B85">
        <v>83</v>
      </c>
      <c r="C85" t="s">
        <v>163</v>
      </c>
      <c r="D85" t="s">
        <v>164</v>
      </c>
    </row>
    <row r="86" spans="2:4" ht="15.75">
      <c r="B86">
        <v>84</v>
      </c>
      <c r="C86" s="230" t="s">
        <v>165</v>
      </c>
      <c r="D86" t="s">
        <v>166</v>
      </c>
    </row>
    <row r="87" spans="2:4" ht="15">
      <c r="B87">
        <v>85</v>
      </c>
      <c r="C87" t="s">
        <v>167</v>
      </c>
      <c r="D87" t="s">
        <v>168</v>
      </c>
    </row>
    <row r="88" spans="2:4" ht="15">
      <c r="B88">
        <v>86</v>
      </c>
      <c r="C88" t="s">
        <v>169</v>
      </c>
      <c r="D88" t="s">
        <v>170</v>
      </c>
    </row>
    <row r="89" spans="2:4" ht="15">
      <c r="B89">
        <v>87</v>
      </c>
      <c r="C89" t="s">
        <v>411</v>
      </c>
      <c r="D89" t="s">
        <v>412</v>
      </c>
    </row>
    <row r="90" spans="2:4" ht="15">
      <c r="B90">
        <v>88</v>
      </c>
      <c r="C90" t="s">
        <v>57</v>
      </c>
      <c r="D90" t="s">
        <v>58</v>
      </c>
    </row>
    <row r="91" spans="2:4" ht="15">
      <c r="B91">
        <v>89</v>
      </c>
      <c r="C91" s="232" t="s">
        <v>171</v>
      </c>
      <c r="D91" t="s">
        <v>172</v>
      </c>
    </row>
    <row r="92" spans="2:4" ht="15">
      <c r="B92">
        <v>90</v>
      </c>
      <c r="C92" t="s">
        <v>173</v>
      </c>
      <c r="D92" t="s">
        <v>173</v>
      </c>
    </row>
    <row r="93" spans="2:4" ht="15">
      <c r="B93">
        <v>91</v>
      </c>
      <c r="C93" t="s">
        <v>174</v>
      </c>
      <c r="D93" t="s">
        <v>175</v>
      </c>
    </row>
    <row r="94" spans="2:4" ht="15">
      <c r="B94">
        <v>92</v>
      </c>
      <c r="C94" t="s">
        <v>1</v>
      </c>
      <c r="D94" t="s">
        <v>176</v>
      </c>
    </row>
    <row r="95" spans="2:4" ht="15">
      <c r="B95">
        <v>93</v>
      </c>
      <c r="C95" t="s">
        <v>2</v>
      </c>
      <c r="D95" t="s">
        <v>177</v>
      </c>
    </row>
    <row r="96" spans="2:4" ht="15">
      <c r="B96">
        <v>94</v>
      </c>
      <c r="C96" t="s">
        <v>3</v>
      </c>
      <c r="D96" t="s">
        <v>178</v>
      </c>
    </row>
    <row r="97" spans="2:4" ht="15">
      <c r="B97">
        <v>95</v>
      </c>
      <c r="C97" t="s">
        <v>4</v>
      </c>
      <c r="D97" t="s">
        <v>179</v>
      </c>
    </row>
    <row r="98" spans="2:4" ht="15">
      <c r="B98">
        <v>96</v>
      </c>
      <c r="C98" s="233" t="s">
        <v>180</v>
      </c>
      <c r="D98" s="233" t="s">
        <v>181</v>
      </c>
    </row>
    <row r="99" spans="2:4" ht="15">
      <c r="B99">
        <v>97</v>
      </c>
      <c r="C99" s="233" t="s">
        <v>182</v>
      </c>
      <c r="D99" s="233" t="s">
        <v>183</v>
      </c>
    </row>
    <row r="100" spans="2:4" ht="15">
      <c r="B100">
        <v>98</v>
      </c>
      <c r="C100" s="233" t="s">
        <v>184</v>
      </c>
      <c r="D100" s="233" t="s">
        <v>185</v>
      </c>
    </row>
    <row r="101" spans="2:4" ht="15">
      <c r="B101">
        <v>99</v>
      </c>
      <c r="C101" s="233" t="s">
        <v>186</v>
      </c>
      <c r="D101" t="s">
        <v>187</v>
      </c>
    </row>
    <row r="102" spans="2:4" ht="15">
      <c r="B102">
        <v>100</v>
      </c>
      <c r="C102" s="233" t="s">
        <v>354</v>
      </c>
      <c r="D102" t="s">
        <v>355</v>
      </c>
    </row>
    <row r="103" spans="2:4" ht="15">
      <c r="B103">
        <v>101</v>
      </c>
      <c r="C103" t="s">
        <v>188</v>
      </c>
      <c r="D103" t="s">
        <v>189</v>
      </c>
    </row>
    <row r="104" spans="2:4" ht="15" customHeight="1">
      <c r="B104">
        <v>102</v>
      </c>
      <c r="C104" t="s">
        <v>190</v>
      </c>
      <c r="D104" t="s">
        <v>191</v>
      </c>
    </row>
    <row r="105" spans="2:4" ht="15">
      <c r="B105">
        <v>103</v>
      </c>
      <c r="C105" t="s">
        <v>192</v>
      </c>
      <c r="D105" t="s">
        <v>193</v>
      </c>
    </row>
    <row r="106" spans="2:4" ht="15">
      <c r="B106">
        <v>104</v>
      </c>
      <c r="C106" t="s">
        <v>194</v>
      </c>
      <c r="D106" t="s">
        <v>195</v>
      </c>
    </row>
    <row r="107" spans="2:4" ht="15">
      <c r="B107">
        <v>105</v>
      </c>
      <c r="C107" s="211" t="s">
        <v>196</v>
      </c>
      <c r="D107" t="s">
        <v>197</v>
      </c>
    </row>
    <row r="108" spans="2:4" ht="15">
      <c r="B108">
        <v>106</v>
      </c>
      <c r="C108" s="211" t="s">
        <v>198</v>
      </c>
      <c r="D108" t="s">
        <v>199</v>
      </c>
    </row>
    <row r="109" spans="2:4" ht="15">
      <c r="B109">
        <v>107</v>
      </c>
      <c r="C109" t="s">
        <v>200</v>
      </c>
      <c r="D109" t="s">
        <v>201</v>
      </c>
    </row>
    <row r="110" spans="2:4" ht="15">
      <c r="B110">
        <v>108</v>
      </c>
      <c r="C110" s="211" t="s">
        <v>202</v>
      </c>
      <c r="D110" t="s">
        <v>203</v>
      </c>
    </row>
    <row r="111" spans="2:4" ht="15">
      <c r="B111">
        <v>109</v>
      </c>
      <c r="C111" s="211" t="s">
        <v>204</v>
      </c>
      <c r="D111" t="s">
        <v>205</v>
      </c>
    </row>
    <row r="112" spans="2:4" ht="15">
      <c r="B112">
        <v>110</v>
      </c>
      <c r="C112" s="211" t="s">
        <v>206</v>
      </c>
      <c r="D112" t="s">
        <v>207</v>
      </c>
    </row>
    <row r="113" spans="2:4" ht="15">
      <c r="B113">
        <v>111</v>
      </c>
      <c r="C113" s="211" t="s">
        <v>10</v>
      </c>
      <c r="D113" t="s">
        <v>208</v>
      </c>
    </row>
    <row r="114" spans="2:4" ht="15">
      <c r="B114">
        <v>112</v>
      </c>
      <c r="C114" s="213" t="s">
        <v>209</v>
      </c>
      <c r="D114" t="s">
        <v>210</v>
      </c>
    </row>
    <row r="115" spans="2:4" ht="15">
      <c r="B115">
        <v>113</v>
      </c>
      <c r="C115" s="213" t="s">
        <v>59</v>
      </c>
      <c r="D115" t="s">
        <v>60</v>
      </c>
    </row>
    <row r="116" spans="2:4" ht="15">
      <c r="B116">
        <v>114</v>
      </c>
      <c r="C116" s="211" t="s">
        <v>211</v>
      </c>
      <c r="D116" t="s">
        <v>212</v>
      </c>
    </row>
    <row r="117" spans="2:4" ht="15">
      <c r="B117">
        <v>115</v>
      </c>
      <c r="C117" s="211" t="s">
        <v>213</v>
      </c>
      <c r="D117" t="s">
        <v>214</v>
      </c>
    </row>
    <row r="118" spans="2:4" ht="15">
      <c r="B118">
        <v>116</v>
      </c>
      <c r="C118" s="211" t="s">
        <v>215</v>
      </c>
      <c r="D118" t="s">
        <v>216</v>
      </c>
    </row>
    <row r="119" spans="2:4" ht="15.75">
      <c r="B119">
        <v>117</v>
      </c>
      <c r="C119" s="230"/>
      <c r="D119" s="59"/>
    </row>
    <row r="120" spans="2:4" ht="15.75">
      <c r="B120">
        <v>118</v>
      </c>
      <c r="C120" s="206" t="s">
        <v>217</v>
      </c>
      <c r="D120" t="s">
        <v>218</v>
      </c>
    </row>
    <row r="121" spans="2:3" ht="15">
      <c r="B121">
        <v>119</v>
      </c>
      <c r="C121" s="223" t="s">
        <v>219</v>
      </c>
    </row>
    <row r="122" spans="2:4" ht="18">
      <c r="B122">
        <v>120</v>
      </c>
      <c r="C122" s="202" t="s">
        <v>61</v>
      </c>
      <c r="D122" t="s">
        <v>62</v>
      </c>
    </row>
    <row r="123" spans="2:4" ht="15">
      <c r="B123">
        <v>121</v>
      </c>
      <c r="C123" t="s">
        <v>220</v>
      </c>
      <c r="D123" t="s">
        <v>221</v>
      </c>
    </row>
    <row r="124" spans="2:4" ht="15">
      <c r="B124">
        <v>122</v>
      </c>
      <c r="C124" t="s">
        <v>222</v>
      </c>
      <c r="D124" t="s">
        <v>221</v>
      </c>
    </row>
    <row r="125" spans="2:4" ht="15">
      <c r="B125">
        <v>123</v>
      </c>
      <c r="C125" t="s">
        <v>223</v>
      </c>
      <c r="D125" t="s">
        <v>224</v>
      </c>
    </row>
    <row r="126" spans="2:4" ht="15">
      <c r="B126">
        <v>124</v>
      </c>
      <c r="C126" t="s">
        <v>225</v>
      </c>
      <c r="D126" t="s">
        <v>226</v>
      </c>
    </row>
    <row r="127" spans="2:4" ht="15">
      <c r="B127">
        <v>125</v>
      </c>
      <c r="C127" t="s">
        <v>227</v>
      </c>
      <c r="D127" t="s">
        <v>228</v>
      </c>
    </row>
    <row r="128" spans="2:4" ht="15">
      <c r="B128">
        <v>126</v>
      </c>
      <c r="C128" t="s">
        <v>229</v>
      </c>
      <c r="D128" t="s">
        <v>229</v>
      </c>
    </row>
    <row r="129" spans="2:4" ht="15">
      <c r="B129">
        <v>127</v>
      </c>
      <c r="C129" t="s">
        <v>230</v>
      </c>
      <c r="D129" t="s">
        <v>230</v>
      </c>
    </row>
    <row r="130" spans="2:4" ht="15">
      <c r="B130">
        <v>128</v>
      </c>
      <c r="C130" t="s">
        <v>231</v>
      </c>
      <c r="D130" t="s">
        <v>231</v>
      </c>
    </row>
    <row r="131" spans="2:4" ht="15">
      <c r="B131">
        <v>129</v>
      </c>
      <c r="C131" t="s">
        <v>232</v>
      </c>
      <c r="D131" t="s">
        <v>232</v>
      </c>
    </row>
    <row r="132" spans="2:4" ht="15">
      <c r="B132">
        <v>130</v>
      </c>
      <c r="C132" t="s">
        <v>233</v>
      </c>
      <c r="D132" t="s">
        <v>233</v>
      </c>
    </row>
    <row r="133" spans="2:4" ht="15">
      <c r="B133">
        <v>131</v>
      </c>
      <c r="C133" s="43" t="s">
        <v>234</v>
      </c>
      <c r="D133" t="s">
        <v>235</v>
      </c>
    </row>
    <row r="134" spans="2:4" ht="15">
      <c r="B134">
        <v>132</v>
      </c>
      <c r="C134" s="43" t="s">
        <v>236</v>
      </c>
      <c r="D134" t="s">
        <v>237</v>
      </c>
    </row>
    <row r="135" spans="2:4" ht="15">
      <c r="B135">
        <v>133</v>
      </c>
      <c r="C135" s="43" t="s">
        <v>238</v>
      </c>
      <c r="D135" t="s">
        <v>239</v>
      </c>
    </row>
    <row r="136" spans="2:4" ht="15">
      <c r="B136">
        <v>134</v>
      </c>
      <c r="C136" s="43" t="s">
        <v>240</v>
      </c>
      <c r="D136" t="s">
        <v>241</v>
      </c>
    </row>
    <row r="137" spans="2:4" ht="15">
      <c r="B137">
        <v>135</v>
      </c>
      <c r="C137" s="43" t="s">
        <v>109</v>
      </c>
      <c r="D137" t="s">
        <v>110</v>
      </c>
    </row>
    <row r="138" spans="2:4" ht="15">
      <c r="B138">
        <v>136</v>
      </c>
      <c r="C138" s="43" t="s">
        <v>242</v>
      </c>
      <c r="D138" t="s">
        <v>243</v>
      </c>
    </row>
    <row r="139" spans="2:4" ht="15">
      <c r="B139">
        <v>137</v>
      </c>
      <c r="C139" s="43" t="s">
        <v>244</v>
      </c>
      <c r="D139" t="s">
        <v>245</v>
      </c>
    </row>
    <row r="140" spans="2:4" ht="15">
      <c r="B140">
        <v>138</v>
      </c>
      <c r="C140" s="43" t="s">
        <v>246</v>
      </c>
      <c r="D140" t="s">
        <v>247</v>
      </c>
    </row>
    <row r="141" spans="2:4" ht="15">
      <c r="B141">
        <v>139</v>
      </c>
      <c r="C141" s="43" t="s">
        <v>248</v>
      </c>
      <c r="D141" t="s">
        <v>249</v>
      </c>
    </row>
    <row r="142" spans="2:4" ht="15">
      <c r="B142">
        <v>140</v>
      </c>
      <c r="C142" s="43" t="s">
        <v>250</v>
      </c>
      <c r="D142" t="s">
        <v>251</v>
      </c>
    </row>
    <row r="143" spans="2:4" ht="15">
      <c r="B143">
        <v>141</v>
      </c>
      <c r="C143" s="43" t="s">
        <v>252</v>
      </c>
      <c r="D143" s="59" t="s">
        <v>253</v>
      </c>
    </row>
    <row r="144" spans="2:4" ht="15">
      <c r="B144">
        <v>142</v>
      </c>
      <c r="C144" s="59" t="s">
        <v>254</v>
      </c>
      <c r="D144" s="59" t="s">
        <v>255</v>
      </c>
    </row>
    <row r="145" spans="2:4" ht="15">
      <c r="B145">
        <v>143</v>
      </c>
      <c r="C145" s="59" t="s">
        <v>256</v>
      </c>
      <c r="D145" t="s">
        <v>257</v>
      </c>
    </row>
    <row r="146" spans="2:4" ht="15">
      <c r="B146">
        <v>144</v>
      </c>
      <c r="C146" s="43" t="s">
        <v>258</v>
      </c>
      <c r="D146" t="s">
        <v>259</v>
      </c>
    </row>
    <row r="147" spans="2:4" ht="15">
      <c r="B147">
        <v>145</v>
      </c>
      <c r="C147" s="43" t="s">
        <v>260</v>
      </c>
      <c r="D147" t="s">
        <v>261</v>
      </c>
    </row>
    <row r="148" spans="2:4" ht="15">
      <c r="B148">
        <v>146</v>
      </c>
      <c r="C148" s="102" t="s">
        <v>262</v>
      </c>
      <c r="D148" t="s">
        <v>263</v>
      </c>
    </row>
    <row r="149" spans="2:4" ht="15">
      <c r="B149">
        <v>147</v>
      </c>
      <c r="C149" s="59" t="s">
        <v>264</v>
      </c>
      <c r="D149" t="s">
        <v>100</v>
      </c>
    </row>
    <row r="150" spans="2:4" ht="15">
      <c r="B150">
        <v>148</v>
      </c>
      <c r="C150" s="59" t="s">
        <v>265</v>
      </c>
      <c r="D150" t="s">
        <v>266</v>
      </c>
    </row>
    <row r="151" spans="2:4" ht="15">
      <c r="B151">
        <v>149</v>
      </c>
      <c r="C151" s="59" t="s">
        <v>267</v>
      </c>
      <c r="D151" t="s">
        <v>268</v>
      </c>
    </row>
    <row r="152" spans="2:4" ht="15">
      <c r="B152">
        <v>150</v>
      </c>
      <c r="C152" s="102" t="s">
        <v>269</v>
      </c>
      <c r="D152" t="s">
        <v>270</v>
      </c>
    </row>
    <row r="153" spans="2:4" ht="15">
      <c r="B153">
        <v>151</v>
      </c>
      <c r="C153" s="47" t="s">
        <v>271</v>
      </c>
      <c r="D153" t="s">
        <v>272</v>
      </c>
    </row>
    <row r="154" spans="2:4" ht="15">
      <c r="B154">
        <v>152</v>
      </c>
      <c r="C154" s="59" t="s">
        <v>273</v>
      </c>
      <c r="D154" t="s">
        <v>274</v>
      </c>
    </row>
    <row r="155" spans="2:4" ht="15">
      <c r="B155">
        <v>153</v>
      </c>
      <c r="C155" s="59" t="s">
        <v>275</v>
      </c>
      <c r="D155" t="s">
        <v>276</v>
      </c>
    </row>
    <row r="156" spans="2:4" ht="15">
      <c r="B156">
        <v>154</v>
      </c>
      <c r="C156" s="59" t="s">
        <v>277</v>
      </c>
      <c r="D156" t="s">
        <v>278</v>
      </c>
    </row>
    <row r="157" spans="2:4" ht="15">
      <c r="B157">
        <v>155</v>
      </c>
      <c r="C157" s="59" t="s">
        <v>279</v>
      </c>
      <c r="D157" t="s">
        <v>280</v>
      </c>
    </row>
    <row r="158" spans="2:4" ht="15">
      <c r="B158">
        <v>156</v>
      </c>
      <c r="C158" s="59" t="s">
        <v>281</v>
      </c>
      <c r="D158" t="s">
        <v>282</v>
      </c>
    </row>
    <row r="159" spans="2:4" ht="15">
      <c r="B159">
        <v>157</v>
      </c>
      <c r="C159" s="59" t="s">
        <v>283</v>
      </c>
      <c r="D159" t="s">
        <v>284</v>
      </c>
    </row>
    <row r="160" spans="2:4" ht="15">
      <c r="B160">
        <v>158</v>
      </c>
      <c r="C160" s="59" t="s">
        <v>285</v>
      </c>
      <c r="D160" t="s">
        <v>286</v>
      </c>
    </row>
    <row r="161" spans="2:4" ht="15">
      <c r="B161">
        <v>159</v>
      </c>
      <c r="C161" s="114" t="s">
        <v>287</v>
      </c>
      <c r="D161" t="s">
        <v>288</v>
      </c>
    </row>
    <row r="162" spans="2:4" ht="15">
      <c r="B162">
        <v>160</v>
      </c>
      <c r="C162" s="114" t="s">
        <v>289</v>
      </c>
      <c r="D162" t="s">
        <v>290</v>
      </c>
    </row>
    <row r="163" spans="2:4" ht="15">
      <c r="B163">
        <v>161</v>
      </c>
      <c r="C163" s="59" t="s">
        <v>53</v>
      </c>
      <c r="D163" t="s">
        <v>54</v>
      </c>
    </row>
    <row r="164" spans="2:4" ht="15">
      <c r="B164">
        <v>162</v>
      </c>
      <c r="C164" s="59" t="s">
        <v>291</v>
      </c>
      <c r="D164" t="s">
        <v>292</v>
      </c>
    </row>
    <row r="165" spans="2:5" ht="15">
      <c r="B165">
        <v>163</v>
      </c>
      <c r="C165" s="59" t="s">
        <v>293</v>
      </c>
      <c r="D165" t="s">
        <v>294</v>
      </c>
      <c r="E165" s="234"/>
    </row>
    <row r="166" spans="2:4" ht="15">
      <c r="B166">
        <v>164</v>
      </c>
      <c r="C166" t="s">
        <v>295</v>
      </c>
      <c r="D166" t="s">
        <v>296</v>
      </c>
    </row>
    <row r="167" spans="2:4" ht="15.75">
      <c r="B167">
        <v>165</v>
      </c>
      <c r="C167" s="235" t="s">
        <v>297</v>
      </c>
      <c r="D167" t="s">
        <v>298</v>
      </c>
    </row>
    <row r="168" spans="2:4" ht="15">
      <c r="B168">
        <v>166</v>
      </c>
      <c r="C168" s="160" t="s">
        <v>291</v>
      </c>
      <c r="D168" t="s">
        <v>292</v>
      </c>
    </row>
    <row r="169" spans="2:4" ht="15">
      <c r="B169">
        <v>167</v>
      </c>
      <c r="C169" t="s">
        <v>1</v>
      </c>
      <c r="D169" t="s">
        <v>176</v>
      </c>
    </row>
    <row r="170" spans="2:4" ht="15">
      <c r="B170">
        <v>168</v>
      </c>
      <c r="C170" t="s">
        <v>2</v>
      </c>
      <c r="D170" t="s">
        <v>177</v>
      </c>
    </row>
    <row r="171" spans="2:4" ht="15">
      <c r="B171">
        <v>169</v>
      </c>
      <c r="C171" t="s">
        <v>3</v>
      </c>
      <c r="D171" t="s">
        <v>178</v>
      </c>
    </row>
    <row r="172" spans="2:4" ht="15">
      <c r="B172">
        <v>170</v>
      </c>
      <c r="C172" t="s">
        <v>4</v>
      </c>
      <c r="D172" t="s">
        <v>179</v>
      </c>
    </row>
    <row r="173" spans="2:4" ht="15">
      <c r="B173">
        <v>171</v>
      </c>
      <c r="C173" t="s">
        <v>299</v>
      </c>
      <c r="D173" t="s">
        <v>300</v>
      </c>
    </row>
    <row r="174" spans="2:4" ht="15">
      <c r="B174">
        <v>172</v>
      </c>
      <c r="C174" t="s">
        <v>165</v>
      </c>
      <c r="D174" t="s">
        <v>166</v>
      </c>
    </row>
    <row r="175" spans="2:4" ht="15">
      <c r="B175">
        <v>173</v>
      </c>
      <c r="C175" t="s">
        <v>415</v>
      </c>
      <c r="D175" s="182" t="s">
        <v>417</v>
      </c>
    </row>
    <row r="176" spans="2:4" ht="15">
      <c r="B176">
        <v>174</v>
      </c>
      <c r="C176" t="s">
        <v>416</v>
      </c>
      <c r="D176" s="182" t="s">
        <v>414</v>
      </c>
    </row>
    <row r="177" spans="2:4" ht="15">
      <c r="B177">
        <v>175</v>
      </c>
      <c r="C177" s="185" t="s">
        <v>26</v>
      </c>
      <c r="D177" t="s">
        <v>27</v>
      </c>
    </row>
    <row r="178" spans="2:4" ht="15">
      <c r="B178">
        <v>176</v>
      </c>
      <c r="C178" s="185" t="s">
        <v>301</v>
      </c>
      <c r="D178" s="41" t="s">
        <v>302</v>
      </c>
    </row>
    <row r="179" spans="2:4" ht="15">
      <c r="B179">
        <v>177</v>
      </c>
      <c r="C179" s="185" t="s">
        <v>303</v>
      </c>
      <c r="D179" t="s">
        <v>304</v>
      </c>
    </row>
    <row r="180" spans="2:4" ht="15">
      <c r="B180">
        <v>178</v>
      </c>
      <c r="C180" s="185" t="s">
        <v>305</v>
      </c>
      <c r="D180" t="s">
        <v>306</v>
      </c>
    </row>
    <row r="181" spans="2:4" ht="15">
      <c r="B181">
        <v>179</v>
      </c>
      <c r="C181" s="185" t="s">
        <v>307</v>
      </c>
      <c r="D181" t="s">
        <v>308</v>
      </c>
    </row>
    <row r="182" spans="2:4" ht="15">
      <c r="B182">
        <v>180</v>
      </c>
      <c r="C182" s="185" t="s">
        <v>309</v>
      </c>
      <c r="D182" t="s">
        <v>310</v>
      </c>
    </row>
    <row r="183" spans="2:4" ht="15">
      <c r="B183">
        <v>181</v>
      </c>
      <c r="C183" s="185" t="s">
        <v>6</v>
      </c>
      <c r="D183" t="s">
        <v>6</v>
      </c>
    </row>
    <row r="184" spans="2:4" ht="15">
      <c r="B184">
        <v>182</v>
      </c>
      <c r="C184" s="185" t="s">
        <v>8</v>
      </c>
      <c r="D184" t="s">
        <v>8</v>
      </c>
    </row>
    <row r="185" spans="2:4" ht="15">
      <c r="B185">
        <v>183</v>
      </c>
      <c r="C185" s="185" t="s">
        <v>9</v>
      </c>
      <c r="D185" t="s">
        <v>37</v>
      </c>
    </row>
    <row r="186" spans="2:4" ht="15">
      <c r="B186">
        <v>184</v>
      </c>
      <c r="C186" t="s">
        <v>311</v>
      </c>
      <c r="D186" t="s">
        <v>312</v>
      </c>
    </row>
    <row r="187" spans="2:4" ht="15">
      <c r="B187">
        <v>185</v>
      </c>
      <c r="C187" t="s">
        <v>313</v>
      </c>
      <c r="D187" t="s">
        <v>314</v>
      </c>
    </row>
    <row r="188" spans="2:4" ht="15">
      <c r="B188">
        <v>186</v>
      </c>
      <c r="C188" t="s">
        <v>315</v>
      </c>
      <c r="D188" t="s">
        <v>316</v>
      </c>
    </row>
    <row r="189" spans="2:4" ht="15">
      <c r="B189">
        <v>187</v>
      </c>
      <c r="C189" t="s">
        <v>317</v>
      </c>
      <c r="D189" t="s">
        <v>268</v>
      </c>
    </row>
    <row r="190" spans="2:3" ht="15">
      <c r="B190">
        <v>188</v>
      </c>
      <c r="C190" s="211" t="s">
        <v>318</v>
      </c>
    </row>
    <row r="191" spans="2:3" ht="15">
      <c r="B191">
        <v>189</v>
      </c>
      <c r="C191" s="211" t="s">
        <v>319</v>
      </c>
    </row>
    <row r="192" spans="2:3" ht="15">
      <c r="B192">
        <v>190</v>
      </c>
      <c r="C192" s="211" t="s">
        <v>320</v>
      </c>
    </row>
    <row r="193" spans="2:4" ht="15">
      <c r="B193">
        <v>191</v>
      </c>
      <c r="C193" s="211" t="s">
        <v>202</v>
      </c>
      <c r="D193" t="s">
        <v>203</v>
      </c>
    </row>
    <row r="194" spans="2:3" ht="15">
      <c r="B194">
        <v>192</v>
      </c>
      <c r="C194" s="211" t="s">
        <v>204</v>
      </c>
    </row>
    <row r="195" spans="2:3" ht="15">
      <c r="B195">
        <v>193</v>
      </c>
      <c r="C195" s="211" t="s">
        <v>10</v>
      </c>
    </row>
    <row r="196" spans="2:3" ht="15">
      <c r="B196">
        <v>194</v>
      </c>
      <c r="C196" s="213" t="s">
        <v>209</v>
      </c>
    </row>
    <row r="197" spans="2:3" ht="15">
      <c r="B197">
        <v>195</v>
      </c>
      <c r="C197" s="211" t="s">
        <v>321</v>
      </c>
    </row>
    <row r="198" spans="2:3" ht="15">
      <c r="B198">
        <v>196</v>
      </c>
      <c r="C198" s="211" t="s">
        <v>322</v>
      </c>
    </row>
    <row r="199" spans="2:3" ht="15">
      <c r="B199">
        <v>197</v>
      </c>
      <c r="C199" s="211" t="s">
        <v>206</v>
      </c>
    </row>
    <row r="200" spans="2:3" ht="15">
      <c r="B200">
        <v>198</v>
      </c>
      <c r="C200" s="211" t="s">
        <v>198</v>
      </c>
    </row>
    <row r="201" spans="2:3" ht="15">
      <c r="B201">
        <v>199</v>
      </c>
      <c r="C201" s="211" t="s">
        <v>323</v>
      </c>
    </row>
    <row r="202" spans="2:3" ht="15">
      <c r="B202">
        <v>200</v>
      </c>
      <c r="C202" s="211" t="s">
        <v>196</v>
      </c>
    </row>
    <row r="203" spans="2:3" ht="15">
      <c r="B203">
        <v>201</v>
      </c>
      <c r="C203" s="211" t="s">
        <v>324</v>
      </c>
    </row>
    <row r="204" spans="2:3" ht="15">
      <c r="B204">
        <v>202</v>
      </c>
      <c r="C204" s="213" t="s">
        <v>325</v>
      </c>
    </row>
    <row r="205" spans="2:4" ht="15">
      <c r="B205">
        <v>203</v>
      </c>
      <c r="C205" s="211" t="s">
        <v>326</v>
      </c>
      <c r="D205" t="s">
        <v>327</v>
      </c>
    </row>
    <row r="206" spans="2:4" ht="15">
      <c r="B206">
        <v>204</v>
      </c>
      <c r="C206" s="211" t="s">
        <v>328</v>
      </c>
      <c r="D206" t="s">
        <v>328</v>
      </c>
    </row>
    <row r="207" spans="2:4" ht="15">
      <c r="B207">
        <v>205</v>
      </c>
      <c r="C207" s="211" t="s">
        <v>329</v>
      </c>
      <c r="D207" s="211" t="s">
        <v>330</v>
      </c>
    </row>
    <row r="208" spans="2:4" ht="15">
      <c r="B208">
        <v>206</v>
      </c>
      <c r="C208" t="s">
        <v>522</v>
      </c>
      <c r="D208" t="s">
        <v>523</v>
      </c>
    </row>
    <row r="209" spans="2:4" ht="15">
      <c r="B209">
        <v>207</v>
      </c>
      <c r="C209" t="s">
        <v>331</v>
      </c>
      <c r="D209" t="s">
        <v>332</v>
      </c>
    </row>
    <row r="210" spans="2:4" ht="15">
      <c r="B210">
        <v>208</v>
      </c>
      <c r="C210" s="211" t="s">
        <v>333</v>
      </c>
      <c r="D210" t="s">
        <v>334</v>
      </c>
    </row>
    <row r="211" spans="2:4" ht="15">
      <c r="B211">
        <v>209</v>
      </c>
      <c r="C211" s="211" t="s">
        <v>196</v>
      </c>
      <c r="D211" t="s">
        <v>197</v>
      </c>
    </row>
    <row r="212" spans="2:4" ht="15">
      <c r="B212">
        <v>210</v>
      </c>
      <c r="C212" s="211" t="s">
        <v>335</v>
      </c>
      <c r="D212" t="s">
        <v>336</v>
      </c>
    </row>
    <row r="213" spans="2:4" ht="15">
      <c r="B213">
        <v>211</v>
      </c>
      <c r="C213" s="211" t="s">
        <v>337</v>
      </c>
      <c r="D213" t="s">
        <v>361</v>
      </c>
    </row>
    <row r="214" spans="2:4" ht="15">
      <c r="B214">
        <v>212</v>
      </c>
      <c r="C214" s="211" t="s">
        <v>338</v>
      </c>
      <c r="D214" t="s">
        <v>339</v>
      </c>
    </row>
    <row r="215" spans="2:4" ht="15">
      <c r="B215">
        <v>213</v>
      </c>
      <c r="C215" s="211" t="s">
        <v>340</v>
      </c>
      <c r="D215" t="s">
        <v>341</v>
      </c>
    </row>
    <row r="216" spans="2:4" ht="15">
      <c r="B216">
        <v>214</v>
      </c>
      <c r="C216" s="211" t="s">
        <v>202</v>
      </c>
      <c r="D216" t="s">
        <v>203</v>
      </c>
    </row>
    <row r="217" spans="2:4" ht="15">
      <c r="B217">
        <v>215</v>
      </c>
      <c r="C217" s="211" t="s">
        <v>10</v>
      </c>
      <c r="D217" t="s">
        <v>342</v>
      </c>
    </row>
    <row r="218" spans="2:4" ht="15">
      <c r="B218">
        <v>216</v>
      </c>
      <c r="C218" s="211" t="s">
        <v>324</v>
      </c>
      <c r="D218" t="s">
        <v>343</v>
      </c>
    </row>
    <row r="219" spans="2:4" ht="15">
      <c r="B219">
        <v>217</v>
      </c>
      <c r="C219" s="211" t="s">
        <v>344</v>
      </c>
      <c r="D219" t="s">
        <v>327</v>
      </c>
    </row>
    <row r="220" spans="2:8" ht="15" customHeight="1">
      <c r="B220">
        <v>218</v>
      </c>
      <c r="C220" s="211" t="s">
        <v>345</v>
      </c>
      <c r="D220" s="211" t="s">
        <v>346</v>
      </c>
      <c r="E220" s="211"/>
      <c r="F220" s="211"/>
      <c r="G220" s="211"/>
      <c r="H220" s="211"/>
    </row>
    <row r="221" spans="2:4" ht="15" customHeight="1">
      <c r="B221">
        <v>219</v>
      </c>
      <c r="C221" t="s">
        <v>393</v>
      </c>
      <c r="D221" t="s">
        <v>347</v>
      </c>
    </row>
    <row r="222" spans="2:4" ht="15">
      <c r="B222">
        <v>220</v>
      </c>
      <c r="C222" t="s">
        <v>348</v>
      </c>
      <c r="D222" t="s">
        <v>349</v>
      </c>
    </row>
    <row r="223" spans="2:4" ht="15">
      <c r="B223">
        <v>221</v>
      </c>
      <c r="C223" t="s">
        <v>350</v>
      </c>
      <c r="D223" t="s">
        <v>351</v>
      </c>
    </row>
    <row r="224" spans="2:4" ht="15">
      <c r="B224">
        <v>222</v>
      </c>
      <c r="C224" t="s">
        <v>358</v>
      </c>
      <c r="D224" t="s">
        <v>358</v>
      </c>
    </row>
    <row r="225" spans="2:4" ht="15">
      <c r="B225">
        <v>223</v>
      </c>
      <c r="C225" t="s">
        <v>356</v>
      </c>
      <c r="D225" t="s">
        <v>357</v>
      </c>
    </row>
    <row r="226" spans="2:4" ht="15">
      <c r="B226">
        <v>224</v>
      </c>
      <c r="C226" t="s">
        <v>359</v>
      </c>
      <c r="D226" t="s">
        <v>360</v>
      </c>
    </row>
    <row r="227" spans="2:4" ht="15">
      <c r="B227">
        <v>225</v>
      </c>
      <c r="C227" t="s">
        <v>352</v>
      </c>
      <c r="D227" t="s">
        <v>353</v>
      </c>
    </row>
    <row r="228" spans="2:4" ht="15">
      <c r="B228">
        <v>226</v>
      </c>
      <c r="C228" t="s">
        <v>362</v>
      </c>
      <c r="D228" t="s">
        <v>363</v>
      </c>
    </row>
    <row r="229" spans="2:4" ht="15">
      <c r="B229">
        <v>227</v>
      </c>
      <c r="C229" s="233" t="s">
        <v>354</v>
      </c>
      <c r="D229" t="s">
        <v>355</v>
      </c>
    </row>
    <row r="230" spans="2:4" ht="15">
      <c r="B230">
        <v>228</v>
      </c>
      <c r="C230" t="s">
        <v>392</v>
      </c>
      <c r="D230" t="s">
        <v>364</v>
      </c>
    </row>
    <row r="231" spans="2:4" ht="15">
      <c r="B231">
        <v>229</v>
      </c>
      <c r="C231" t="s">
        <v>365</v>
      </c>
      <c r="D231" t="s">
        <v>366</v>
      </c>
    </row>
    <row r="232" spans="2:4" ht="15">
      <c r="B232">
        <v>230</v>
      </c>
      <c r="C232" s="213" t="s">
        <v>15</v>
      </c>
      <c r="D232" t="s">
        <v>16</v>
      </c>
    </row>
    <row r="233" spans="2:4" ht="15">
      <c r="B233">
        <v>231</v>
      </c>
      <c r="C233" s="211" t="s">
        <v>367</v>
      </c>
      <c r="D233" t="s">
        <v>368</v>
      </c>
    </row>
    <row r="234" spans="2:4" ht="15">
      <c r="B234">
        <v>232</v>
      </c>
      <c r="C234" s="211" t="s">
        <v>24</v>
      </c>
      <c r="D234" t="s">
        <v>25</v>
      </c>
    </row>
    <row r="235" spans="2:4" ht="15">
      <c r="B235">
        <v>233</v>
      </c>
      <c r="C235" s="211" t="s">
        <v>369</v>
      </c>
      <c r="D235" t="s">
        <v>370</v>
      </c>
    </row>
    <row r="236" spans="2:4" ht="15">
      <c r="B236">
        <v>234</v>
      </c>
      <c r="C236" s="211" t="s">
        <v>371</v>
      </c>
      <c r="D236" t="s">
        <v>372</v>
      </c>
    </row>
    <row r="237" spans="2:4" ht="15">
      <c r="B237">
        <v>235</v>
      </c>
      <c r="C237" s="211" t="s">
        <v>30</v>
      </c>
      <c r="D237" t="s">
        <v>30</v>
      </c>
    </row>
    <row r="238" spans="2:4" ht="15">
      <c r="B238">
        <v>236</v>
      </c>
      <c r="C238" s="211" t="s">
        <v>373</v>
      </c>
      <c r="D238" t="s">
        <v>374</v>
      </c>
    </row>
    <row r="239" spans="2:4" ht="15">
      <c r="B239">
        <v>237</v>
      </c>
      <c r="C239" s="211" t="s">
        <v>32</v>
      </c>
      <c r="D239" t="s">
        <v>32</v>
      </c>
    </row>
    <row r="240" spans="2:4" ht="15">
      <c r="B240">
        <v>238</v>
      </c>
      <c r="C240" s="211" t="s">
        <v>375</v>
      </c>
      <c r="D240" t="s">
        <v>36</v>
      </c>
    </row>
    <row r="241" spans="2:4" ht="15">
      <c r="B241">
        <v>239</v>
      </c>
      <c r="C241" s="211" t="s">
        <v>376</v>
      </c>
      <c r="D241" t="s">
        <v>377</v>
      </c>
    </row>
    <row r="242" spans="2:4" ht="15">
      <c r="B242">
        <v>240</v>
      </c>
      <c r="C242" s="211" t="s">
        <v>378</v>
      </c>
      <c r="D242" t="s">
        <v>379</v>
      </c>
    </row>
    <row r="243" spans="2:4" ht="15">
      <c r="B243">
        <v>241</v>
      </c>
      <c r="C243" s="211" t="s">
        <v>380</v>
      </c>
      <c r="D243" t="s">
        <v>381</v>
      </c>
    </row>
    <row r="244" spans="2:4" ht="15">
      <c r="B244">
        <v>242</v>
      </c>
      <c r="C244" s="211" t="s">
        <v>382</v>
      </c>
      <c r="D244" t="s">
        <v>383</v>
      </c>
    </row>
    <row r="245" spans="2:4" ht="15">
      <c r="B245">
        <v>243</v>
      </c>
      <c r="C245" t="s">
        <v>384</v>
      </c>
      <c r="D245" t="s">
        <v>385</v>
      </c>
    </row>
    <row r="246" spans="2:4" ht="15">
      <c r="B246">
        <v>244</v>
      </c>
      <c r="C246" t="s">
        <v>386</v>
      </c>
      <c r="D246" t="s">
        <v>387</v>
      </c>
    </row>
    <row r="247" spans="2:4" ht="15.75">
      <c r="B247">
        <v>245</v>
      </c>
      <c r="C247" s="230" t="s">
        <v>388</v>
      </c>
      <c r="D247" s="230" t="s">
        <v>389</v>
      </c>
    </row>
    <row r="248" spans="2:4" ht="15">
      <c r="B248">
        <v>246</v>
      </c>
      <c r="C248" s="211" t="s">
        <v>390</v>
      </c>
      <c r="D248" t="s">
        <v>390</v>
      </c>
    </row>
    <row r="249" spans="2:4" ht="15">
      <c r="B249">
        <v>247</v>
      </c>
      <c r="C249" t="s">
        <v>394</v>
      </c>
      <c r="D249" t="s">
        <v>395</v>
      </c>
    </row>
    <row r="250" spans="2:4" ht="15">
      <c r="B250">
        <v>248</v>
      </c>
      <c r="C250" t="s">
        <v>396</v>
      </c>
      <c r="D250" t="s">
        <v>397</v>
      </c>
    </row>
    <row r="251" spans="2:4" ht="15">
      <c r="B251">
        <v>249</v>
      </c>
      <c r="C251" t="s">
        <v>398</v>
      </c>
      <c r="D251" t="s">
        <v>399</v>
      </c>
    </row>
    <row r="252" spans="2:4" ht="15">
      <c r="B252">
        <v>250</v>
      </c>
      <c r="C252" t="s">
        <v>400</v>
      </c>
      <c r="D252" t="s">
        <v>401</v>
      </c>
    </row>
    <row r="253" spans="2:4" ht="15">
      <c r="B253">
        <v>251</v>
      </c>
      <c r="C253" t="s">
        <v>402</v>
      </c>
      <c r="D253" t="s">
        <v>403</v>
      </c>
    </row>
    <row r="254" spans="2:4" ht="15">
      <c r="B254">
        <v>252</v>
      </c>
      <c r="C254" t="s">
        <v>404</v>
      </c>
      <c r="D254" t="s">
        <v>405</v>
      </c>
    </row>
    <row r="255" spans="2:4" ht="15">
      <c r="B255">
        <v>253</v>
      </c>
      <c r="C255" t="s">
        <v>406</v>
      </c>
      <c r="D255" t="s">
        <v>407</v>
      </c>
    </row>
    <row r="256" spans="2:4" ht="15">
      <c r="B256">
        <v>254</v>
      </c>
      <c r="C256" t="s">
        <v>408</v>
      </c>
      <c r="D256" t="s">
        <v>409</v>
      </c>
    </row>
    <row r="257" spans="2:4" ht="15">
      <c r="B257">
        <v>255</v>
      </c>
      <c r="C257" t="s">
        <v>422</v>
      </c>
      <c r="D257" t="s">
        <v>410</v>
      </c>
    </row>
    <row r="258" spans="2:4" ht="15">
      <c r="B258">
        <v>256</v>
      </c>
      <c r="C258" t="s">
        <v>548</v>
      </c>
      <c r="D258" t="s">
        <v>549</v>
      </c>
    </row>
    <row r="259" spans="2:4" ht="15">
      <c r="B259">
        <v>257</v>
      </c>
      <c r="C259" t="s">
        <v>421</v>
      </c>
      <c r="D259" t="s">
        <v>423</v>
      </c>
    </row>
    <row r="260" spans="2:4" ht="15">
      <c r="B260">
        <v>258</v>
      </c>
      <c r="C260" t="s">
        <v>418</v>
      </c>
      <c r="D260" t="s">
        <v>419</v>
      </c>
    </row>
    <row r="261" spans="2:4" ht="15">
      <c r="B261">
        <v>259</v>
      </c>
      <c r="C261" t="s">
        <v>424</v>
      </c>
      <c r="D261" t="s">
        <v>425</v>
      </c>
    </row>
    <row r="262" spans="2:4" ht="15">
      <c r="B262">
        <v>260</v>
      </c>
      <c r="C262" t="s">
        <v>426</v>
      </c>
      <c r="D262" t="s">
        <v>427</v>
      </c>
    </row>
    <row r="263" spans="2:4" ht="15">
      <c r="B263">
        <v>261</v>
      </c>
      <c r="C263" t="s">
        <v>428</v>
      </c>
      <c r="D263" t="s">
        <v>429</v>
      </c>
    </row>
    <row r="264" spans="2:4" ht="15">
      <c r="B264">
        <v>262</v>
      </c>
      <c r="C264" t="s">
        <v>430</v>
      </c>
      <c r="D264" t="s">
        <v>431</v>
      </c>
    </row>
    <row r="265" spans="2:4" ht="15">
      <c r="B265">
        <v>263</v>
      </c>
      <c r="C265" t="s">
        <v>432</v>
      </c>
      <c r="D265" t="s">
        <v>433</v>
      </c>
    </row>
    <row r="266" spans="2:4" ht="15">
      <c r="B266">
        <v>264</v>
      </c>
      <c r="C266" t="s">
        <v>445</v>
      </c>
      <c r="D266" t="s">
        <v>446</v>
      </c>
    </row>
    <row r="267" spans="2:4" ht="15" customHeight="1">
      <c r="B267">
        <v>265</v>
      </c>
      <c r="C267" t="s">
        <v>434</v>
      </c>
      <c r="D267" t="s">
        <v>435</v>
      </c>
    </row>
    <row r="268" spans="2:4" ht="15">
      <c r="B268">
        <v>266</v>
      </c>
      <c r="C268" t="s">
        <v>444</v>
      </c>
      <c r="D268" t="s">
        <v>443</v>
      </c>
    </row>
    <row r="269" spans="2:4" ht="15">
      <c r="B269">
        <v>267</v>
      </c>
      <c r="C269" t="s">
        <v>436</v>
      </c>
      <c r="D269" t="s">
        <v>437</v>
      </c>
    </row>
    <row r="270" spans="2:4" ht="15">
      <c r="B270">
        <v>268</v>
      </c>
      <c r="C270" t="s">
        <v>447</v>
      </c>
      <c r="D270" t="s">
        <v>438</v>
      </c>
    </row>
    <row r="271" spans="2:4" ht="15">
      <c r="B271">
        <v>269</v>
      </c>
      <c r="C271" t="s">
        <v>440</v>
      </c>
      <c r="D271" t="s">
        <v>439</v>
      </c>
    </row>
    <row r="272" spans="2:4" ht="15">
      <c r="B272">
        <v>270</v>
      </c>
      <c r="C272" t="s">
        <v>442</v>
      </c>
      <c r="D272" t="s">
        <v>441</v>
      </c>
    </row>
    <row r="273" spans="2:4" ht="15">
      <c r="B273">
        <v>271</v>
      </c>
      <c r="C273" t="s">
        <v>448</v>
      </c>
      <c r="D273" t="s">
        <v>449</v>
      </c>
    </row>
    <row r="274" spans="2:4" ht="15">
      <c r="B274">
        <v>272</v>
      </c>
      <c r="C274" t="s">
        <v>450</v>
      </c>
      <c r="D274" t="s">
        <v>451</v>
      </c>
    </row>
    <row r="275" spans="2:4" ht="15">
      <c r="B275">
        <v>273</v>
      </c>
      <c r="C275" s="276" t="s">
        <v>452</v>
      </c>
      <c r="D275" s="276" t="s">
        <v>453</v>
      </c>
    </row>
    <row r="276" spans="2:4" ht="15.75">
      <c r="B276">
        <v>274</v>
      </c>
      <c r="C276" s="277" t="s">
        <v>550</v>
      </c>
      <c r="D276" t="s">
        <v>454</v>
      </c>
    </row>
    <row r="277" spans="2:4" ht="15">
      <c r="B277">
        <v>275</v>
      </c>
      <c r="C277" s="277" t="s">
        <v>455</v>
      </c>
      <c r="D277" t="s">
        <v>456</v>
      </c>
    </row>
    <row r="278" spans="2:4" ht="15">
      <c r="B278">
        <v>276</v>
      </c>
      <c r="C278" s="277" t="s">
        <v>457</v>
      </c>
      <c r="D278" t="s">
        <v>458</v>
      </c>
    </row>
    <row r="279" spans="2:4" ht="15">
      <c r="B279">
        <v>277</v>
      </c>
      <c r="C279" s="277" t="s">
        <v>459</v>
      </c>
      <c r="D279" t="s">
        <v>460</v>
      </c>
    </row>
    <row r="280" spans="2:4" ht="15">
      <c r="B280">
        <v>278</v>
      </c>
      <c r="C280" s="277" t="s">
        <v>461</v>
      </c>
      <c r="D280" t="s">
        <v>462</v>
      </c>
    </row>
    <row r="281" spans="2:4" ht="15">
      <c r="B281">
        <v>279</v>
      </c>
      <c r="C281" s="277" t="s">
        <v>463</v>
      </c>
      <c r="D281" t="s">
        <v>464</v>
      </c>
    </row>
    <row r="282" spans="2:4" ht="15.75">
      <c r="B282">
        <v>280</v>
      </c>
      <c r="C282" s="230" t="s">
        <v>465</v>
      </c>
      <c r="D282" s="230" t="s">
        <v>465</v>
      </c>
    </row>
    <row r="283" spans="2:4" ht="15">
      <c r="B283">
        <v>281</v>
      </c>
      <c r="C283" s="277" t="s">
        <v>466</v>
      </c>
      <c r="D283" t="s">
        <v>467</v>
      </c>
    </row>
    <row r="284" spans="2:4" ht="15.75">
      <c r="B284">
        <v>282</v>
      </c>
      <c r="C284" s="230" t="s">
        <v>468</v>
      </c>
      <c r="D284" t="s">
        <v>469</v>
      </c>
    </row>
    <row r="285" spans="2:4" ht="15.75">
      <c r="B285">
        <v>283</v>
      </c>
      <c r="C285" s="230" t="s">
        <v>35</v>
      </c>
      <c r="D285" s="230" t="s">
        <v>524</v>
      </c>
    </row>
    <row r="286" spans="2:4" ht="15.75">
      <c r="B286">
        <v>284</v>
      </c>
      <c r="C286" s="230" t="s">
        <v>470</v>
      </c>
      <c r="D286" t="s">
        <v>471</v>
      </c>
    </row>
    <row r="287" spans="2:4" ht="15.75">
      <c r="B287">
        <v>285</v>
      </c>
      <c r="C287" s="230" t="s">
        <v>472</v>
      </c>
      <c r="D287" s="211" t="s">
        <v>473</v>
      </c>
    </row>
    <row r="288" spans="2:4" ht="15.75">
      <c r="B288">
        <v>286</v>
      </c>
      <c r="C288" s="230" t="s">
        <v>474</v>
      </c>
      <c r="D288" s="211" t="s">
        <v>475</v>
      </c>
    </row>
    <row r="289" spans="2:4" ht="15.75">
      <c r="B289">
        <v>287</v>
      </c>
      <c r="C289" s="230" t="s">
        <v>476</v>
      </c>
      <c r="D289" s="213" t="s">
        <v>477</v>
      </c>
    </row>
    <row r="290" spans="2:4" ht="15.75">
      <c r="B290">
        <v>288</v>
      </c>
      <c r="C290" s="230" t="s">
        <v>478</v>
      </c>
      <c r="D290" s="213" t="s">
        <v>479</v>
      </c>
    </row>
    <row r="291" spans="2:4" ht="15.75">
      <c r="B291">
        <v>289</v>
      </c>
      <c r="C291" s="230" t="s">
        <v>480</v>
      </c>
      <c r="D291" s="211" t="s">
        <v>481</v>
      </c>
    </row>
    <row r="292" spans="2:4" ht="15.75">
      <c r="B292">
        <v>290</v>
      </c>
      <c r="C292" s="230" t="s">
        <v>482</v>
      </c>
      <c r="D292" s="211" t="s">
        <v>483</v>
      </c>
    </row>
    <row r="293" spans="2:4" ht="15.75">
      <c r="B293">
        <v>291</v>
      </c>
      <c r="C293" s="230" t="s">
        <v>484</v>
      </c>
      <c r="D293" s="213" t="s">
        <v>485</v>
      </c>
    </row>
    <row r="294" spans="2:4" ht="15.75">
      <c r="B294">
        <v>292</v>
      </c>
      <c r="C294" s="230" t="s">
        <v>486</v>
      </c>
      <c r="D294" s="211" t="s">
        <v>487</v>
      </c>
    </row>
    <row r="295" spans="2:4" ht="15.75">
      <c r="B295">
        <v>293</v>
      </c>
      <c r="C295" s="230" t="s">
        <v>488</v>
      </c>
      <c r="D295" s="211" t="s">
        <v>489</v>
      </c>
    </row>
    <row r="296" spans="2:4" ht="15.75">
      <c r="B296">
        <v>294</v>
      </c>
      <c r="C296" s="230" t="s">
        <v>490</v>
      </c>
      <c r="D296" s="213" t="s">
        <v>491</v>
      </c>
    </row>
    <row r="297" spans="2:4" ht="15.75">
      <c r="B297">
        <v>295</v>
      </c>
      <c r="C297" s="230" t="s">
        <v>492</v>
      </c>
      <c r="D297" s="230" t="s">
        <v>493</v>
      </c>
    </row>
    <row r="298" spans="2:4" ht="15">
      <c r="B298">
        <v>296</v>
      </c>
      <c r="C298" s="211" t="s">
        <v>494</v>
      </c>
      <c r="D298" t="s">
        <v>495</v>
      </c>
    </row>
    <row r="299" spans="2:11" ht="15">
      <c r="B299">
        <v>297</v>
      </c>
      <c r="C299" t="s">
        <v>528</v>
      </c>
      <c r="D299" t="s">
        <v>529</v>
      </c>
      <c r="E299" s="278"/>
      <c r="F299" s="278"/>
      <c r="G299" s="278"/>
      <c r="H299" s="278"/>
      <c r="I299" s="278"/>
      <c r="J299" s="278"/>
      <c r="K299" s="278"/>
    </row>
    <row r="300" spans="2:4" ht="15">
      <c r="B300">
        <v>298</v>
      </c>
      <c r="C300" t="s">
        <v>502</v>
      </c>
      <c r="D300" t="s">
        <v>503</v>
      </c>
    </row>
    <row r="301" spans="2:4" ht="15.75">
      <c r="B301">
        <v>299</v>
      </c>
      <c r="C301" s="230" t="s">
        <v>496</v>
      </c>
      <c r="D301" t="s">
        <v>497</v>
      </c>
    </row>
    <row r="302" spans="2:4" ht="15.75">
      <c r="B302">
        <v>300</v>
      </c>
      <c r="C302" s="230" t="s">
        <v>498</v>
      </c>
      <c r="D302" s="230" t="s">
        <v>499</v>
      </c>
    </row>
    <row r="303" spans="2:4" ht="15">
      <c r="B303">
        <v>301</v>
      </c>
      <c r="C303" t="s">
        <v>500</v>
      </c>
      <c r="D303" t="s">
        <v>501</v>
      </c>
    </row>
    <row r="304" spans="2:4" ht="15">
      <c r="B304">
        <v>302</v>
      </c>
      <c r="C304" t="s">
        <v>504</v>
      </c>
      <c r="D304" t="s">
        <v>505</v>
      </c>
    </row>
    <row r="305" spans="2:4" ht="15.75">
      <c r="B305">
        <v>303</v>
      </c>
      <c r="C305" s="282" t="s">
        <v>506</v>
      </c>
      <c r="D305" s="282" t="s">
        <v>507</v>
      </c>
    </row>
    <row r="306" spans="2:4" ht="15.75">
      <c r="B306">
        <v>304</v>
      </c>
      <c r="C306" s="277" t="s">
        <v>551</v>
      </c>
      <c r="D306" t="s">
        <v>508</v>
      </c>
    </row>
    <row r="307" spans="2:4" ht="15">
      <c r="B307">
        <v>305</v>
      </c>
      <c r="C307" t="s">
        <v>509</v>
      </c>
      <c r="D307" t="s">
        <v>510</v>
      </c>
    </row>
    <row r="308" spans="2:4" ht="15">
      <c r="B308">
        <v>306</v>
      </c>
      <c r="C308" t="s">
        <v>511</v>
      </c>
      <c r="D308" t="s">
        <v>512</v>
      </c>
    </row>
    <row r="309" spans="2:4" ht="15">
      <c r="B309">
        <v>307</v>
      </c>
      <c r="C309" t="s">
        <v>513</v>
      </c>
      <c r="D309" t="s">
        <v>514</v>
      </c>
    </row>
    <row r="310" spans="2:4" ht="15">
      <c r="B310">
        <v>308</v>
      </c>
      <c r="C310" t="s">
        <v>515</v>
      </c>
      <c r="D310" t="s">
        <v>516</v>
      </c>
    </row>
    <row r="311" spans="2:4" ht="15.75">
      <c r="B311">
        <v>309</v>
      </c>
      <c r="C311" s="277" t="s">
        <v>552</v>
      </c>
      <c r="D311" t="s">
        <v>517</v>
      </c>
    </row>
    <row r="312" spans="2:4" ht="15.75">
      <c r="B312">
        <v>310</v>
      </c>
      <c r="C312" s="277" t="s">
        <v>553</v>
      </c>
      <c r="D312" t="s">
        <v>518</v>
      </c>
    </row>
    <row r="313" spans="2:4" ht="15">
      <c r="B313">
        <v>311</v>
      </c>
      <c r="C313" t="s">
        <v>530</v>
      </c>
      <c r="D313" t="s">
        <v>531</v>
      </c>
    </row>
    <row r="314" spans="2:4" ht="15">
      <c r="B314">
        <v>312</v>
      </c>
      <c r="C314" t="s">
        <v>525</v>
      </c>
      <c r="D314" t="s">
        <v>526</v>
      </c>
    </row>
    <row r="315" spans="2:4" ht="15">
      <c r="B315">
        <v>313</v>
      </c>
      <c r="C315" t="s">
        <v>532</v>
      </c>
      <c r="D315" t="s">
        <v>554</v>
      </c>
    </row>
    <row r="316" spans="2:4" ht="15">
      <c r="B316">
        <v>314</v>
      </c>
      <c r="C316" t="s">
        <v>533</v>
      </c>
      <c r="D316" t="s">
        <v>534</v>
      </c>
    </row>
    <row r="317" spans="2:4" ht="15">
      <c r="B317">
        <v>315</v>
      </c>
      <c r="C317" t="s">
        <v>535</v>
      </c>
      <c r="D317" t="s">
        <v>536</v>
      </c>
    </row>
    <row r="318" spans="2:4" ht="15">
      <c r="B318">
        <v>316</v>
      </c>
      <c r="C318" t="s">
        <v>537</v>
      </c>
      <c r="D318" t="s">
        <v>538</v>
      </c>
    </row>
    <row r="319" spans="2:4" ht="15">
      <c r="B319">
        <v>317</v>
      </c>
      <c r="C319" t="s">
        <v>539</v>
      </c>
      <c r="D319" t="s">
        <v>540</v>
      </c>
    </row>
    <row r="320" spans="2:4" ht="15">
      <c r="B320">
        <v>318</v>
      </c>
      <c r="C320" t="s">
        <v>519</v>
      </c>
      <c r="D320" t="s">
        <v>503</v>
      </c>
    </row>
    <row r="321" spans="2:4" ht="15">
      <c r="B321">
        <v>319</v>
      </c>
      <c r="C321" t="s">
        <v>541</v>
      </c>
      <c r="D321" t="s">
        <v>542</v>
      </c>
    </row>
    <row r="322" spans="2:4" ht="15">
      <c r="B322">
        <v>320</v>
      </c>
      <c r="C322" t="s">
        <v>543</v>
      </c>
      <c r="D322" t="s">
        <v>544</v>
      </c>
    </row>
    <row r="1000" ht="15">
      <c r="A1000" t="s">
        <v>391</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6" width="11.421875" style="31" customWidth="1"/>
    <col min="7"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33.682</v>
      </c>
      <c r="C8" s="50">
        <v>33.482</v>
      </c>
      <c r="D8" s="50">
        <v>32.52799999999999</v>
      </c>
      <c r="E8" s="268">
        <v>28.72499999999999</v>
      </c>
      <c r="F8" s="50">
        <v>29.358</v>
      </c>
      <c r="G8" s="50">
        <v>0</v>
      </c>
      <c r="H8" s="50">
        <v>0</v>
      </c>
      <c r="I8" s="50">
        <v>0</v>
      </c>
    </row>
    <row r="9" spans="1:9" ht="15">
      <c r="A9" s="43" t="str">
        <f>HLOOKUP(INDICE!$F$2,Nombres!$C$3:$D$636,34,FALSE)</f>
        <v>Comisiones netas</v>
      </c>
      <c r="B9" s="44">
        <v>5</v>
      </c>
      <c r="C9" s="44">
        <v>3.191</v>
      </c>
      <c r="D9" s="44">
        <v>3.9139999999999993</v>
      </c>
      <c r="E9" s="45">
        <v>26.009999999999998</v>
      </c>
      <c r="F9" s="44">
        <v>9.203999999999999</v>
      </c>
      <c r="G9" s="44">
        <v>0</v>
      </c>
      <c r="H9" s="44">
        <v>0</v>
      </c>
      <c r="I9" s="44">
        <v>0</v>
      </c>
    </row>
    <row r="10" spans="1:9" ht="15">
      <c r="A10" s="43" t="str">
        <f>HLOOKUP(INDICE!$F$2,Nombres!$C$3:$D$636,35,FALSE)</f>
        <v>Resultados de operaciones financieras</v>
      </c>
      <c r="B10" s="44">
        <v>1.4220000000000002</v>
      </c>
      <c r="C10" s="44">
        <v>1.581</v>
      </c>
      <c r="D10" s="44">
        <v>1.4719999999999998</v>
      </c>
      <c r="E10" s="45">
        <v>1.2320000000000007</v>
      </c>
      <c r="F10" s="44">
        <v>1.8659999999999999</v>
      </c>
      <c r="G10" s="44">
        <v>0</v>
      </c>
      <c r="H10" s="44">
        <v>0</v>
      </c>
      <c r="I10" s="44">
        <v>0</v>
      </c>
    </row>
    <row r="11" spans="1:9" ht="15">
      <c r="A11" s="43" t="str">
        <f>HLOOKUP(INDICE!$F$2,Nombres!$C$3:$D$636,36,FALSE)</f>
        <v>Otros ingresos y cargas de explotación</v>
      </c>
      <c r="B11" s="44">
        <v>-0.11699999999999999</v>
      </c>
      <c r="C11" s="44">
        <v>-0.206</v>
      </c>
      <c r="D11" s="44">
        <v>-0.21999999999999997</v>
      </c>
      <c r="E11" s="45">
        <v>-0.44000000000000006</v>
      </c>
      <c r="F11" s="44">
        <v>-0.365</v>
      </c>
      <c r="G11" s="44">
        <v>0</v>
      </c>
      <c r="H11" s="44">
        <v>0</v>
      </c>
      <c r="I11" s="44">
        <v>0</v>
      </c>
    </row>
    <row r="12" spans="1:9" ht="15">
      <c r="A12" s="41" t="str">
        <f>HLOOKUP(INDICE!$F$2,Nombres!$C$3:$D$636,37,FALSE)</f>
        <v>Margen bruto</v>
      </c>
      <c r="B12" s="50">
        <f>+SUM(B8:B11)</f>
        <v>39.987</v>
      </c>
      <c r="C12" s="50">
        <f>+SUM(C8:C11)</f>
        <v>38.048</v>
      </c>
      <c r="D12" s="50">
        <f>+SUM(D8:D11)</f>
        <v>37.693999999999996</v>
      </c>
      <c r="E12" s="268">
        <f>+SUM(E8:E11)</f>
        <v>55.52699999999999</v>
      </c>
      <c r="F12" s="50">
        <f>+SUM(F8:F11)</f>
        <v>40.062999999999995</v>
      </c>
      <c r="G12" s="50">
        <f>+SUM(G8:G11)</f>
        <v>0</v>
      </c>
      <c r="H12" s="50">
        <f>+SUM(H8:H11)</f>
        <v>0</v>
      </c>
      <c r="I12" s="50">
        <f>+SUM(I8:I11)</f>
        <v>0</v>
      </c>
    </row>
    <row r="13" spans="1:9" ht="15">
      <c r="A13" s="43" t="str">
        <f>HLOOKUP(INDICE!$F$2,Nombres!$C$3:$D$636,38,FALSE)</f>
        <v>Gastos de explotación</v>
      </c>
      <c r="B13" s="44">
        <v>-12.910109000000002</v>
      </c>
      <c r="C13" s="44">
        <v>-13.933108</v>
      </c>
      <c r="D13" s="44">
        <v>-15.075778619999998</v>
      </c>
      <c r="E13" s="45">
        <v>-22.772778609999996</v>
      </c>
      <c r="F13" s="44">
        <v>-15.781002</v>
      </c>
      <c r="G13" s="44">
        <v>0</v>
      </c>
      <c r="H13" s="44">
        <v>0</v>
      </c>
      <c r="I13" s="44">
        <v>0</v>
      </c>
    </row>
    <row r="14" spans="1:9" ht="15">
      <c r="A14" s="43" t="str">
        <f>HLOOKUP(INDICE!$F$2,Nombres!$C$3:$D$636,39,FALSE)</f>
        <v>  Gastos de administración</v>
      </c>
      <c r="B14" s="44">
        <v>-11.585109</v>
      </c>
      <c r="C14" s="44">
        <v>-12.615108</v>
      </c>
      <c r="D14" s="44">
        <v>-13.81577862</v>
      </c>
      <c r="E14" s="45">
        <v>-21.872778609999997</v>
      </c>
      <c r="F14" s="44">
        <v>-14.463002</v>
      </c>
      <c r="G14" s="44">
        <v>0</v>
      </c>
      <c r="H14" s="44">
        <v>0</v>
      </c>
      <c r="I14" s="44">
        <v>0</v>
      </c>
    </row>
    <row r="15" spans="1:9" ht="15">
      <c r="A15" s="46" t="str">
        <f>HLOOKUP(INDICE!$F$2,Nombres!$C$3:$D$636,40,FALSE)</f>
        <v>  Gastos de personal</v>
      </c>
      <c r="B15" s="44">
        <v>-5.876999999999999</v>
      </c>
      <c r="C15" s="44">
        <v>-5.970000000000001</v>
      </c>
      <c r="D15" s="44">
        <v>-6.629999999999999</v>
      </c>
      <c r="E15" s="45">
        <v>-6.361000000000001</v>
      </c>
      <c r="F15" s="44">
        <v>-6.842999999999999</v>
      </c>
      <c r="G15" s="44">
        <v>0</v>
      </c>
      <c r="H15" s="44">
        <v>0</v>
      </c>
      <c r="I15" s="44">
        <v>0</v>
      </c>
    </row>
    <row r="16" spans="1:9" ht="15">
      <c r="A16" s="46" t="str">
        <f>HLOOKUP(INDICE!$F$2,Nombres!$C$3:$D$636,41,FALSE)</f>
        <v>  Otros gastos de administración</v>
      </c>
      <c r="B16" s="44">
        <v>-5.708109</v>
      </c>
      <c r="C16" s="44">
        <v>-6.645108</v>
      </c>
      <c r="D16" s="44">
        <v>-7.185778619999999</v>
      </c>
      <c r="E16" s="45">
        <v>-15.511778609999999</v>
      </c>
      <c r="F16" s="44">
        <v>-7.620002</v>
      </c>
      <c r="G16" s="44">
        <v>0</v>
      </c>
      <c r="H16" s="44">
        <v>0</v>
      </c>
      <c r="I16" s="44">
        <v>0</v>
      </c>
    </row>
    <row r="17" spans="1:9" ht="15">
      <c r="A17" s="43" t="str">
        <f>HLOOKUP(INDICE!$F$2,Nombres!$C$3:$D$636,42,FALSE)</f>
        <v>  Amortización</v>
      </c>
      <c r="B17" s="44">
        <v>-1.3250000000000002</v>
      </c>
      <c r="C17" s="44">
        <v>-1.318</v>
      </c>
      <c r="D17" s="44">
        <v>-1.2600000000000002</v>
      </c>
      <c r="E17" s="45">
        <v>-0.9000000000000001</v>
      </c>
      <c r="F17" s="44">
        <v>-1.318</v>
      </c>
      <c r="G17" s="44">
        <v>0</v>
      </c>
      <c r="H17" s="44">
        <v>0</v>
      </c>
      <c r="I17" s="44">
        <v>0</v>
      </c>
    </row>
    <row r="18" spans="1:9" ht="15">
      <c r="A18" s="41" t="str">
        <f>HLOOKUP(INDICE!$F$2,Nombres!$C$3:$D$636,43,FALSE)</f>
        <v>Margen neto</v>
      </c>
      <c r="B18" s="50">
        <f aca="true" t="shared" si="0" ref="B18:I18">+B12+B13</f>
        <v>27.076891</v>
      </c>
      <c r="C18" s="50">
        <f t="shared" si="0"/>
        <v>24.114892</v>
      </c>
      <c r="D18" s="50">
        <f t="shared" si="0"/>
        <v>22.618221379999998</v>
      </c>
      <c r="E18" s="268">
        <f t="shared" si="0"/>
        <v>32.75422138999999</v>
      </c>
      <c r="F18" s="50">
        <f t="shared" si="0"/>
        <v>24.281997999999994</v>
      </c>
      <c r="G18" s="50">
        <f t="shared" si="0"/>
        <v>0</v>
      </c>
      <c r="H18" s="50">
        <f t="shared" si="0"/>
        <v>0</v>
      </c>
      <c r="I18" s="50">
        <f t="shared" si="0"/>
        <v>0</v>
      </c>
    </row>
    <row r="19" spans="1:9" ht="15">
      <c r="A19" s="43" t="str">
        <f>HLOOKUP(INDICE!$F$2,Nombres!$C$3:$D$636,44,FALSE)</f>
        <v>Deterioro de activos financieros no valorados a valor razonable con cambios en resultados</v>
      </c>
      <c r="B19" s="44">
        <v>-3.9930000000000003</v>
      </c>
      <c r="C19" s="44">
        <v>-10.717000000000002</v>
      </c>
      <c r="D19" s="44">
        <v>-7.6979999999999995</v>
      </c>
      <c r="E19" s="45">
        <v>-34.122</v>
      </c>
      <c r="F19" s="44">
        <v>-21.72</v>
      </c>
      <c r="G19" s="44">
        <v>0</v>
      </c>
      <c r="H19" s="44">
        <v>0</v>
      </c>
      <c r="I19" s="44">
        <v>0</v>
      </c>
    </row>
    <row r="20" spans="1:9" ht="15">
      <c r="A20" s="43" t="str">
        <f>HLOOKUP(INDICE!$F$2,Nombres!$C$3:$D$636,45,FALSE)</f>
        <v>Provisiones o reversión de provisiones y otros resultados</v>
      </c>
      <c r="B20" s="44">
        <v>0.132</v>
      </c>
      <c r="C20" s="44">
        <v>0.02599999999999998</v>
      </c>
      <c r="D20" s="44">
        <v>-0.11199999999999999</v>
      </c>
      <c r="E20" s="45">
        <v>-0.653</v>
      </c>
      <c r="F20" s="44">
        <v>-0.41200000000000003</v>
      </c>
      <c r="G20" s="44">
        <v>0</v>
      </c>
      <c r="H20" s="44">
        <v>0</v>
      </c>
      <c r="I20" s="44">
        <v>0</v>
      </c>
    </row>
    <row r="21" spans="1:9" ht="15">
      <c r="A21" s="41" t="str">
        <f>HLOOKUP(INDICE!$F$2,Nombres!$C$3:$D$636,46,FALSE)</f>
        <v>Resultado antes de impuestos</v>
      </c>
      <c r="B21" s="50">
        <f aca="true" t="shared" si="1" ref="B21:I21">+B18+B19+B20</f>
        <v>23.215891000000003</v>
      </c>
      <c r="C21" s="50">
        <f t="shared" si="1"/>
        <v>13.423891999999999</v>
      </c>
      <c r="D21" s="50">
        <f t="shared" si="1"/>
        <v>14.808221379999997</v>
      </c>
      <c r="E21" s="268">
        <f t="shared" si="1"/>
        <v>-2.020778610000009</v>
      </c>
      <c r="F21" s="50">
        <f t="shared" si="1"/>
        <v>2.1499979999999956</v>
      </c>
      <c r="G21" s="50">
        <f t="shared" si="1"/>
        <v>0</v>
      </c>
      <c r="H21" s="50">
        <f t="shared" si="1"/>
        <v>0</v>
      </c>
      <c r="I21" s="50">
        <f t="shared" si="1"/>
        <v>0</v>
      </c>
    </row>
    <row r="22" spans="1:9" ht="15">
      <c r="A22" s="43" t="str">
        <f>HLOOKUP(INDICE!$F$2,Nombres!$C$3:$D$636,47,FALSE)</f>
        <v>Impuesto sobre beneficios</v>
      </c>
      <c r="B22" s="44">
        <v>-4.7428673</v>
      </c>
      <c r="C22" s="44">
        <v>-0.041867600000000005</v>
      </c>
      <c r="D22" s="44">
        <v>-1.1706664200000003</v>
      </c>
      <c r="E22" s="45">
        <v>-0.10166640999999998</v>
      </c>
      <c r="F22" s="44">
        <v>0.039700599999999864</v>
      </c>
      <c r="G22" s="44">
        <v>0</v>
      </c>
      <c r="H22" s="44">
        <v>0</v>
      </c>
      <c r="I22" s="44">
        <v>0</v>
      </c>
    </row>
    <row r="23" spans="1:9" ht="15">
      <c r="A23" s="41" t="str">
        <f>HLOOKUP(INDICE!$F$2,Nombres!$C$3:$D$636,48,FALSE)</f>
        <v>Resultado del ejercicio</v>
      </c>
      <c r="B23" s="50">
        <f aca="true" t="shared" si="2" ref="B23:I23">+B21+B22</f>
        <v>18.473023700000002</v>
      </c>
      <c r="C23" s="50">
        <f t="shared" si="2"/>
        <v>13.382024399999999</v>
      </c>
      <c r="D23" s="50">
        <f t="shared" si="2"/>
        <v>13.637554959999997</v>
      </c>
      <c r="E23" s="268">
        <f t="shared" si="2"/>
        <v>-2.122445020000009</v>
      </c>
      <c r="F23" s="50">
        <f t="shared" si="2"/>
        <v>2.1896985999999954</v>
      </c>
      <c r="G23" s="50">
        <f t="shared" si="2"/>
        <v>0</v>
      </c>
      <c r="H23" s="50">
        <f t="shared" si="2"/>
        <v>0</v>
      </c>
      <c r="I23" s="50">
        <f t="shared" si="2"/>
        <v>0</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3" ref="B25:I25">+B23+B24</f>
        <v>18.473023700000002</v>
      </c>
      <c r="C25" s="51">
        <f t="shared" si="3"/>
        <v>13.382024399999999</v>
      </c>
      <c r="D25" s="51">
        <f t="shared" si="3"/>
        <v>13.637554959999997</v>
      </c>
      <c r="E25" s="79">
        <f t="shared" si="3"/>
        <v>-2.122445020000009</v>
      </c>
      <c r="F25" s="51">
        <f t="shared" si="3"/>
        <v>2.1896985999999954</v>
      </c>
      <c r="G25" s="51">
        <f t="shared" si="3"/>
        <v>0</v>
      </c>
      <c r="H25" s="51">
        <f t="shared" si="3"/>
        <v>0</v>
      </c>
      <c r="I25" s="51">
        <f t="shared" si="3"/>
        <v>0</v>
      </c>
    </row>
    <row r="26" spans="1:9" ht="15">
      <c r="A26" s="267"/>
      <c r="B26" s="63">
        <v>0</v>
      </c>
      <c r="C26" s="63">
        <v>0</v>
      </c>
      <c r="D26" s="63">
        <v>0</v>
      </c>
      <c r="E26" s="63">
        <v>-3.9968028886505635E-15</v>
      </c>
      <c r="F26" s="63">
        <v>-5.773159728050814E-15</v>
      </c>
      <c r="G26" s="63">
        <v>0</v>
      </c>
      <c r="H26" s="63">
        <v>0</v>
      </c>
      <c r="I26" s="63">
        <v>0</v>
      </c>
    </row>
    <row r="27" spans="1:13" s="274" customFormat="1" ht="15">
      <c r="A27" s="41"/>
      <c r="B27" s="41"/>
      <c r="C27" s="41"/>
      <c r="D27" s="41"/>
      <c r="E27" s="41"/>
      <c r="F27" s="41"/>
      <c r="G27" s="41"/>
      <c r="H27" s="41"/>
      <c r="I27" s="41"/>
      <c r="J27" s="31"/>
      <c r="K27" s="31"/>
      <c r="L27" s="31"/>
      <c r="M27" s="31"/>
    </row>
    <row r="28" spans="1:13" s="274" customFormat="1" ht="18">
      <c r="A28" s="33" t="str">
        <f>HLOOKUP(INDICE!$F$2,Nombres!$C$3:$D$636,51,FALSE)</f>
        <v>Balances</v>
      </c>
      <c r="B28" s="34"/>
      <c r="C28" s="34"/>
      <c r="D28" s="34"/>
      <c r="E28" s="34"/>
      <c r="F28" s="34"/>
      <c r="G28" s="34"/>
      <c r="H28" s="34"/>
      <c r="I28" s="34"/>
      <c r="J28" s="31"/>
      <c r="K28" s="31"/>
      <c r="L28" s="31"/>
      <c r="M28" s="31"/>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21.08</v>
      </c>
      <c r="C31" s="44">
        <v>25.774</v>
      </c>
      <c r="D31" s="44">
        <v>37.84</v>
      </c>
      <c r="E31" s="45">
        <v>56.359</v>
      </c>
      <c r="F31" s="44">
        <v>30.622</v>
      </c>
      <c r="G31" s="44">
        <v>0</v>
      </c>
      <c r="H31" s="44">
        <v>0</v>
      </c>
      <c r="I31" s="44">
        <v>0</v>
      </c>
    </row>
    <row r="32" spans="1:9" ht="15">
      <c r="A32" s="43" t="str">
        <f>HLOOKUP(INDICE!$F$2,Nombres!$C$3:$D$636,53,FALSE)</f>
        <v>Activos financieros a valor razonable</v>
      </c>
      <c r="B32" s="58">
        <v>0</v>
      </c>
      <c r="C32" s="58">
        <v>0</v>
      </c>
      <c r="D32" s="58">
        <v>0</v>
      </c>
      <c r="E32" s="64">
        <v>0</v>
      </c>
      <c r="F32" s="44">
        <v>0</v>
      </c>
      <c r="G32" s="44">
        <v>0</v>
      </c>
      <c r="H32" s="44">
        <v>0</v>
      </c>
      <c r="I32" s="44">
        <v>0</v>
      </c>
    </row>
    <row r="33" spans="1:9" ht="15">
      <c r="A33" s="43" t="str">
        <f>HLOOKUP(INDICE!$F$2,Nombres!$C$3:$D$636,54,FALSE)</f>
        <v>Activos financieros a coste amortizado</v>
      </c>
      <c r="B33" s="44">
        <v>1755.8490000000002</v>
      </c>
      <c r="C33" s="44">
        <v>1642.141</v>
      </c>
      <c r="D33" s="44">
        <v>1852.37</v>
      </c>
      <c r="E33" s="45">
        <v>2012.4479999999999</v>
      </c>
      <c r="F33" s="44">
        <v>2210.672</v>
      </c>
      <c r="G33" s="44">
        <v>0</v>
      </c>
      <c r="H33" s="44">
        <v>0</v>
      </c>
      <c r="I33" s="44">
        <v>0</v>
      </c>
    </row>
    <row r="34" spans="1:9" ht="15">
      <c r="A34" s="43" t="str">
        <f>HLOOKUP(INDICE!$F$2,Nombres!$C$3:$D$636,55,FALSE)</f>
        <v>    de los que préstamos y anticipos a la clientela</v>
      </c>
      <c r="B34" s="44">
        <v>1639.6470000000002</v>
      </c>
      <c r="C34" s="44">
        <v>1616.2820000000002</v>
      </c>
      <c r="D34" s="44">
        <v>1809.839</v>
      </c>
      <c r="E34" s="45">
        <v>1979.9630000000002</v>
      </c>
      <c r="F34" s="44">
        <v>2173.498</v>
      </c>
      <c r="G34" s="44">
        <v>0</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7.614999999999999</v>
      </c>
      <c r="C36" s="44">
        <v>6.5440000000000005</v>
      </c>
      <c r="D36" s="44">
        <v>6.225</v>
      </c>
      <c r="E36" s="45">
        <v>4.19</v>
      </c>
      <c r="F36" s="44">
        <v>4.164000000000001</v>
      </c>
      <c r="G36" s="44">
        <v>0</v>
      </c>
      <c r="H36" s="44">
        <v>0</v>
      </c>
      <c r="I36" s="44">
        <v>0</v>
      </c>
    </row>
    <row r="37" spans="1:9" ht="15">
      <c r="A37" s="43" t="str">
        <f>HLOOKUP(INDICE!$F$2,Nombres!$C$3:$D$636,57,FALSE)</f>
        <v>Otros activos</v>
      </c>
      <c r="B37" s="58">
        <f>+B38-B36-B33-B32-B31</f>
        <v>233.48189099999962</v>
      </c>
      <c r="C37" s="58">
        <f aca="true" t="shared" si="4" ref="C37:I37">+C38-C36-C33-C32-C31</f>
        <v>274.05478300000016</v>
      </c>
      <c r="D37" s="58">
        <f t="shared" si="4"/>
        <v>308.26200611000024</v>
      </c>
      <c r="E37" s="64">
        <f t="shared" si="4"/>
        <v>308.41722109000006</v>
      </c>
      <c r="F37" s="44">
        <f t="shared" si="4"/>
        <v>332.37399799999986</v>
      </c>
      <c r="G37" s="44">
        <f t="shared" si="4"/>
        <v>0</v>
      </c>
      <c r="H37" s="44">
        <f t="shared" si="4"/>
        <v>0</v>
      </c>
      <c r="I37" s="44">
        <f t="shared" si="4"/>
        <v>0</v>
      </c>
    </row>
    <row r="38" spans="1:9" ht="15">
      <c r="A38" s="47" t="str">
        <f>HLOOKUP(INDICE!$F$2,Nombres!$C$3:$D$636,58,FALSE)</f>
        <v>Total activo / pasivo</v>
      </c>
      <c r="B38" s="47">
        <v>2018.0258909999998</v>
      </c>
      <c r="C38" s="47">
        <v>1948.5137830000003</v>
      </c>
      <c r="D38" s="47">
        <v>2204.69700611</v>
      </c>
      <c r="E38" s="47">
        <v>2381.41422109</v>
      </c>
      <c r="F38" s="51">
        <v>2577.831998</v>
      </c>
      <c r="G38" s="51">
        <v>0</v>
      </c>
      <c r="H38" s="51">
        <v>0</v>
      </c>
      <c r="I38" s="51">
        <v>0</v>
      </c>
    </row>
    <row r="39" spans="1:9" ht="15">
      <c r="A39" s="43" t="str">
        <f>HLOOKUP(INDICE!$F$2,Nombres!$C$3:$D$636,59,FALSE)</f>
        <v>Pasivos financieros mantenidos para negociar y designados a valor razonable con cambios en resultados</v>
      </c>
      <c r="B39" s="58">
        <v>0</v>
      </c>
      <c r="C39" s="58">
        <v>0</v>
      </c>
      <c r="D39" s="58">
        <v>0</v>
      </c>
      <c r="E39" s="64">
        <v>0</v>
      </c>
      <c r="F39" s="44">
        <v>0</v>
      </c>
      <c r="G39" s="44">
        <v>0</v>
      </c>
      <c r="H39" s="44">
        <v>0</v>
      </c>
      <c r="I39" s="44">
        <v>0</v>
      </c>
    </row>
    <row r="40" spans="1:9" ht="15.75" customHeight="1">
      <c r="A40" s="43" t="str">
        <f>HLOOKUP(INDICE!$F$2,Nombres!$C$3:$D$636,60,FALSE)</f>
        <v>Depósitos de bancos centrales y entidades de crédito</v>
      </c>
      <c r="B40" s="58">
        <v>648.445</v>
      </c>
      <c r="C40" s="58">
        <v>545.695</v>
      </c>
      <c r="D40" s="58">
        <v>824.321</v>
      </c>
      <c r="E40" s="64">
        <v>1006.534</v>
      </c>
      <c r="F40" s="44">
        <v>1025.394</v>
      </c>
      <c r="G40" s="44">
        <v>0</v>
      </c>
      <c r="H40" s="44">
        <v>0</v>
      </c>
      <c r="I40" s="44">
        <v>0</v>
      </c>
    </row>
    <row r="41" spans="1:9" ht="15">
      <c r="A41" s="43" t="str">
        <f>HLOOKUP(INDICE!$F$2,Nombres!$C$3:$D$636,61,FALSE)</f>
        <v>Depósitos de la clientela</v>
      </c>
      <c r="B41" s="58">
        <v>15.479</v>
      </c>
      <c r="C41" s="58">
        <v>10.869</v>
      </c>
      <c r="D41" s="58">
        <v>8.888</v>
      </c>
      <c r="E41" s="64">
        <v>6.672</v>
      </c>
      <c r="F41" s="44">
        <v>8.370000000000001</v>
      </c>
      <c r="G41" s="44">
        <v>0</v>
      </c>
      <c r="H41" s="44">
        <v>0</v>
      </c>
      <c r="I41" s="44">
        <v>0</v>
      </c>
    </row>
    <row r="42" spans="1:9" ht="15">
      <c r="A42" s="43" t="str">
        <f>HLOOKUP(INDICE!$F$2,Nombres!$C$3:$D$636,62,FALSE)</f>
        <v>Valores representativos de deuda emitidos</v>
      </c>
      <c r="B42" s="44">
        <v>815.6228544</v>
      </c>
      <c r="C42" s="44">
        <v>875.4264959999999</v>
      </c>
      <c r="D42" s="44">
        <v>818.595208</v>
      </c>
      <c r="E42" s="45">
        <v>779.6658239999999</v>
      </c>
      <c r="F42" s="44">
        <v>906.0023487999999</v>
      </c>
      <c r="G42" s="44">
        <v>0</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296.1469800799995</v>
      </c>
      <c r="C44" s="58">
        <f aca="true" t="shared" si="5" ref="C44:I44">+C38-C39-C40-C41-C42-C45</f>
        <v>255.59508700000032</v>
      </c>
      <c r="D44" s="58">
        <f t="shared" si="5"/>
        <v>259.0761981100003</v>
      </c>
      <c r="E44" s="64">
        <f t="shared" si="5"/>
        <v>312.5800603999999</v>
      </c>
      <c r="F44" s="44">
        <f t="shared" si="5"/>
        <v>336.75419528000026</v>
      </c>
      <c r="G44" s="44">
        <f t="shared" si="5"/>
        <v>0</v>
      </c>
      <c r="H44" s="44">
        <f t="shared" si="5"/>
        <v>0</v>
      </c>
      <c r="I44" s="44">
        <f t="shared" si="5"/>
        <v>0</v>
      </c>
    </row>
    <row r="45" spans="1:9" ht="15">
      <c r="A45" s="43" t="str">
        <f>HLOOKUP(INDICE!$F$2,Nombres!$C$3:$D$636,282,FALSE)</f>
        <v>Dotación de capital regulatorio</v>
      </c>
      <c r="B45" s="58">
        <v>242.33205652</v>
      </c>
      <c r="C45" s="58">
        <v>260.9282</v>
      </c>
      <c r="D45" s="58">
        <v>293.8166</v>
      </c>
      <c r="E45" s="64">
        <v>275.96233669</v>
      </c>
      <c r="F45" s="44">
        <v>301.31145392</v>
      </c>
      <c r="G45" s="44">
        <v>0</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6" ref="B50:I50">+B$30</f>
        <v>44651</v>
      </c>
      <c r="C50" s="53">
        <f t="shared" si="6"/>
        <v>44742</v>
      </c>
      <c r="D50" s="53">
        <f t="shared" si="6"/>
        <v>44834</v>
      </c>
      <c r="E50" s="67">
        <f t="shared" si="6"/>
        <v>44926</v>
      </c>
      <c r="F50" s="53">
        <f t="shared" si="6"/>
        <v>45016</v>
      </c>
      <c r="G50" s="53">
        <f t="shared" si="6"/>
        <v>45107</v>
      </c>
      <c r="H50" s="53">
        <f t="shared" si="6"/>
        <v>45199</v>
      </c>
      <c r="I50" s="53">
        <f t="shared" si="6"/>
        <v>45291</v>
      </c>
    </row>
    <row r="51" spans="1:9" ht="15">
      <c r="A51" s="43" t="str">
        <f>HLOOKUP(INDICE!$F$2,Nombres!$C$3:$D$636,66,FALSE)</f>
        <v>Préstamos y anticipos a la clientela bruto (*)</v>
      </c>
      <c r="B51" s="44">
        <v>1700.6260000000002</v>
      </c>
      <c r="C51" s="44">
        <v>1680.019</v>
      </c>
      <c r="D51" s="44">
        <v>1878.508</v>
      </c>
      <c r="E51" s="45">
        <v>2078.6980000000003</v>
      </c>
      <c r="F51" s="44">
        <v>2290.9970000000003</v>
      </c>
      <c r="G51" s="44">
        <v>0</v>
      </c>
      <c r="H51" s="44">
        <v>0</v>
      </c>
      <c r="I51" s="44">
        <v>0</v>
      </c>
    </row>
    <row r="52" spans="1:9" ht="15">
      <c r="A52" s="43" t="str">
        <f>HLOOKUP(INDICE!$F$2,Nombres!$C$3:$D$636,67,FALSE)</f>
        <v>Depósitos de clientes en gestión (**)</v>
      </c>
      <c r="B52" s="44">
        <v>15.479</v>
      </c>
      <c r="C52" s="44">
        <v>10.869</v>
      </c>
      <c r="D52" s="44">
        <v>8.888</v>
      </c>
      <c r="E52" s="45">
        <v>6.672</v>
      </c>
      <c r="F52" s="44">
        <v>8.370000000000001</v>
      </c>
      <c r="G52" s="44">
        <v>0</v>
      </c>
      <c r="H52" s="44">
        <v>0</v>
      </c>
      <c r="I52" s="44">
        <v>0</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7" ref="C63:I63">+C$7</f>
        <v>2º Trim.</v>
      </c>
      <c r="D63" s="39" t="str">
        <f t="shared" si="7"/>
        <v>3er Trim.</v>
      </c>
      <c r="E63" s="40" t="str">
        <f t="shared" si="7"/>
        <v>4º Trim.</v>
      </c>
      <c r="F63" s="39" t="str">
        <f t="shared" si="7"/>
        <v>1er Trim.</v>
      </c>
      <c r="G63" s="39" t="str">
        <f t="shared" si="7"/>
        <v>2º Trim.</v>
      </c>
      <c r="H63" s="39" t="str">
        <f t="shared" si="7"/>
        <v>3er Trim.</v>
      </c>
      <c r="I63" s="39" t="str">
        <f t="shared" si="7"/>
        <v>4º Trim.</v>
      </c>
    </row>
    <row r="64" spans="1:9" ht="15">
      <c r="A64" s="41" t="str">
        <f>HLOOKUP(INDICE!$F$2,Nombres!$C$3:$D$636,33,FALSE)</f>
        <v>Margen de intereses</v>
      </c>
      <c r="B64" s="50">
        <v>35.085511063147614</v>
      </c>
      <c r="C64" s="50">
        <v>34.47088229525894</v>
      </c>
      <c r="D64" s="50">
        <v>34.81948519431491</v>
      </c>
      <c r="E64" s="268">
        <v>30.85859688970605</v>
      </c>
      <c r="F64" s="50">
        <v>29.357999999999997</v>
      </c>
      <c r="G64" s="50">
        <v>0</v>
      </c>
      <c r="H64" s="50">
        <v>0</v>
      </c>
      <c r="I64" s="50">
        <v>0</v>
      </c>
    </row>
    <row r="65" spans="1:9" ht="15">
      <c r="A65" s="43" t="str">
        <f>HLOOKUP(INDICE!$F$2,Nombres!$C$3:$D$636,34,FALSE)</f>
        <v>Comisiones netas</v>
      </c>
      <c r="B65" s="44">
        <v>5.208347346230569</v>
      </c>
      <c r="C65" s="44">
        <v>3.274417498012001</v>
      </c>
      <c r="D65" s="44">
        <v>4.190970358990321</v>
      </c>
      <c r="E65" s="45">
        <v>27.464735805185967</v>
      </c>
      <c r="F65" s="44">
        <v>9.203999999999999</v>
      </c>
      <c r="G65" s="44">
        <v>0</v>
      </c>
      <c r="H65" s="44">
        <v>0</v>
      </c>
      <c r="I65" s="44">
        <v>0</v>
      </c>
    </row>
    <row r="66" spans="1:9" ht="15">
      <c r="A66" s="43" t="str">
        <f>HLOOKUP(INDICE!$F$2,Nombres!$C$3:$D$636,35,FALSE)</f>
        <v>Resultados de operaciones financieras</v>
      </c>
      <c r="B66" s="44">
        <v>1.4812539852679738</v>
      </c>
      <c r="C66" s="44">
        <v>1.6287133968905465</v>
      </c>
      <c r="D66" s="44">
        <v>1.5752837565830888</v>
      </c>
      <c r="E66" s="45">
        <v>1.3247253546349207</v>
      </c>
      <c r="F66" s="44">
        <v>1.866</v>
      </c>
      <c r="G66" s="44">
        <v>0</v>
      </c>
      <c r="H66" s="44">
        <v>0</v>
      </c>
      <c r="I66" s="44">
        <v>0</v>
      </c>
    </row>
    <row r="67" spans="1:9" ht="15">
      <c r="A67" s="43" t="str">
        <f>HLOOKUP(INDICE!$F$2,Nombres!$C$3:$D$636,36,FALSE)</f>
        <v>Otros ingresos y cargas de explotación</v>
      </c>
      <c r="B67" s="44">
        <v>-0.12187532790179534</v>
      </c>
      <c r="C67" s="44">
        <v>-0.21262998826110915</v>
      </c>
      <c r="D67" s="44">
        <v>-0.23400672145423385</v>
      </c>
      <c r="E67" s="45">
        <v>-0.46667403089331005</v>
      </c>
      <c r="F67" s="44">
        <v>-0.365</v>
      </c>
      <c r="G67" s="44">
        <v>0</v>
      </c>
      <c r="H67" s="44">
        <v>0</v>
      </c>
      <c r="I67" s="44">
        <v>0</v>
      </c>
    </row>
    <row r="68" spans="1:9" ht="15">
      <c r="A68" s="41" t="str">
        <f>HLOOKUP(INDICE!$F$2,Nombres!$C$3:$D$636,37,FALSE)</f>
        <v>Margen bruto</v>
      </c>
      <c r="B68" s="50">
        <f>+SUM(B64:B67)</f>
        <v>41.65323706674436</v>
      </c>
      <c r="C68" s="50">
        <f>+SUM(C64:C67)</f>
        <v>39.16138320190038</v>
      </c>
      <c r="D68" s="50">
        <f aca="true" t="shared" si="8" ref="D68:I68">+SUM(D64:D67)</f>
        <v>40.35173258843408</v>
      </c>
      <c r="E68" s="268">
        <f t="shared" si="8"/>
        <v>59.18138401863363</v>
      </c>
      <c r="F68" s="50">
        <f t="shared" si="8"/>
        <v>40.062999999999995</v>
      </c>
      <c r="G68" s="50">
        <f t="shared" si="8"/>
        <v>0</v>
      </c>
      <c r="H68" s="50">
        <f t="shared" si="8"/>
        <v>0</v>
      </c>
      <c r="I68" s="50">
        <f t="shared" si="8"/>
        <v>0</v>
      </c>
    </row>
    <row r="69" spans="1:9" ht="15">
      <c r="A69" s="43" t="str">
        <f>HLOOKUP(INDICE!$F$2,Nombres!$C$3:$D$636,38,FALSE)</f>
        <v>Gastos de explotación</v>
      </c>
      <c r="B69" s="44">
        <v>-13.448066389939477</v>
      </c>
      <c r="C69" s="44">
        <v>-14.351310667071207</v>
      </c>
      <c r="D69" s="44">
        <v>-16.08911947114787</v>
      </c>
      <c r="E69" s="45">
        <v>-24.237671762908825</v>
      </c>
      <c r="F69" s="44">
        <v>-15.781002</v>
      </c>
      <c r="G69" s="44">
        <v>0</v>
      </c>
      <c r="H69" s="44">
        <v>0</v>
      </c>
      <c r="I69" s="44">
        <v>0</v>
      </c>
    </row>
    <row r="70" spans="1:9" ht="15">
      <c r="A70" s="43" t="str">
        <f>HLOOKUP(INDICE!$F$2,Nombres!$C$3:$D$636,39,FALSE)</f>
        <v>  Gastos de administración</v>
      </c>
      <c r="B70" s="44">
        <v>-12.067854343188376</v>
      </c>
      <c r="C70" s="44">
        <v>-12.994378594260215</v>
      </c>
      <c r="D70" s="44">
        <v>-14.739887010931529</v>
      </c>
      <c r="E70" s="45">
        <v>-23.266063920453604</v>
      </c>
      <c r="F70" s="44">
        <v>-14.463002</v>
      </c>
      <c r="G70" s="44">
        <v>0</v>
      </c>
      <c r="H70" s="44">
        <v>0</v>
      </c>
      <c r="I70" s="44">
        <v>0</v>
      </c>
    </row>
    <row r="71" spans="1:9" ht="15">
      <c r="A71" s="46" t="str">
        <f>HLOOKUP(INDICE!$F$2,Nombres!$C$3:$D$636,40,FALSE)</f>
        <v>  Gastos de personal</v>
      </c>
      <c r="B71" s="44">
        <v>-6.121891470759411</v>
      </c>
      <c r="C71" s="44">
        <v>-6.147100729184642</v>
      </c>
      <c r="D71" s="44">
        <v>-7.076121831459012</v>
      </c>
      <c r="E71" s="45">
        <v>-6.811499976391966</v>
      </c>
      <c r="F71" s="44">
        <v>-6.843</v>
      </c>
      <c r="G71" s="44">
        <v>0</v>
      </c>
      <c r="H71" s="44">
        <v>0</v>
      </c>
      <c r="I71" s="44">
        <v>0</v>
      </c>
    </row>
    <row r="72" spans="1:9" ht="15">
      <c r="A72" s="46" t="str">
        <f>HLOOKUP(INDICE!$F$2,Nombres!$C$3:$D$636,41,FALSE)</f>
        <v>  Otros gastos de administración</v>
      </c>
      <c r="B72" s="44">
        <v>-5.945962872428966</v>
      </c>
      <c r="C72" s="44">
        <v>-6.847277865075573</v>
      </c>
      <c r="D72" s="44">
        <v>-7.663765179472516</v>
      </c>
      <c r="E72" s="45">
        <v>-16.45456394406164</v>
      </c>
      <c r="F72" s="44">
        <v>-7.620002</v>
      </c>
      <c r="G72" s="44">
        <v>0</v>
      </c>
      <c r="H72" s="44">
        <v>0</v>
      </c>
      <c r="I72" s="44">
        <v>0</v>
      </c>
    </row>
    <row r="73" spans="1:9" ht="15">
      <c r="A73" s="43" t="str">
        <f>HLOOKUP(INDICE!$F$2,Nombres!$C$3:$D$636,42,FALSE)</f>
        <v>  Amortización</v>
      </c>
      <c r="B73" s="44">
        <v>-1.380212046751101</v>
      </c>
      <c r="C73" s="44">
        <v>-1.3569320728109935</v>
      </c>
      <c r="D73" s="44">
        <v>-1.3492324602163421</v>
      </c>
      <c r="E73" s="45">
        <v>-0.971607842455219</v>
      </c>
      <c r="F73" s="44">
        <v>-1.318</v>
      </c>
      <c r="G73" s="44">
        <v>0</v>
      </c>
      <c r="H73" s="44">
        <v>0</v>
      </c>
      <c r="I73" s="44">
        <v>0</v>
      </c>
    </row>
    <row r="74" spans="1:9" ht="15">
      <c r="A74" s="41" t="str">
        <f>HLOOKUP(INDICE!$F$2,Nombres!$C$3:$D$636,43,FALSE)</f>
        <v>Margen neto</v>
      </c>
      <c r="B74" s="50">
        <f aca="true" t="shared" si="9" ref="B74:I74">+B68+B69</f>
        <v>28.205170676804883</v>
      </c>
      <c r="C74" s="50">
        <f t="shared" si="9"/>
        <v>24.81007253482917</v>
      </c>
      <c r="D74" s="50">
        <f t="shared" si="9"/>
        <v>24.26261311728621</v>
      </c>
      <c r="E74" s="268">
        <f t="shared" si="9"/>
        <v>34.943712255724805</v>
      </c>
      <c r="F74" s="50">
        <f t="shared" si="9"/>
        <v>24.281997999999994</v>
      </c>
      <c r="G74" s="50">
        <f t="shared" si="9"/>
        <v>0</v>
      </c>
      <c r="H74" s="50">
        <f t="shared" si="9"/>
        <v>0</v>
      </c>
      <c r="I74" s="50">
        <f t="shared" si="9"/>
        <v>0</v>
      </c>
    </row>
    <row r="75" spans="1:9" ht="15">
      <c r="A75" s="43" t="str">
        <f>HLOOKUP(INDICE!$F$2,Nombres!$C$3:$D$636,44,FALSE)</f>
        <v>Deterioro de activos financieros no valorados a valor razonable con cambios en resultados</v>
      </c>
      <c r="B75" s="44">
        <v>-4.159386190699731</v>
      </c>
      <c r="C75" s="44">
        <v>-11.07458656705979</v>
      </c>
      <c r="D75" s="44">
        <v>-8.226833391273322</v>
      </c>
      <c r="E75" s="45">
        <v>-36.07029095462498</v>
      </c>
      <c r="F75" s="44">
        <v>-21.72</v>
      </c>
      <c r="G75" s="44">
        <v>0</v>
      </c>
      <c r="H75" s="44">
        <v>0</v>
      </c>
      <c r="I75" s="44">
        <v>0</v>
      </c>
    </row>
    <row r="76" spans="1:9" ht="15">
      <c r="A76" s="43" t="str">
        <f>HLOOKUP(INDICE!$F$2,Nombres!$C$3:$D$636,45,FALSE)</f>
        <v>Provisiones o reversión de provisiones y otros resultados</v>
      </c>
      <c r="B76" s="44">
        <v>0.13750036994048703</v>
      </c>
      <c r="C76" s="44">
        <v>0.026127617532388833</v>
      </c>
      <c r="D76" s="44">
        <v>-0.11546674671709618</v>
      </c>
      <c r="E76" s="45">
        <v>-0.6873860053395459</v>
      </c>
      <c r="F76" s="44">
        <v>-0.41200000000000003</v>
      </c>
      <c r="G76" s="44">
        <v>0</v>
      </c>
      <c r="H76" s="44">
        <v>0</v>
      </c>
      <c r="I76" s="44">
        <v>0</v>
      </c>
    </row>
    <row r="77" spans="1:9" ht="15">
      <c r="A77" s="41" t="str">
        <f>HLOOKUP(INDICE!$F$2,Nombres!$C$3:$D$636,46,FALSE)</f>
        <v>Resultado antes de impuestos</v>
      </c>
      <c r="B77" s="50">
        <f aca="true" t="shared" si="10" ref="B77:I77">+B74+B75+B76</f>
        <v>24.18328485604564</v>
      </c>
      <c r="C77" s="50">
        <f t="shared" si="10"/>
        <v>13.76161358530177</v>
      </c>
      <c r="D77" s="50">
        <f t="shared" si="10"/>
        <v>15.920312979295794</v>
      </c>
      <c r="E77" s="268">
        <f t="shared" si="10"/>
        <v>-1.8139647042397211</v>
      </c>
      <c r="F77" s="50">
        <f t="shared" si="10"/>
        <v>2.1499979999999956</v>
      </c>
      <c r="G77" s="50">
        <f t="shared" si="10"/>
        <v>0</v>
      </c>
      <c r="H77" s="50">
        <f t="shared" si="10"/>
        <v>0</v>
      </c>
      <c r="I77" s="50">
        <f t="shared" si="10"/>
        <v>0</v>
      </c>
    </row>
    <row r="78" spans="1:9" ht="15">
      <c r="A78" s="43" t="str">
        <f>HLOOKUP(INDICE!$F$2,Nombres!$C$3:$D$636,47,FALSE)</f>
        <v>Impuesto sobre beneficios</v>
      </c>
      <c r="B78" s="44">
        <v>-4.940500063095749</v>
      </c>
      <c r="C78" s="44">
        <v>-0.014667926006984688</v>
      </c>
      <c r="D78" s="44">
        <v>-1.2800388971974412</v>
      </c>
      <c r="E78" s="45">
        <v>-0.1434219337610707</v>
      </c>
      <c r="F78" s="44">
        <v>0.039700600000000086</v>
      </c>
      <c r="G78" s="44">
        <v>0</v>
      </c>
      <c r="H78" s="44">
        <v>0</v>
      </c>
      <c r="I78" s="44">
        <v>0</v>
      </c>
    </row>
    <row r="79" spans="1:9" ht="15">
      <c r="A79" s="41" t="str">
        <f>HLOOKUP(INDICE!$F$2,Nombres!$C$3:$D$636,48,FALSE)</f>
        <v>Resultado del ejercicio</v>
      </c>
      <c r="B79" s="50">
        <f aca="true" t="shared" si="11" ref="B79:I79">+B77+B78</f>
        <v>19.24278479294989</v>
      </c>
      <c r="C79" s="50">
        <f t="shared" si="11"/>
        <v>13.746945659294786</v>
      </c>
      <c r="D79" s="50">
        <f t="shared" si="11"/>
        <v>14.640274082098353</v>
      </c>
      <c r="E79" s="268">
        <f t="shared" si="11"/>
        <v>-1.9573866380007918</v>
      </c>
      <c r="F79" s="50">
        <f t="shared" si="11"/>
        <v>2.189698599999996</v>
      </c>
      <c r="G79" s="50">
        <f t="shared" si="11"/>
        <v>0</v>
      </c>
      <c r="H79" s="50">
        <f t="shared" si="11"/>
        <v>0</v>
      </c>
      <c r="I79" s="50">
        <f t="shared" si="11"/>
        <v>0</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2" ref="B81:I81">+B79+B80</f>
        <v>19.24278479294989</v>
      </c>
      <c r="C81" s="51">
        <f t="shared" si="12"/>
        <v>13.746945659294786</v>
      </c>
      <c r="D81" s="51">
        <f t="shared" si="12"/>
        <v>14.640274082098353</v>
      </c>
      <c r="E81" s="79">
        <f t="shared" si="12"/>
        <v>-1.9573866380007918</v>
      </c>
      <c r="F81" s="51">
        <f t="shared" si="12"/>
        <v>2.189698599999996</v>
      </c>
      <c r="G81" s="51">
        <f t="shared" si="12"/>
        <v>0</v>
      </c>
      <c r="H81" s="51">
        <f t="shared" si="12"/>
        <v>0</v>
      </c>
      <c r="I81" s="51">
        <f t="shared" si="12"/>
        <v>0</v>
      </c>
    </row>
    <row r="82" spans="1:9" ht="15">
      <c r="A82" s="267"/>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3" ref="B86:I86">+B$30</f>
        <v>44651</v>
      </c>
      <c r="C86" s="53">
        <f t="shared" si="13"/>
        <v>44742</v>
      </c>
      <c r="D86" s="53">
        <f t="shared" si="13"/>
        <v>44834</v>
      </c>
      <c r="E86" s="67">
        <f t="shared" si="13"/>
        <v>44926</v>
      </c>
      <c r="F86" s="53">
        <f t="shared" si="13"/>
        <v>45016</v>
      </c>
      <c r="G86" s="53">
        <f t="shared" si="13"/>
        <v>45107</v>
      </c>
      <c r="H86" s="53">
        <f t="shared" si="13"/>
        <v>45199</v>
      </c>
      <c r="I86" s="53">
        <f t="shared" si="13"/>
        <v>45291</v>
      </c>
    </row>
    <row r="87" spans="1:9" ht="15">
      <c r="A87" s="43" t="str">
        <f>HLOOKUP(INDICE!$F$2,Nombres!$C$3:$D$636,52,FALSE)</f>
        <v>Efectivo, saldos en efectivo en bancos centrales y otros depósitos a la vista</v>
      </c>
      <c r="B87" s="44">
        <v>21.45919139676188</v>
      </c>
      <c r="C87" s="44">
        <v>28.692160270931655</v>
      </c>
      <c r="D87" s="44">
        <v>41.510828522667694</v>
      </c>
      <c r="E87" s="45">
        <v>60.19125784398819</v>
      </c>
      <c r="F87" s="44">
        <v>30.622</v>
      </c>
      <c r="G87" s="44">
        <v>0</v>
      </c>
      <c r="H87" s="44">
        <v>0</v>
      </c>
      <c r="I87" s="44">
        <v>0</v>
      </c>
    </row>
    <row r="88" spans="1:9" ht="15">
      <c r="A88" s="43" t="str">
        <f>HLOOKUP(INDICE!$F$2,Nombres!$C$3:$D$636,53,FALSE)</f>
        <v>Activos financieros a valor razonable</v>
      </c>
      <c r="B88" s="58">
        <v>0</v>
      </c>
      <c r="C88" s="58">
        <v>0</v>
      </c>
      <c r="D88" s="58">
        <v>0</v>
      </c>
      <c r="E88" s="64">
        <v>0</v>
      </c>
      <c r="F88" s="44">
        <v>0</v>
      </c>
      <c r="G88" s="44">
        <v>0</v>
      </c>
      <c r="H88" s="44">
        <v>0</v>
      </c>
      <c r="I88" s="44">
        <v>0</v>
      </c>
    </row>
    <row r="89" spans="1:9" ht="15">
      <c r="A89" s="43" t="str">
        <f>HLOOKUP(INDICE!$F$2,Nombres!$C$3:$D$636,54,FALSE)</f>
        <v>Activos financieros a coste amortizado</v>
      </c>
      <c r="B89" s="44">
        <v>1787.4335747064968</v>
      </c>
      <c r="C89" s="44">
        <v>1828.0659874085507</v>
      </c>
      <c r="D89" s="44">
        <v>2032.066951124048</v>
      </c>
      <c r="E89" s="45">
        <v>2149.2889594495705</v>
      </c>
      <c r="F89" s="44">
        <v>2210.672</v>
      </c>
      <c r="G89" s="44">
        <v>0</v>
      </c>
      <c r="H89" s="44">
        <v>0</v>
      </c>
      <c r="I89" s="44">
        <v>0</v>
      </c>
    </row>
    <row r="90" spans="1:9" ht="15">
      <c r="A90" s="43" t="str">
        <f>HLOOKUP(INDICE!$F$2,Nombres!$C$3:$D$636,55,FALSE)</f>
        <v>    de los que préstamos y anticipos a la clientela</v>
      </c>
      <c r="B90" s="44">
        <v>1669.1413091141567</v>
      </c>
      <c r="C90" s="44">
        <v>1799.2792033453077</v>
      </c>
      <c r="D90" s="44">
        <v>1985.4100523952534</v>
      </c>
      <c r="E90" s="45">
        <v>2114.5950683041992</v>
      </c>
      <c r="F90" s="44">
        <v>2173.498</v>
      </c>
      <c r="G90" s="44">
        <v>0</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7.751980193849227</v>
      </c>
      <c r="C92" s="44">
        <v>7.2849187868773475</v>
      </c>
      <c r="D92" s="44">
        <v>6.828882334926173</v>
      </c>
      <c r="E92" s="45">
        <v>4.474908539298258</v>
      </c>
      <c r="F92" s="44">
        <v>4.164000000000001</v>
      </c>
      <c r="G92" s="44">
        <v>0</v>
      </c>
      <c r="H92" s="44">
        <v>0</v>
      </c>
      <c r="I92" s="44">
        <v>0</v>
      </c>
    </row>
    <row r="93" spans="1:9" ht="15">
      <c r="A93" s="43" t="str">
        <f>HLOOKUP(INDICE!$F$2,Nombres!$C$3:$D$636,57,FALSE)</f>
        <v>Otros activos</v>
      </c>
      <c r="B93" s="58">
        <f>+B94-B92-B89-B88-B87</f>
        <v>237.6818115107634</v>
      </c>
      <c r="C93" s="58">
        <f aca="true" t="shared" si="14" ref="C93:I93">+C94-C92-C89-C88-C87</f>
        <v>305.0835631586636</v>
      </c>
      <c r="D93" s="58">
        <f t="shared" si="14"/>
        <v>338.16625992827016</v>
      </c>
      <c r="E93" s="64">
        <f t="shared" si="14"/>
        <v>329.3887485256033</v>
      </c>
      <c r="F93" s="44">
        <f t="shared" si="14"/>
        <v>332.37399799999986</v>
      </c>
      <c r="G93" s="44">
        <f t="shared" si="14"/>
        <v>0</v>
      </c>
      <c r="H93" s="44">
        <f t="shared" si="14"/>
        <v>0</v>
      </c>
      <c r="I93" s="44">
        <f t="shared" si="14"/>
        <v>0</v>
      </c>
    </row>
    <row r="94" spans="1:9" ht="15">
      <c r="A94" s="47" t="str">
        <f>HLOOKUP(INDICE!$F$2,Nombres!$C$3:$D$636,58,FALSE)</f>
        <v>Total activo / pasivo</v>
      </c>
      <c r="B94" s="47">
        <v>2054.3265578078713</v>
      </c>
      <c r="C94" s="47">
        <v>2169.1266296250233</v>
      </c>
      <c r="D94" s="47">
        <v>2418.572921909912</v>
      </c>
      <c r="E94" s="47">
        <v>2543.34387435846</v>
      </c>
      <c r="F94" s="51">
        <v>2577.831998</v>
      </c>
      <c r="G94" s="51">
        <v>0</v>
      </c>
      <c r="H94" s="51">
        <v>0</v>
      </c>
      <c r="I94" s="51">
        <v>0</v>
      </c>
    </row>
    <row r="95" spans="1:9" ht="15">
      <c r="A95" s="43" t="str">
        <f>HLOOKUP(INDICE!$F$2,Nombres!$C$3:$D$636,59,FALSE)</f>
        <v>Pasivos financieros mantenidos para negociar y designados a valor razonable con cambios en resultados</v>
      </c>
      <c r="B95" s="58">
        <v>0</v>
      </c>
      <c r="C95" s="58">
        <v>0</v>
      </c>
      <c r="D95" s="58">
        <v>0</v>
      </c>
      <c r="E95" s="64">
        <v>0</v>
      </c>
      <c r="F95" s="44">
        <v>0</v>
      </c>
      <c r="G95" s="44">
        <v>0</v>
      </c>
      <c r="H95" s="44">
        <v>0</v>
      </c>
      <c r="I95" s="44">
        <v>0</v>
      </c>
    </row>
    <row r="96" spans="1:9" ht="15">
      <c r="A96" s="43" t="str">
        <f>HLOOKUP(INDICE!$F$2,Nombres!$C$3:$D$636,60,FALSE)</f>
        <v>Depósitos de bancos centrales y entidades de crédito</v>
      </c>
      <c r="B96" s="58">
        <v>660.1093626789971</v>
      </c>
      <c r="C96" s="58">
        <v>607.4791805325542</v>
      </c>
      <c r="D96" s="58">
        <v>904.2877293507918</v>
      </c>
      <c r="E96" s="64">
        <v>1074.9755588768573</v>
      </c>
      <c r="F96" s="44">
        <v>1025.394</v>
      </c>
      <c r="G96" s="44">
        <v>0</v>
      </c>
      <c r="H96" s="44">
        <v>0</v>
      </c>
      <c r="I96" s="44">
        <v>0</v>
      </c>
    </row>
    <row r="97" spans="1:9" ht="15">
      <c r="A97" s="43" t="str">
        <f>HLOOKUP(INDICE!$F$2,Nombres!$C$3:$D$636,61,FALSE)</f>
        <v>Depósitos de la clientela</v>
      </c>
      <c r="B97" s="58">
        <v>15.757439451161154</v>
      </c>
      <c r="C97" s="58">
        <v>12.099599983889041</v>
      </c>
      <c r="D97" s="58">
        <v>9.750217862301017</v>
      </c>
      <c r="E97" s="64">
        <v>7.125677750405244</v>
      </c>
      <c r="F97" s="44">
        <v>8.370000000000001</v>
      </c>
      <c r="G97" s="44">
        <v>0</v>
      </c>
      <c r="H97" s="44">
        <v>0</v>
      </c>
      <c r="I97" s="44">
        <v>0</v>
      </c>
    </row>
    <row r="98" spans="1:9" ht="15">
      <c r="A98" s="43" t="str">
        <f>HLOOKUP(INDICE!$F$2,Nombres!$C$3:$D$636,62,FALSE)</f>
        <v>Valores representativos de deuda emitidos</v>
      </c>
      <c r="B98" s="44">
        <v>830.2944468758467</v>
      </c>
      <c r="C98" s="44">
        <v>974.5432346027823</v>
      </c>
      <c r="D98" s="44">
        <v>898.0064827897858</v>
      </c>
      <c r="E98" s="45">
        <v>832.6809674502654</v>
      </c>
      <c r="F98" s="44">
        <v>906.0023487999999</v>
      </c>
      <c r="G98" s="44">
        <v>0</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301.47413316459887</v>
      </c>
      <c r="C100" s="58">
        <f aca="true" t="shared" si="15" ref="C100:I100">+C94-C95-C96-C97-C98-C101</f>
        <v>284.53384033005057</v>
      </c>
      <c r="D100" s="58">
        <f t="shared" si="15"/>
        <v>284.2089755298336</v>
      </c>
      <c r="E100" s="64">
        <f t="shared" si="15"/>
        <v>333.83464952227314</v>
      </c>
      <c r="F100" s="44">
        <f t="shared" si="15"/>
        <v>336.75419528000026</v>
      </c>
      <c r="G100" s="44">
        <f t="shared" si="15"/>
        <v>0</v>
      </c>
      <c r="H100" s="44">
        <f t="shared" si="15"/>
        <v>0</v>
      </c>
      <c r="I100" s="44">
        <f t="shared" si="15"/>
        <v>0</v>
      </c>
    </row>
    <row r="101" spans="1:9" ht="15">
      <c r="A101" s="43" t="str">
        <f>HLOOKUP(INDICE!$F$2,Nombres!$C$3:$D$636,282,FALSE)</f>
        <v>Dotación de capital regulatorio</v>
      </c>
      <c r="B101" s="58">
        <v>246.69117563726746</v>
      </c>
      <c r="C101" s="58">
        <v>290.47077417574724</v>
      </c>
      <c r="D101" s="58">
        <v>322.31951637719993</v>
      </c>
      <c r="E101" s="64">
        <v>294.72702075865914</v>
      </c>
      <c r="F101" s="44">
        <v>301.31145392</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6" ref="B106:I106">+B$30</f>
        <v>44651</v>
      </c>
      <c r="C106" s="53">
        <f t="shared" si="16"/>
        <v>44742</v>
      </c>
      <c r="D106" s="53">
        <f t="shared" si="16"/>
        <v>44834</v>
      </c>
      <c r="E106" s="67">
        <f t="shared" si="16"/>
        <v>44926</v>
      </c>
      <c r="F106" s="53">
        <f t="shared" si="16"/>
        <v>45016</v>
      </c>
      <c r="G106" s="53">
        <f t="shared" si="16"/>
        <v>45107</v>
      </c>
      <c r="H106" s="53">
        <f t="shared" si="16"/>
        <v>45199</v>
      </c>
      <c r="I106" s="53">
        <f t="shared" si="16"/>
        <v>45291</v>
      </c>
    </row>
    <row r="107" spans="1:9" ht="15">
      <c r="A107" s="43" t="str">
        <f>HLOOKUP(INDICE!$F$2,Nombres!$C$3:$D$636,66,FALSE)</f>
        <v>Préstamos y anticipos a la clientela bruto (*)</v>
      </c>
      <c r="B107" s="44">
        <v>1731.2172119691445</v>
      </c>
      <c r="C107" s="44">
        <v>1870.232575704599</v>
      </c>
      <c r="D107" s="44">
        <v>2060.7405778662646</v>
      </c>
      <c r="E107" s="45">
        <v>2220.043778239191</v>
      </c>
      <c r="F107" s="44">
        <v>2290.9970000000003</v>
      </c>
      <c r="G107" s="44">
        <v>0</v>
      </c>
      <c r="H107" s="44">
        <v>0</v>
      </c>
      <c r="I107" s="44">
        <v>0</v>
      </c>
    </row>
    <row r="108" spans="1:9" ht="15">
      <c r="A108" s="43" t="str">
        <f>HLOOKUP(INDICE!$F$2,Nombres!$C$3:$D$636,67,FALSE)</f>
        <v>Depósitos de clientes en gestión (**)</v>
      </c>
      <c r="B108" s="44">
        <v>15.757439451161154</v>
      </c>
      <c r="C108" s="44">
        <v>12.099599983889041</v>
      </c>
      <c r="D108" s="44">
        <v>9.750217862301017</v>
      </c>
      <c r="E108" s="45">
        <v>7.125677750405243</v>
      </c>
      <c r="F108" s="44">
        <v>8.370000000000001</v>
      </c>
      <c r="G108" s="44">
        <v>0</v>
      </c>
      <c r="H108" s="44">
        <v>0</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8">
        <f>+B$6</f>
        <v>2022</v>
      </c>
      <c r="C118" s="298"/>
      <c r="D118" s="298"/>
      <c r="E118" s="299"/>
      <c r="F118" s="298">
        <f>+F$6</f>
        <v>2023</v>
      </c>
      <c r="G118" s="298"/>
      <c r="H118" s="298"/>
      <c r="I118" s="298"/>
    </row>
    <row r="119" spans="1:9" ht="15.75">
      <c r="A119" s="38"/>
      <c r="B119" s="39" t="str">
        <f>+B$7</f>
        <v>1er Trim.</v>
      </c>
      <c r="C119" s="39" t="str">
        <f aca="true" t="shared" si="17" ref="C119:I119">+C$7</f>
        <v>2º Trim.</v>
      </c>
      <c r="D119" s="39" t="str">
        <f t="shared" si="17"/>
        <v>3er Trim.</v>
      </c>
      <c r="E119" s="40" t="str">
        <f t="shared" si="17"/>
        <v>4º Trim.</v>
      </c>
      <c r="F119" s="39" t="str">
        <f t="shared" si="17"/>
        <v>1er Trim.</v>
      </c>
      <c r="G119" s="39" t="str">
        <f t="shared" si="17"/>
        <v>2º Trim.</v>
      </c>
      <c r="H119" s="39" t="str">
        <f t="shared" si="17"/>
        <v>3er Trim.</v>
      </c>
      <c r="I119" s="39" t="str">
        <f t="shared" si="17"/>
        <v>4º Trim.</v>
      </c>
    </row>
    <row r="120" spans="1:9" ht="15">
      <c r="A120" s="41" t="str">
        <f>HLOOKUP(INDICE!$F$2,Nombres!$C$3:$D$636,33,FALSE)</f>
        <v>Margen de intereses</v>
      </c>
      <c r="B120" s="50">
        <v>30574.584234627124</v>
      </c>
      <c r="C120" s="50">
        <v>30038.977983858385</v>
      </c>
      <c r="D120" s="50">
        <v>30342.761180359048</v>
      </c>
      <c r="E120" s="268">
        <v>26891.12232877582</v>
      </c>
      <c r="F120" s="50">
        <v>25583.45644002873</v>
      </c>
      <c r="G120" s="50">
        <v>0</v>
      </c>
      <c r="H120" s="50">
        <v>0</v>
      </c>
      <c r="I120" s="50">
        <v>0</v>
      </c>
    </row>
    <row r="121" spans="1:9" ht="15">
      <c r="A121" s="43" t="str">
        <f>HLOOKUP(INDICE!$F$2,Nombres!$C$3:$D$636,34,FALSE)</f>
        <v>Comisiones netas</v>
      </c>
      <c r="B121" s="44">
        <v>4538.712700348422</v>
      </c>
      <c r="C121" s="44">
        <v>2853.4272575399523</v>
      </c>
      <c r="D121" s="44">
        <v>3652.13936987126</v>
      </c>
      <c r="E121" s="45">
        <v>23933.60828765149</v>
      </c>
      <c r="F121" s="44">
        <v>8020.646265890879</v>
      </c>
      <c r="G121" s="44">
        <v>0</v>
      </c>
      <c r="H121" s="44">
        <v>0</v>
      </c>
      <c r="I121" s="44">
        <v>0</v>
      </c>
    </row>
    <row r="122" spans="1:9" ht="15">
      <c r="A122" s="43" t="str">
        <f>HLOOKUP(INDICE!$F$2,Nombres!$C$3:$D$636,35,FALSE)</f>
        <v>Resultados de operaciones financieras</v>
      </c>
      <c r="B122" s="44">
        <v>1290.8098919790918</v>
      </c>
      <c r="C122" s="44">
        <v>1419.3105198801186</v>
      </c>
      <c r="D122" s="44">
        <v>1372.7503020378872</v>
      </c>
      <c r="E122" s="45">
        <v>1154.4060700764385</v>
      </c>
      <c r="F122" s="44">
        <v>1626.0893016245523</v>
      </c>
      <c r="G122" s="44">
        <v>0</v>
      </c>
      <c r="H122" s="44">
        <v>0</v>
      </c>
      <c r="I122" s="44">
        <v>0</v>
      </c>
    </row>
    <row r="123" spans="1:9" ht="15">
      <c r="A123" s="43" t="str">
        <f>HLOOKUP(INDICE!$F$2,Nombres!$C$3:$D$636,36,FALSE)</f>
        <v>Otros ingresos y cargas de explotación</v>
      </c>
      <c r="B123" s="44">
        <v>-106.20587718815311</v>
      </c>
      <c r="C123" s="44">
        <v>-185.29225568914458</v>
      </c>
      <c r="D123" s="44">
        <v>-203.92059285367972</v>
      </c>
      <c r="E123" s="45">
        <v>-406.67398123344975</v>
      </c>
      <c r="F123" s="44">
        <v>-318.0721302748991</v>
      </c>
      <c r="G123" s="44">
        <v>0</v>
      </c>
      <c r="H123" s="44">
        <v>0</v>
      </c>
      <c r="I123" s="44">
        <v>0</v>
      </c>
    </row>
    <row r="124" spans="1:9" ht="15">
      <c r="A124" s="41" t="str">
        <f>HLOOKUP(INDICE!$F$2,Nombres!$C$3:$D$636,37,FALSE)</f>
        <v>Margen bruto</v>
      </c>
      <c r="B124" s="50">
        <f>+SUM(B120:B123)</f>
        <v>36297.90094976648</v>
      </c>
      <c r="C124" s="50">
        <f>+SUM(C120:C123)</f>
        <v>34126.423505589315</v>
      </c>
      <c r="D124" s="50">
        <f>+SUM(D120:D123)</f>
        <v>35163.73025941451</v>
      </c>
      <c r="E124" s="268">
        <f>+SUM(E120:E123)</f>
        <v>51572.46270527029</v>
      </c>
      <c r="F124" s="50">
        <f>+SUM(F120:F123)</f>
        <v>34912.11987726926</v>
      </c>
      <c r="G124" s="50">
        <f>+SUM(G120:G123)</f>
        <v>0</v>
      </c>
      <c r="H124" s="50">
        <f>+SUM(H120:H123)</f>
        <v>0</v>
      </c>
      <c r="I124" s="50">
        <f>+SUM(I120:I123)</f>
        <v>0</v>
      </c>
    </row>
    <row r="125" spans="1:9" ht="15">
      <c r="A125" s="43" t="str">
        <f>HLOOKUP(INDICE!$F$2,Nombres!$C$3:$D$636,38,FALSE)</f>
        <v>Gastos de explotación</v>
      </c>
      <c r="B125" s="44">
        <v>-11719.055136236497</v>
      </c>
      <c r="C125" s="44">
        <v>-12506.169742773212</v>
      </c>
      <c r="D125" s="44">
        <v>-14020.549327220167</v>
      </c>
      <c r="E125" s="45">
        <v>-21121.446275430615</v>
      </c>
      <c r="F125" s="44">
        <v>-13752.046367157378</v>
      </c>
      <c r="G125" s="44">
        <v>0</v>
      </c>
      <c r="H125" s="44">
        <v>0</v>
      </c>
      <c r="I125" s="44">
        <v>0</v>
      </c>
    </row>
    <row r="126" spans="1:9" ht="15">
      <c r="A126" s="43" t="str">
        <f>HLOOKUP(INDICE!$F$2,Nombres!$C$3:$D$636,39,FALSE)</f>
        <v>  Gastos de administración</v>
      </c>
      <c r="B126" s="44">
        <v>-10516.296270644165</v>
      </c>
      <c r="C126" s="44">
        <v>-11323.697756369576</v>
      </c>
      <c r="D126" s="44">
        <v>-12844.787018022756</v>
      </c>
      <c r="E126" s="45">
        <v>-20274.75757339903</v>
      </c>
      <c r="F126" s="44">
        <v>-12603.500976192125</v>
      </c>
      <c r="G126" s="44">
        <v>0</v>
      </c>
      <c r="H126" s="44">
        <v>0</v>
      </c>
      <c r="I126" s="44">
        <v>0</v>
      </c>
    </row>
    <row r="127" spans="1:9" ht="15">
      <c r="A127" s="46" t="str">
        <f>HLOOKUP(INDICE!$F$2,Nombres!$C$3:$D$636,40,FALSE)</f>
        <v>  Gastos de personal</v>
      </c>
      <c r="B127" s="44">
        <v>-5334.802907989537</v>
      </c>
      <c r="C127" s="44">
        <v>-5356.771024509985</v>
      </c>
      <c r="D127" s="44">
        <v>-6166.348342512024</v>
      </c>
      <c r="E127" s="45">
        <v>-5935.748788653194</v>
      </c>
      <c r="F127" s="44">
        <v>-5963.19886978393</v>
      </c>
      <c r="G127" s="44">
        <v>0</v>
      </c>
      <c r="H127" s="44">
        <v>0</v>
      </c>
      <c r="I127" s="44">
        <v>0</v>
      </c>
    </row>
    <row r="128" spans="1:9" ht="15">
      <c r="A128" s="46" t="str">
        <f>HLOOKUP(INDICE!$F$2,Nombres!$C$3:$D$636,41,FALSE)</f>
        <v>  Otros gastos de administración</v>
      </c>
      <c r="B128" s="44">
        <v>-5181.493362654628</v>
      </c>
      <c r="C128" s="44">
        <v>-5966.92673185959</v>
      </c>
      <c r="D128" s="44">
        <v>-6678.438675510733</v>
      </c>
      <c r="E128" s="45">
        <v>-14339.008784745834</v>
      </c>
      <c r="F128" s="44">
        <v>-6640.302106408195</v>
      </c>
      <c r="G128" s="44">
        <v>0</v>
      </c>
      <c r="H128" s="44">
        <v>0</v>
      </c>
      <c r="I128" s="44">
        <v>0</v>
      </c>
    </row>
    <row r="129" spans="1:9" ht="15">
      <c r="A129" s="43" t="str">
        <f>HLOOKUP(INDICE!$F$2,Nombres!$C$3:$D$636,42,FALSE)</f>
        <v>  Amortización</v>
      </c>
      <c r="B129" s="44">
        <v>-1202.7588655923323</v>
      </c>
      <c r="C129" s="44">
        <v>-1182.471986403636</v>
      </c>
      <c r="D129" s="44">
        <v>-1175.7623091974106</v>
      </c>
      <c r="E129" s="45">
        <v>-846.6887020315886</v>
      </c>
      <c r="F129" s="44">
        <v>-1148.545390965252</v>
      </c>
      <c r="G129" s="44">
        <v>0</v>
      </c>
      <c r="H129" s="44">
        <v>0</v>
      </c>
      <c r="I129" s="44">
        <v>0</v>
      </c>
    </row>
    <row r="130" spans="1:9" ht="15">
      <c r="A130" s="41" t="str">
        <f>HLOOKUP(INDICE!$F$2,Nombres!$C$3:$D$636,43,FALSE)</f>
        <v>Margen neto</v>
      </c>
      <c r="B130" s="50">
        <f aca="true" t="shared" si="18" ref="B130:I130">+B124+B125</f>
        <v>24578.845813529984</v>
      </c>
      <c r="C130" s="50">
        <f t="shared" si="18"/>
        <v>21620.2537628161</v>
      </c>
      <c r="D130" s="50">
        <f t="shared" si="18"/>
        <v>21143.18093219434</v>
      </c>
      <c r="E130" s="268">
        <f t="shared" si="18"/>
        <v>30451.016429839678</v>
      </c>
      <c r="F130" s="50">
        <f t="shared" si="18"/>
        <v>21160.07351011188</v>
      </c>
      <c r="G130" s="50">
        <f t="shared" si="18"/>
        <v>0</v>
      </c>
      <c r="H130" s="50">
        <f t="shared" si="18"/>
        <v>0</v>
      </c>
      <c r="I130" s="50">
        <f t="shared" si="18"/>
        <v>0</v>
      </c>
    </row>
    <row r="131" spans="1:9" ht="15">
      <c r="A131" s="43" t="str">
        <f>HLOOKUP(INDICE!$F$2,Nombres!$C$3:$D$636,44,FALSE)</f>
        <v>Deterioro de activos financieros no valorados a valor razonable con cambios en resultados</v>
      </c>
      <c r="B131" s="44">
        <v>-3624.61596249825</v>
      </c>
      <c r="C131" s="44">
        <v>-9650.732441913668</v>
      </c>
      <c r="D131" s="44">
        <v>-7169.1134854218635</v>
      </c>
      <c r="E131" s="45">
        <v>-31432.751461843804</v>
      </c>
      <c r="F131" s="44">
        <v>-18927.470327591254</v>
      </c>
      <c r="G131" s="44">
        <v>0</v>
      </c>
      <c r="H131" s="44">
        <v>0</v>
      </c>
      <c r="I131" s="44">
        <v>0</v>
      </c>
    </row>
    <row r="132" spans="1:9" ht="15">
      <c r="A132" s="43" t="str">
        <f>HLOOKUP(INDICE!$F$2,Nombres!$C$3:$D$636,45,FALSE)</f>
        <v>Provisiones o reversión de provisiones y otros resultados</v>
      </c>
      <c r="B132" s="44">
        <v>119.82201528919839</v>
      </c>
      <c r="C132" s="44">
        <v>22.76840265078002</v>
      </c>
      <c r="D132" s="44">
        <v>-100.62124412114791</v>
      </c>
      <c r="E132" s="45">
        <v>-599.0091261356232</v>
      </c>
      <c r="F132" s="44">
        <v>-359.0293634883792</v>
      </c>
      <c r="G132" s="44">
        <v>0</v>
      </c>
      <c r="H132" s="44">
        <v>0</v>
      </c>
      <c r="I132" s="44">
        <v>0</v>
      </c>
    </row>
    <row r="133" spans="1:9" ht="15">
      <c r="A133" s="41" t="str">
        <f>HLOOKUP(INDICE!$F$2,Nombres!$C$3:$D$636,46,FALSE)</f>
        <v>Resultado antes de impuestos</v>
      </c>
      <c r="B133" s="50">
        <f aca="true" t="shared" si="19" ref="B133:I133">+B130+B131+B132</f>
        <v>21074.051866320933</v>
      </c>
      <c r="C133" s="50">
        <f t="shared" si="19"/>
        <v>11992.289723553213</v>
      </c>
      <c r="D133" s="50">
        <f t="shared" si="19"/>
        <v>13873.446202651328</v>
      </c>
      <c r="E133" s="268">
        <f t="shared" si="19"/>
        <v>-1580.7441581397493</v>
      </c>
      <c r="F133" s="50">
        <f t="shared" si="19"/>
        <v>1873.5738190322472</v>
      </c>
      <c r="G133" s="50">
        <f t="shared" si="19"/>
        <v>0</v>
      </c>
      <c r="H133" s="50">
        <f t="shared" si="19"/>
        <v>0</v>
      </c>
      <c r="I133" s="50">
        <f t="shared" si="19"/>
        <v>0</v>
      </c>
    </row>
    <row r="134" spans="1:9" ht="15">
      <c r="A134" s="43" t="str">
        <f>HLOOKUP(INDICE!$F$2,Nombres!$C$3:$D$636,47,FALSE)</f>
        <v>Impuesto sobre beneficios</v>
      </c>
      <c r="B134" s="44">
        <v>-4305.302410115448</v>
      </c>
      <c r="C134" s="44">
        <v>-12.782078004810785</v>
      </c>
      <c r="D134" s="44">
        <v>-1115.4649284008854</v>
      </c>
      <c r="E134" s="45">
        <v>-124.98224657405171</v>
      </c>
      <c r="F134" s="44">
        <v>34.5963134662785</v>
      </c>
      <c r="G134" s="44">
        <v>0</v>
      </c>
      <c r="H134" s="44">
        <v>0</v>
      </c>
      <c r="I134" s="44">
        <v>0</v>
      </c>
    </row>
    <row r="135" spans="1:9" ht="15">
      <c r="A135" s="41" t="str">
        <f>HLOOKUP(INDICE!$F$2,Nombres!$C$3:$D$636,48,FALSE)</f>
        <v>Resultado del ejercicio</v>
      </c>
      <c r="B135" s="50">
        <f aca="true" t="shared" si="20" ref="B135:I135">+B133+B134</f>
        <v>16768.749456205485</v>
      </c>
      <c r="C135" s="50">
        <f t="shared" si="20"/>
        <v>11979.507645548401</v>
      </c>
      <c r="D135" s="50">
        <f t="shared" si="20"/>
        <v>12757.981274250444</v>
      </c>
      <c r="E135" s="268">
        <f t="shared" si="20"/>
        <v>-1705.726404713801</v>
      </c>
      <c r="F135" s="50">
        <f t="shared" si="20"/>
        <v>1908.1701324985256</v>
      </c>
      <c r="G135" s="50">
        <f t="shared" si="20"/>
        <v>0</v>
      </c>
      <c r="H135" s="50">
        <f t="shared" si="20"/>
        <v>0</v>
      </c>
      <c r="I135" s="50">
        <f t="shared" si="20"/>
        <v>0</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1" ref="B137:I137">+B135+B136</f>
        <v>16768.749456205485</v>
      </c>
      <c r="C137" s="51">
        <f t="shared" si="21"/>
        <v>11979.507645548401</v>
      </c>
      <c r="D137" s="51">
        <f t="shared" si="21"/>
        <v>12757.981274250444</v>
      </c>
      <c r="E137" s="79">
        <f t="shared" si="21"/>
        <v>-1705.726404713801</v>
      </c>
      <c r="F137" s="51">
        <f t="shared" si="21"/>
        <v>1908.1701324985256</v>
      </c>
      <c r="G137" s="51">
        <f t="shared" si="21"/>
        <v>0</v>
      </c>
      <c r="H137" s="51">
        <f t="shared" si="21"/>
        <v>0</v>
      </c>
      <c r="I137" s="51">
        <f t="shared" si="21"/>
        <v>0</v>
      </c>
    </row>
    <row r="138" spans="1:9" ht="15">
      <c r="A138" s="267"/>
      <c r="B138" s="63">
        <v>0</v>
      </c>
      <c r="C138" s="63">
        <v>0</v>
      </c>
      <c r="D138" s="63">
        <v>0</v>
      </c>
      <c r="E138" s="63">
        <v>-3.183231456205249E-12</v>
      </c>
      <c r="F138" s="63">
        <v>-1.0459189070388675E-11</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HLOOKUP(INDICE!$F$2,Nombres!$C$3:$D$636,81,FALSE)</f>
        <v>(Millones de pesos chilenos)</v>
      </c>
      <c r="B141" s="30"/>
      <c r="C141" s="52"/>
      <c r="D141" s="52"/>
      <c r="E141" s="52"/>
      <c r="F141" s="69"/>
      <c r="G141" s="44"/>
      <c r="H141" s="44"/>
      <c r="I141" s="44"/>
    </row>
    <row r="142" spans="1:9" ht="15.75">
      <c r="A142" s="30"/>
      <c r="B142" s="53">
        <f aca="true" t="shared" si="22" ref="B142:I142">+B$30</f>
        <v>44651</v>
      </c>
      <c r="C142" s="53">
        <f t="shared" si="22"/>
        <v>44742</v>
      </c>
      <c r="D142" s="53">
        <f t="shared" si="22"/>
        <v>44834</v>
      </c>
      <c r="E142" s="67">
        <f t="shared" si="22"/>
        <v>44926</v>
      </c>
      <c r="F142" s="53">
        <f t="shared" si="22"/>
        <v>45016</v>
      </c>
      <c r="G142" s="53">
        <f t="shared" si="22"/>
        <v>45107</v>
      </c>
      <c r="H142" s="53">
        <f t="shared" si="22"/>
        <v>45199</v>
      </c>
      <c r="I142" s="53">
        <f t="shared" si="22"/>
        <v>45291</v>
      </c>
    </row>
    <row r="143" spans="1:9" ht="15">
      <c r="A143" s="43" t="str">
        <f>HLOOKUP(INDICE!$F$2,Nombres!$C$3:$D$636,52,FALSE)</f>
        <v>Efectivo, saldos en efectivo en bancos centrales y otros depósitos a la vista</v>
      </c>
      <c r="B143" s="44">
        <v>18420.258739675042</v>
      </c>
      <c r="C143" s="44">
        <v>24628.934344214726</v>
      </c>
      <c r="D143" s="44">
        <v>35632.293302589365</v>
      </c>
      <c r="E143" s="45">
        <v>51667.30296837103</v>
      </c>
      <c r="F143" s="44">
        <v>26285.480785238004</v>
      </c>
      <c r="G143" s="44">
        <v>0</v>
      </c>
      <c r="H143" s="44">
        <v>0</v>
      </c>
      <c r="I143" s="44">
        <v>0</v>
      </c>
    </row>
    <row r="144" spans="1:9" ht="15">
      <c r="A144" s="43" t="str">
        <f>HLOOKUP(INDICE!$F$2,Nombres!$C$3:$D$636,53,FALSE)</f>
        <v>Activos financieros a valor razonable</v>
      </c>
      <c r="B144" s="58">
        <v>0</v>
      </c>
      <c r="C144" s="58">
        <v>0</v>
      </c>
      <c r="D144" s="58">
        <v>0</v>
      </c>
      <c r="E144" s="64">
        <v>0</v>
      </c>
      <c r="F144" s="44">
        <v>0</v>
      </c>
      <c r="G144" s="44">
        <v>0</v>
      </c>
      <c r="H144" s="44">
        <v>0</v>
      </c>
      <c r="I144" s="44">
        <v>0</v>
      </c>
    </row>
    <row r="145" spans="1:9" ht="15">
      <c r="A145" s="43" t="str">
        <f>HLOOKUP(INDICE!$F$2,Nombres!$C$3:$D$636,54,FALSE)</f>
        <v>Activos financieros a coste amortizado</v>
      </c>
      <c r="B145" s="44">
        <v>1534307.0629885998</v>
      </c>
      <c r="C145" s="44">
        <v>1569185.3368876826</v>
      </c>
      <c r="D145" s="44">
        <v>1744296.8061553242</v>
      </c>
      <c r="E145" s="45">
        <v>1844918.4783990555</v>
      </c>
      <c r="F145" s="44">
        <v>1897608.7903619516</v>
      </c>
      <c r="G145" s="44">
        <v>0</v>
      </c>
      <c r="H145" s="44">
        <v>0</v>
      </c>
      <c r="I145" s="44">
        <v>0</v>
      </c>
    </row>
    <row r="146" spans="1:9" ht="15">
      <c r="A146" s="43" t="str">
        <f>HLOOKUP(INDICE!$F$2,Nombres!$C$3:$D$636,55,FALSE)</f>
        <v>    de los que préstamos y anticipos a la clientela</v>
      </c>
      <c r="B146" s="44">
        <v>1432766.697425615</v>
      </c>
      <c r="C146" s="44">
        <v>1544475.1788521793</v>
      </c>
      <c r="D146" s="44">
        <v>1704247.2008051013</v>
      </c>
      <c r="E146" s="45">
        <v>1815137.7452964894</v>
      </c>
      <c r="F146" s="44">
        <v>1865699.1677798068</v>
      </c>
      <c r="G146" s="44">
        <v>0</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6654.18739576022</v>
      </c>
      <c r="C148" s="44">
        <v>6253.26865634132</v>
      </c>
      <c r="D148" s="44">
        <v>5861.813578451871</v>
      </c>
      <c r="E148" s="45">
        <v>3841.19660457912</v>
      </c>
      <c r="F148" s="44">
        <v>3574.317222576287</v>
      </c>
      <c r="G148" s="44">
        <v>0</v>
      </c>
      <c r="H148" s="44">
        <v>0</v>
      </c>
      <c r="I148" s="44">
        <v>0</v>
      </c>
    </row>
    <row r="149" spans="1:9" ht="15">
      <c r="A149" s="43" t="str">
        <f>HLOOKUP(INDICE!$F$2,Nombres!$C$3:$D$636,57,FALSE)</f>
        <v>Otros activos</v>
      </c>
      <c r="B149" s="58">
        <f>+B150-B148-B145-B144-B143</f>
        <v>204022.6206474671</v>
      </c>
      <c r="C149" s="58">
        <f aca="true" t="shared" si="23" ref="C149:I149">+C150-C148-C145-C144-C143</f>
        <v>261879.3069459534</v>
      </c>
      <c r="D149" s="58">
        <f t="shared" si="23"/>
        <v>290277.0141584593</v>
      </c>
      <c r="E149" s="64">
        <f t="shared" si="23"/>
        <v>282742.52564311045</v>
      </c>
      <c r="F149" s="44">
        <f t="shared" si="23"/>
        <v>285305.0205062289</v>
      </c>
      <c r="G149" s="44">
        <f t="shared" si="23"/>
        <v>0</v>
      </c>
      <c r="H149" s="44">
        <f t="shared" si="23"/>
        <v>0</v>
      </c>
      <c r="I149" s="44">
        <f t="shared" si="23"/>
        <v>0</v>
      </c>
    </row>
    <row r="150" spans="1:9" ht="15">
      <c r="A150" s="47" t="str">
        <f>HLOOKUP(INDICE!$F$2,Nombres!$C$3:$D$636,58,FALSE)</f>
        <v>Total activo / pasivo</v>
      </c>
      <c r="B150" s="47">
        <v>1763404.1297715022</v>
      </c>
      <c r="C150" s="47">
        <v>1861946.846834192</v>
      </c>
      <c r="D150" s="47">
        <v>2076067.927194825</v>
      </c>
      <c r="E150" s="47">
        <v>2183169.5036151162</v>
      </c>
      <c r="F150" s="51">
        <v>2212773.6088759946</v>
      </c>
      <c r="G150" s="51">
        <v>0</v>
      </c>
      <c r="H150" s="51">
        <v>0</v>
      </c>
      <c r="I150" s="51">
        <v>0</v>
      </c>
    </row>
    <row r="151" spans="1:9" ht="15">
      <c r="A151" s="43" t="str">
        <f>HLOOKUP(INDICE!$F$2,Nombres!$C$3:$D$636,59,FALSE)</f>
        <v>Pasivos financieros mantenidos para negociar y designados a valor razonable con cambios en resultados</v>
      </c>
      <c r="B151" s="58">
        <v>0</v>
      </c>
      <c r="C151" s="58">
        <v>0</v>
      </c>
      <c r="D151" s="58">
        <v>0</v>
      </c>
      <c r="E151" s="64">
        <v>0</v>
      </c>
      <c r="F151" s="44">
        <v>0</v>
      </c>
      <c r="G151" s="44">
        <v>0</v>
      </c>
      <c r="H151" s="44">
        <v>0</v>
      </c>
      <c r="I151" s="44">
        <v>0</v>
      </c>
    </row>
    <row r="152" spans="1:9" ht="15">
      <c r="A152" s="43" t="str">
        <f>HLOOKUP(INDICE!$F$2,Nombres!$C$3:$D$636,60,FALSE)</f>
        <v>Depósitos de bancos centrales y entidades de crédito</v>
      </c>
      <c r="B152" s="58">
        <v>566628.3054292497</v>
      </c>
      <c r="C152" s="58">
        <v>521451.32020510035</v>
      </c>
      <c r="D152" s="58">
        <v>776227.4748277952</v>
      </c>
      <c r="E152" s="64">
        <v>922743.4327430645</v>
      </c>
      <c r="F152" s="44">
        <v>880183.341528912</v>
      </c>
      <c r="G152" s="44">
        <v>0</v>
      </c>
      <c r="H152" s="44">
        <v>0</v>
      </c>
      <c r="I152" s="44">
        <v>0</v>
      </c>
    </row>
    <row r="153" spans="1:9" ht="15">
      <c r="A153" s="43" t="str">
        <f>HLOOKUP(INDICE!$F$2,Nombres!$C$3:$D$636,61,FALSE)</f>
        <v>Depósitos de la clientela</v>
      </c>
      <c r="B153" s="58">
        <v>13525.957544185481</v>
      </c>
      <c r="C153" s="58">
        <v>10386.12118364514</v>
      </c>
      <c r="D153" s="58">
        <v>8369.445636189594</v>
      </c>
      <c r="E153" s="64">
        <v>6116.578459606656</v>
      </c>
      <c r="F153" s="44">
        <v>7184.686636158387</v>
      </c>
      <c r="G153" s="44">
        <v>0</v>
      </c>
      <c r="H153" s="44">
        <v>0</v>
      </c>
      <c r="I153" s="44">
        <v>0</v>
      </c>
    </row>
    <row r="154" spans="1:9" ht="15">
      <c r="A154" s="43" t="str">
        <f>HLOOKUP(INDICE!$F$2,Nombres!$C$3:$D$636,62,FALSE)</f>
        <v>Valores representativos de deuda emitidos</v>
      </c>
      <c r="B154" s="44">
        <v>712712.7140436578</v>
      </c>
      <c r="C154" s="44">
        <v>836533.7818410009</v>
      </c>
      <c r="D154" s="44">
        <v>770835.7438570334</v>
      </c>
      <c r="E154" s="45">
        <v>714761.2687005207</v>
      </c>
      <c r="F154" s="44">
        <v>777699.2793012508</v>
      </c>
      <c r="G154" s="44">
        <v>0</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258781.02457528442</v>
      </c>
      <c r="C156" s="58">
        <f aca="true" t="shared" si="24" ref="C156:I156">+C150-C151-C152-C153-C154-C157</f>
        <v>244239.7228380093</v>
      </c>
      <c r="D156" s="58">
        <f t="shared" si="24"/>
        <v>243960.86360399745</v>
      </c>
      <c r="E156" s="64">
        <f t="shared" si="24"/>
        <v>286558.8225937027</v>
      </c>
      <c r="F156" s="44">
        <f t="shared" si="24"/>
        <v>289064.9183391263</v>
      </c>
      <c r="G156" s="44">
        <f t="shared" si="24"/>
        <v>0</v>
      </c>
      <c r="H156" s="44">
        <f t="shared" si="24"/>
        <v>0</v>
      </c>
      <c r="I156" s="44">
        <f t="shared" si="24"/>
        <v>0</v>
      </c>
    </row>
    <row r="157" spans="1:9" ht="15.75" customHeight="1">
      <c r="A157" s="43" t="str">
        <f>HLOOKUP(INDICE!$F$2,Nombres!$C$3:$D$636,282,FALSE)</f>
        <v>Dotación de capital regulatorio</v>
      </c>
      <c r="B157" s="58">
        <v>211756.12817912505</v>
      </c>
      <c r="C157" s="58">
        <v>249335.9007664363</v>
      </c>
      <c r="D157" s="58">
        <v>276674.3992698092</v>
      </c>
      <c r="E157" s="64">
        <v>252989.40111822146</v>
      </c>
      <c r="F157" s="44">
        <v>258641.3830705469</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HLOOKUP(INDICE!$F$2,Nombres!$C$3:$D$636,81,FALSE)</f>
        <v>(Millones de pesos chilenos)</v>
      </c>
      <c r="B161" s="30"/>
      <c r="C161" s="30"/>
      <c r="D161" s="30"/>
      <c r="E161" s="30"/>
      <c r="F161" s="69"/>
      <c r="G161" s="44"/>
      <c r="H161" s="44"/>
      <c r="I161" s="44"/>
    </row>
    <row r="162" spans="1:9" ht="15.75">
      <c r="A162" s="30"/>
      <c r="B162" s="53">
        <f aca="true" t="shared" si="25" ref="B162:I162">+B$30</f>
        <v>44651</v>
      </c>
      <c r="C162" s="53">
        <f t="shared" si="25"/>
        <v>44742</v>
      </c>
      <c r="D162" s="53">
        <f t="shared" si="25"/>
        <v>44834</v>
      </c>
      <c r="E162" s="67">
        <f t="shared" si="25"/>
        <v>44926</v>
      </c>
      <c r="F162" s="53">
        <f t="shared" si="25"/>
        <v>45016</v>
      </c>
      <c r="G162" s="53">
        <f t="shared" si="25"/>
        <v>45107</v>
      </c>
      <c r="H162" s="53">
        <f t="shared" si="25"/>
        <v>45199</v>
      </c>
      <c r="I162" s="53">
        <f t="shared" si="25"/>
        <v>45291</v>
      </c>
    </row>
    <row r="163" spans="1:9" ht="15">
      <c r="A163" s="43" t="str">
        <f>HLOOKUP(INDICE!$F$2,Nombres!$C$3:$D$636,66,FALSE)</f>
        <v>Préstamos y anticipos a la clientela bruto (*)</v>
      </c>
      <c r="B163" s="44">
        <v>1486051.7523443364</v>
      </c>
      <c r="C163" s="44">
        <v>1605380.5248713156</v>
      </c>
      <c r="D163" s="44">
        <v>1768909.8315872238</v>
      </c>
      <c r="E163" s="45">
        <v>1905653.3889129856</v>
      </c>
      <c r="F163" s="44">
        <v>1966558.6056605682</v>
      </c>
      <c r="G163" s="44">
        <v>0</v>
      </c>
      <c r="H163" s="44">
        <v>0</v>
      </c>
      <c r="I163" s="44">
        <v>0</v>
      </c>
    </row>
    <row r="164" spans="1:9" ht="15">
      <c r="A164" s="43" t="str">
        <f>HLOOKUP(INDICE!$F$2,Nombres!$C$3:$D$636,67,FALSE)</f>
        <v>Depósitos de clientes en gestión (**)</v>
      </c>
      <c r="B164" s="44">
        <v>13525.957544185481</v>
      </c>
      <c r="C164" s="44">
        <v>10386.12118364514</v>
      </c>
      <c r="D164" s="44">
        <v>8369.445636189594</v>
      </c>
      <c r="E164" s="45">
        <v>6116.578459606656</v>
      </c>
      <c r="F164" s="44">
        <v>7184.686636158387</v>
      </c>
      <c r="G164" s="44">
        <v>0</v>
      </c>
      <c r="H164" s="44">
        <v>0</v>
      </c>
      <c r="I164" s="44">
        <v>0</v>
      </c>
    </row>
    <row r="165" spans="1:9" ht="15">
      <c r="A165" s="43" t="str">
        <f>HLOOKUP(INDICE!$F$2,Nombres!$C$3:$D$636,68,FALSE)</f>
        <v>Fondos de inversión y carteras gestionadas</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391</v>
      </c>
    </row>
  </sheetData>
  <sheetProtection/>
  <mergeCells count="6">
    <mergeCell ref="B6:E6"/>
    <mergeCell ref="F6:I6"/>
    <mergeCell ref="B62:E62"/>
    <mergeCell ref="F62:I62"/>
    <mergeCell ref="B118:E118"/>
    <mergeCell ref="F118:I118"/>
  </mergeCells>
  <conditionalFormatting sqref="G26:I26">
    <cfRule type="cellIs" priority="18" dxfId="261" operator="notBetween">
      <formula>0.5</formula>
      <formula>-0.5</formula>
    </cfRule>
  </conditionalFormatting>
  <conditionalFormatting sqref="C26">
    <cfRule type="cellIs" priority="17" dxfId="261" operator="notBetween">
      <formula>0.5</formula>
      <formula>-0.5</formula>
    </cfRule>
  </conditionalFormatting>
  <conditionalFormatting sqref="D26">
    <cfRule type="cellIs" priority="16" dxfId="261" operator="notBetween">
      <formula>0.5</formula>
      <formula>-0.5</formula>
    </cfRule>
  </conditionalFormatting>
  <conditionalFormatting sqref="E26">
    <cfRule type="cellIs" priority="15" dxfId="261" operator="notBetween">
      <formula>0.5</formula>
      <formula>-0.5</formula>
    </cfRule>
  </conditionalFormatting>
  <conditionalFormatting sqref="F26:I26">
    <cfRule type="cellIs" priority="14" dxfId="261" operator="notBetween">
      <formula>0.5</formula>
      <formula>-0.5</formula>
    </cfRule>
  </conditionalFormatting>
  <conditionalFormatting sqref="G82:I82">
    <cfRule type="cellIs" priority="13" dxfId="261" operator="notBetween">
      <formula>0.5</formula>
      <formula>-0.5</formula>
    </cfRule>
  </conditionalFormatting>
  <conditionalFormatting sqref="C82">
    <cfRule type="cellIs" priority="12" dxfId="261" operator="notBetween">
      <formula>0.5</formula>
      <formula>-0.5</formula>
    </cfRule>
  </conditionalFormatting>
  <conditionalFormatting sqref="D82">
    <cfRule type="cellIs" priority="11" dxfId="261" operator="notBetween">
      <formula>0.5</formula>
      <formula>-0.5</formula>
    </cfRule>
  </conditionalFormatting>
  <conditionalFormatting sqref="E82">
    <cfRule type="cellIs" priority="10" dxfId="261" operator="notBetween">
      <formula>0.5</formula>
      <formula>-0.5</formula>
    </cfRule>
  </conditionalFormatting>
  <conditionalFormatting sqref="F82:I82">
    <cfRule type="cellIs" priority="9" dxfId="261" operator="notBetween">
      <formula>0.5</formula>
      <formula>-0.5</formula>
    </cfRule>
  </conditionalFormatting>
  <conditionalFormatting sqref="G138:I138">
    <cfRule type="cellIs" priority="8" dxfId="261" operator="notBetween">
      <formula>0.5</formula>
      <formula>-0.5</formula>
    </cfRule>
  </conditionalFormatting>
  <conditionalFormatting sqref="C138">
    <cfRule type="cellIs" priority="7" dxfId="261" operator="notBetween">
      <formula>0.5</formula>
      <formula>-0.5</formula>
    </cfRule>
  </conditionalFormatting>
  <conditionalFormatting sqref="D138">
    <cfRule type="cellIs" priority="6" dxfId="261" operator="notBetween">
      <formula>0.5</formula>
      <formula>-0.5</formula>
    </cfRule>
  </conditionalFormatting>
  <conditionalFormatting sqref="E138">
    <cfRule type="cellIs" priority="5" dxfId="261" operator="notBetween">
      <formula>0.5</formula>
      <formula>-0.5</formula>
    </cfRule>
  </conditionalFormatting>
  <conditionalFormatting sqref="F138:I138">
    <cfRule type="cellIs" priority="4" dxfId="261" operator="notBetween">
      <formula>0.5</formula>
      <formula>-0.5</formula>
    </cfRule>
  </conditionalFormatting>
  <conditionalFormatting sqref="B26:I26">
    <cfRule type="cellIs" priority="3" dxfId="261" operator="notBetween">
      <formula>0.5</formula>
      <formula>-0.5</formula>
    </cfRule>
  </conditionalFormatting>
  <conditionalFormatting sqref="B82:I82">
    <cfRule type="cellIs" priority="2" dxfId="261" operator="notBetween">
      <formula>0.5</formula>
      <formula>-0.5</formula>
    </cfRule>
  </conditionalFormatting>
  <conditionalFormatting sqref="B138:I138">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6" width="12.28125" style="31" customWidth="1"/>
    <col min="7" max="9" width="12.28125"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212.54699999999997</v>
      </c>
      <c r="C8" s="41">
        <v>229.45900000000003</v>
      </c>
      <c r="D8" s="41">
        <v>209.984</v>
      </c>
      <c r="E8" s="42">
        <v>193.77900000000008</v>
      </c>
      <c r="F8" s="50">
        <v>171.144</v>
      </c>
      <c r="G8" s="50">
        <v>0</v>
      </c>
      <c r="H8" s="50">
        <v>0</v>
      </c>
      <c r="I8" s="50">
        <v>0</v>
      </c>
    </row>
    <row r="9" spans="1:9" ht="15">
      <c r="A9" s="43" t="str">
        <f>HLOOKUP(INDICE!$F$2,Nombres!$C$3:$D$636,34,FALSE)</f>
        <v>Comisiones netas</v>
      </c>
      <c r="B9" s="44">
        <v>25.100369349999994</v>
      </c>
      <c r="C9" s="44">
        <v>26.831253310000008</v>
      </c>
      <c r="D9" s="44">
        <v>26.33378805</v>
      </c>
      <c r="E9" s="45">
        <v>22.687322599999987</v>
      </c>
      <c r="F9" s="44">
        <v>24.067286929999998</v>
      </c>
      <c r="G9" s="44">
        <v>0</v>
      </c>
      <c r="H9" s="44">
        <v>0</v>
      </c>
      <c r="I9" s="44">
        <v>0</v>
      </c>
    </row>
    <row r="10" spans="1:9" ht="15">
      <c r="A10" s="43" t="str">
        <f>HLOOKUP(INDICE!$F$2,Nombres!$C$3:$D$636,35,FALSE)</f>
        <v>Resultados de operaciones financieras</v>
      </c>
      <c r="B10" s="44">
        <v>24.080761770000006</v>
      </c>
      <c r="C10" s="44">
        <v>27.27963604999998</v>
      </c>
      <c r="D10" s="44">
        <v>28.283706319999975</v>
      </c>
      <c r="E10" s="45">
        <v>23.58645037000004</v>
      </c>
      <c r="F10" s="44">
        <v>32.770545580000004</v>
      </c>
      <c r="G10" s="44">
        <v>0</v>
      </c>
      <c r="H10" s="44">
        <v>0</v>
      </c>
      <c r="I10" s="44">
        <v>0</v>
      </c>
    </row>
    <row r="11" spans="1:9" ht="15">
      <c r="A11" s="43" t="str">
        <f>HLOOKUP(INDICE!$F$2,Nombres!$C$3:$D$636,36,FALSE)</f>
        <v>Otros ingresos y cargas de explotación</v>
      </c>
      <c r="B11" s="44">
        <v>0.31099999999999905</v>
      </c>
      <c r="C11" s="44">
        <v>-1.3639999999999968</v>
      </c>
      <c r="D11" s="44">
        <v>2.675000000000015</v>
      </c>
      <c r="E11" s="45">
        <v>-27.341998350000004</v>
      </c>
      <c r="F11" s="44">
        <v>1.6949999999999985</v>
      </c>
      <c r="G11" s="44">
        <v>0</v>
      </c>
      <c r="H11" s="44">
        <v>0</v>
      </c>
      <c r="I11" s="44">
        <v>0</v>
      </c>
    </row>
    <row r="12" spans="1:9" ht="15">
      <c r="A12" s="41" t="str">
        <f>HLOOKUP(INDICE!$F$2,Nombres!$C$3:$D$636,37,FALSE)</f>
        <v>Margen bruto</v>
      </c>
      <c r="B12" s="41">
        <f>+SUM(B8:B11)</f>
        <v>262.0391311199999</v>
      </c>
      <c r="C12" s="41">
        <f aca="true" t="shared" si="0" ref="C12:I12">+SUM(C8:C11)</f>
        <v>282.20588936</v>
      </c>
      <c r="D12" s="41">
        <f t="shared" si="0"/>
        <v>267.27649437</v>
      </c>
      <c r="E12" s="42">
        <f t="shared" si="0"/>
        <v>212.7107746200001</v>
      </c>
      <c r="F12" s="50">
        <f t="shared" si="0"/>
        <v>229.67683251</v>
      </c>
      <c r="G12" s="50">
        <f t="shared" si="0"/>
        <v>0</v>
      </c>
      <c r="H12" s="50">
        <f t="shared" si="0"/>
        <v>0</v>
      </c>
      <c r="I12" s="50">
        <f t="shared" si="0"/>
        <v>0</v>
      </c>
    </row>
    <row r="13" spans="1:9" ht="15">
      <c r="A13" s="43" t="str">
        <f>HLOOKUP(INDICE!$F$2,Nombres!$C$3:$D$636,38,FALSE)</f>
        <v>Gastos de explotación</v>
      </c>
      <c r="B13" s="44">
        <v>-88.62772147999999</v>
      </c>
      <c r="C13" s="44">
        <v>-98.70291742</v>
      </c>
      <c r="D13" s="44">
        <v>-102.64975664999999</v>
      </c>
      <c r="E13" s="45">
        <v>-123.77646802999999</v>
      </c>
      <c r="F13" s="44">
        <v>-106.38950137</v>
      </c>
      <c r="G13" s="44">
        <v>0</v>
      </c>
      <c r="H13" s="44">
        <v>0</v>
      </c>
      <c r="I13" s="44">
        <v>0</v>
      </c>
    </row>
    <row r="14" spans="1:9" ht="15">
      <c r="A14" s="43" t="str">
        <f>HLOOKUP(INDICE!$F$2,Nombres!$C$3:$D$636,39,FALSE)</f>
        <v>  Gastos de administración</v>
      </c>
      <c r="B14" s="44">
        <v>-81.40572148</v>
      </c>
      <c r="C14" s="44">
        <v>-91.13791742000001</v>
      </c>
      <c r="D14" s="44">
        <v>-95.46175664999998</v>
      </c>
      <c r="E14" s="45">
        <v>-117.02546803</v>
      </c>
      <c r="F14" s="44">
        <v>-99.58850136999999</v>
      </c>
      <c r="G14" s="44">
        <v>0</v>
      </c>
      <c r="H14" s="44">
        <v>0</v>
      </c>
      <c r="I14" s="44">
        <v>0</v>
      </c>
    </row>
    <row r="15" spans="1:9" ht="15">
      <c r="A15" s="46" t="str">
        <f>HLOOKUP(INDICE!$F$2,Nombres!$C$3:$D$636,40,FALSE)</f>
        <v>  Gastos de personal</v>
      </c>
      <c r="B15" s="44">
        <v>-41.048</v>
      </c>
      <c r="C15" s="44">
        <v>-45.84</v>
      </c>
      <c r="D15" s="44">
        <v>-44.34999999</v>
      </c>
      <c r="E15" s="45">
        <v>-60.28000001</v>
      </c>
      <c r="F15" s="44">
        <v>-46.429</v>
      </c>
      <c r="G15" s="44">
        <v>0</v>
      </c>
      <c r="H15" s="44">
        <v>0</v>
      </c>
      <c r="I15" s="44">
        <v>0</v>
      </c>
    </row>
    <row r="16" spans="1:9" ht="15">
      <c r="A16" s="46" t="str">
        <f>HLOOKUP(INDICE!$F$2,Nombres!$C$3:$D$636,41,FALSE)</f>
        <v>  Otros gastos de administración</v>
      </c>
      <c r="B16" s="44">
        <v>-40.357721479999995</v>
      </c>
      <c r="C16" s="44">
        <v>-45.29791742000001</v>
      </c>
      <c r="D16" s="44">
        <v>-51.11175665999999</v>
      </c>
      <c r="E16" s="45">
        <v>-56.745468020000004</v>
      </c>
      <c r="F16" s="44">
        <v>-53.15950137</v>
      </c>
      <c r="G16" s="44">
        <v>0</v>
      </c>
      <c r="H16" s="44">
        <v>0</v>
      </c>
      <c r="I16" s="44">
        <v>0</v>
      </c>
    </row>
    <row r="17" spans="1:9" ht="15">
      <c r="A17" s="43" t="str">
        <f>HLOOKUP(INDICE!$F$2,Nombres!$C$3:$D$636,42,FALSE)</f>
        <v>  Amortización</v>
      </c>
      <c r="B17" s="44">
        <v>-7.2219999999999995</v>
      </c>
      <c r="C17" s="44">
        <v>-7.565000000000001</v>
      </c>
      <c r="D17" s="44">
        <v>-7.188000000000001</v>
      </c>
      <c r="E17" s="45">
        <v>-6.750999999999998</v>
      </c>
      <c r="F17" s="44">
        <v>-6.801</v>
      </c>
      <c r="G17" s="44">
        <v>0</v>
      </c>
      <c r="H17" s="44">
        <v>0</v>
      </c>
      <c r="I17" s="44">
        <v>0</v>
      </c>
    </row>
    <row r="18" spans="1:9" ht="15">
      <c r="A18" s="41" t="str">
        <f>HLOOKUP(INDICE!$F$2,Nombres!$C$3:$D$636,43,FALSE)</f>
        <v>Margen neto</v>
      </c>
      <c r="B18" s="41">
        <f>+B12+B13</f>
        <v>173.41140963999993</v>
      </c>
      <c r="C18" s="41">
        <f aca="true" t="shared" si="1" ref="C18:I18">+C12+C13</f>
        <v>183.50297194</v>
      </c>
      <c r="D18" s="41">
        <f t="shared" si="1"/>
        <v>164.62673772000005</v>
      </c>
      <c r="E18" s="42">
        <f t="shared" si="1"/>
        <v>88.93430659000012</v>
      </c>
      <c r="F18" s="50">
        <f t="shared" si="1"/>
        <v>123.28733113999999</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-55.44199999999999</v>
      </c>
      <c r="C19" s="44">
        <v>-54.81699999999999</v>
      </c>
      <c r="D19" s="44">
        <v>-55.49100000000003</v>
      </c>
      <c r="E19" s="45">
        <v>-62.05699999999999</v>
      </c>
      <c r="F19" s="44">
        <v>-60.41399999999999</v>
      </c>
      <c r="G19" s="44">
        <v>0</v>
      </c>
      <c r="H19" s="44">
        <v>0</v>
      </c>
      <c r="I19" s="44">
        <v>0</v>
      </c>
    </row>
    <row r="20" spans="1:9" ht="15">
      <c r="A20" s="43" t="str">
        <f>HLOOKUP(INDICE!$F$2,Nombres!$C$3:$D$636,45,FALSE)</f>
        <v>Provisiones o reversión de provisiones y otros resultados</v>
      </c>
      <c r="B20" s="44">
        <v>-1.6279999999999997</v>
      </c>
      <c r="C20" s="44">
        <v>-3.37</v>
      </c>
      <c r="D20" s="44">
        <v>-5.473000000000001</v>
      </c>
      <c r="E20" s="45">
        <v>3.0570000000000004</v>
      </c>
      <c r="F20" s="44">
        <v>-1.4060000000000004</v>
      </c>
      <c r="G20" s="44">
        <v>0</v>
      </c>
      <c r="H20" s="44">
        <v>0</v>
      </c>
      <c r="I20" s="44">
        <v>0</v>
      </c>
    </row>
    <row r="21" spans="1:9" ht="15">
      <c r="A21" s="41" t="str">
        <f>HLOOKUP(INDICE!$F$2,Nombres!$C$3:$D$636,46,FALSE)</f>
        <v>Resultado antes de impuestos</v>
      </c>
      <c r="B21" s="41">
        <f>+B18+B19+B20</f>
        <v>116.34140963999994</v>
      </c>
      <c r="C21" s="41">
        <f aca="true" t="shared" si="2" ref="C21:I21">+C18+C19+C20</f>
        <v>125.31597194</v>
      </c>
      <c r="D21" s="41">
        <f t="shared" si="2"/>
        <v>103.66273772000002</v>
      </c>
      <c r="E21" s="42">
        <f t="shared" si="2"/>
        <v>29.934306590000133</v>
      </c>
      <c r="F21" s="50">
        <f t="shared" si="2"/>
        <v>61.467331140000006</v>
      </c>
      <c r="G21" s="50">
        <f t="shared" si="2"/>
        <v>0</v>
      </c>
      <c r="H21" s="50">
        <f t="shared" si="2"/>
        <v>0</v>
      </c>
      <c r="I21" s="50">
        <f t="shared" si="2"/>
        <v>0</v>
      </c>
    </row>
    <row r="22" spans="1:9" ht="15">
      <c r="A22" s="43" t="str">
        <f>HLOOKUP(INDICE!$F$2,Nombres!$C$3:$D$636,47,FALSE)</f>
        <v>Impuesto sobre beneficios</v>
      </c>
      <c r="B22" s="44">
        <v>-42.08407676</v>
      </c>
      <c r="C22" s="44">
        <v>-41.46281466000001</v>
      </c>
      <c r="D22" s="44">
        <v>-36.82232474</v>
      </c>
      <c r="E22" s="45">
        <v>-7.558536770000011</v>
      </c>
      <c r="F22" s="44">
        <v>-22.12338491</v>
      </c>
      <c r="G22" s="44">
        <v>0</v>
      </c>
      <c r="H22" s="44">
        <v>0</v>
      </c>
      <c r="I22" s="44">
        <v>0</v>
      </c>
    </row>
    <row r="23" spans="1:9" ht="15">
      <c r="A23" s="41" t="str">
        <f>HLOOKUP(INDICE!$F$2,Nombres!$C$3:$D$636,48,FALSE)</f>
        <v>Resultado del ejercicio</v>
      </c>
      <c r="B23" s="41">
        <f>+B21+B22</f>
        <v>74.25733287999994</v>
      </c>
      <c r="C23" s="41">
        <f aca="true" t="shared" si="3" ref="C23:I23">+C21+C22</f>
        <v>83.85315727999999</v>
      </c>
      <c r="D23" s="41">
        <f t="shared" si="3"/>
        <v>66.84041298000002</v>
      </c>
      <c r="E23" s="42">
        <f t="shared" si="3"/>
        <v>22.375769820000123</v>
      </c>
      <c r="F23" s="50">
        <f t="shared" si="3"/>
        <v>39.34394623000001</v>
      </c>
      <c r="G23" s="50">
        <f t="shared" si="3"/>
        <v>0</v>
      </c>
      <c r="H23" s="50">
        <f t="shared" si="3"/>
        <v>0</v>
      </c>
      <c r="I23" s="50">
        <f t="shared" si="3"/>
        <v>0</v>
      </c>
    </row>
    <row r="24" spans="1:9" ht="15">
      <c r="A24" s="43" t="str">
        <f>HLOOKUP(INDICE!$F$2,Nombres!$C$3:$D$636,49,FALSE)</f>
        <v>Minoritarios</v>
      </c>
      <c r="B24" s="44">
        <v>-2.63367044</v>
      </c>
      <c r="C24" s="44">
        <v>-2.4684990100000004</v>
      </c>
      <c r="D24" s="44">
        <v>-1.764356</v>
      </c>
      <c r="E24" s="45">
        <v>0.6529529999999997</v>
      </c>
      <c r="F24" s="44">
        <v>1.2979088799999998</v>
      </c>
      <c r="G24" s="44">
        <v>0</v>
      </c>
      <c r="H24" s="44">
        <v>0</v>
      </c>
      <c r="I24" s="44">
        <v>0</v>
      </c>
    </row>
    <row r="25" spans="1:9" ht="15">
      <c r="A25" s="47" t="str">
        <f>HLOOKUP(INDICE!$F$2,Nombres!$C$3:$D$636,50,FALSE)</f>
        <v>Resultado atribuido</v>
      </c>
      <c r="B25" s="47">
        <f>+B23+B24</f>
        <v>71.62366243999993</v>
      </c>
      <c r="C25" s="47">
        <f aca="true" t="shared" si="4" ref="C25:I25">+C23+C24</f>
        <v>81.38465826999999</v>
      </c>
      <c r="D25" s="47">
        <f t="shared" si="4"/>
        <v>65.07605698000002</v>
      </c>
      <c r="E25" s="47">
        <f t="shared" si="4"/>
        <v>23.028722820000123</v>
      </c>
      <c r="F25" s="51">
        <f t="shared" si="4"/>
        <v>40.64185511000001</v>
      </c>
      <c r="G25" s="51">
        <f t="shared" si="4"/>
        <v>0</v>
      </c>
      <c r="H25" s="51">
        <f t="shared" si="4"/>
        <v>0</v>
      </c>
      <c r="I25" s="51">
        <f t="shared" si="4"/>
        <v>0</v>
      </c>
    </row>
    <row r="26" spans="1:9" ht="15">
      <c r="A26" s="62"/>
      <c r="B26" s="63">
        <v>0</v>
      </c>
      <c r="C26" s="63">
        <v>0</v>
      </c>
      <c r="D26" s="63">
        <v>0</v>
      </c>
      <c r="E26" s="63">
        <v>-2.842170943040401E-14</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1954.251</v>
      </c>
      <c r="C31" s="44">
        <v>2289.6649999999995</v>
      </c>
      <c r="D31" s="44">
        <v>2473.2560000000003</v>
      </c>
      <c r="E31" s="45">
        <v>1860.75</v>
      </c>
      <c r="F31" s="44">
        <v>1516.496</v>
      </c>
      <c r="G31" s="44">
        <v>0</v>
      </c>
      <c r="H31" s="44">
        <v>0</v>
      </c>
      <c r="I31" s="44">
        <v>0</v>
      </c>
    </row>
    <row r="32" spans="1:9" ht="15">
      <c r="A32" s="43" t="str">
        <f>HLOOKUP(INDICE!$F$2,Nombres!$C$3:$D$636,53,FALSE)</f>
        <v>Activos financieros a valor razonable</v>
      </c>
      <c r="B32" s="58">
        <v>3017.0080000000003</v>
      </c>
      <c r="C32" s="58">
        <v>3628.4299999999994</v>
      </c>
      <c r="D32" s="58">
        <v>3572.0029999999997</v>
      </c>
      <c r="E32" s="64">
        <v>3282.0710000000004</v>
      </c>
      <c r="F32" s="44">
        <v>3188.8019999999997</v>
      </c>
      <c r="G32" s="44">
        <v>0</v>
      </c>
      <c r="H32" s="44">
        <v>0</v>
      </c>
      <c r="I32" s="44">
        <v>0</v>
      </c>
    </row>
    <row r="33" spans="1:9" ht="15">
      <c r="A33" s="43" t="str">
        <f>HLOOKUP(INDICE!$F$2,Nombres!$C$3:$D$636,54,FALSE)</f>
        <v>Activos financieros a coste amortizado</v>
      </c>
      <c r="B33" s="44">
        <v>14833.607999999998</v>
      </c>
      <c r="C33" s="44">
        <v>15602.117999999999</v>
      </c>
      <c r="D33" s="44">
        <v>15432.210000000003</v>
      </c>
      <c r="E33" s="45">
        <v>13972.123</v>
      </c>
      <c r="F33" s="44">
        <v>14441.204000000002</v>
      </c>
      <c r="G33" s="44">
        <v>0</v>
      </c>
      <c r="H33" s="44">
        <v>0</v>
      </c>
      <c r="I33" s="44">
        <v>0</v>
      </c>
    </row>
    <row r="34" spans="1:9" ht="15">
      <c r="A34" s="43" t="str">
        <f>HLOOKUP(INDICE!$F$2,Nombres!$C$3:$D$636,55,FALSE)</f>
        <v>    de los que préstamos y anticipos a la clientela</v>
      </c>
      <c r="B34" s="44">
        <v>14073.537</v>
      </c>
      <c r="C34" s="44">
        <v>14593.019</v>
      </c>
      <c r="D34" s="44">
        <v>14626.701000000001</v>
      </c>
      <c r="E34" s="45">
        <v>13247.167999999998</v>
      </c>
      <c r="F34" s="44">
        <v>13706.14</v>
      </c>
      <c r="G34" s="44">
        <v>0</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105.84</v>
      </c>
      <c r="C36" s="44">
        <v>101.583</v>
      </c>
      <c r="D36" s="44">
        <v>98.194</v>
      </c>
      <c r="E36" s="45">
        <v>85.297</v>
      </c>
      <c r="F36" s="44">
        <v>86.42300000000002</v>
      </c>
      <c r="G36" s="44">
        <v>0</v>
      </c>
      <c r="H36" s="44">
        <v>0</v>
      </c>
      <c r="I36" s="44">
        <v>0</v>
      </c>
    </row>
    <row r="37" spans="1:9" ht="15">
      <c r="A37" s="43" t="str">
        <f>HLOOKUP(INDICE!$F$2,Nombres!$C$3:$D$636,57,FALSE)</f>
        <v>Otros activos</v>
      </c>
      <c r="B37" s="58">
        <f>+B38-B36-B33-B32-B31</f>
        <v>612.544369859999</v>
      </c>
      <c r="C37" s="58">
        <f aca="true" t="shared" si="5" ref="C37:I37">+C38-C36-C33-C32-C31</f>
        <v>667.8323542299972</v>
      </c>
      <c r="D37" s="58">
        <f t="shared" si="5"/>
        <v>740.1798793799953</v>
      </c>
      <c r="E37" s="64">
        <f t="shared" si="5"/>
        <v>629.0101230299983</v>
      </c>
      <c r="F37" s="44">
        <f t="shared" si="5"/>
        <v>567.1029999999946</v>
      </c>
      <c r="G37" s="44">
        <f t="shared" si="5"/>
        <v>0</v>
      </c>
      <c r="H37" s="44">
        <f t="shared" si="5"/>
        <v>0</v>
      </c>
      <c r="I37" s="44">
        <f t="shared" si="5"/>
        <v>0</v>
      </c>
    </row>
    <row r="38" spans="1:9" ht="15">
      <c r="A38" s="47" t="str">
        <f>HLOOKUP(INDICE!$F$2,Nombres!$C$3:$D$636,58,FALSE)</f>
        <v>Total activo / pasivo</v>
      </c>
      <c r="B38" s="47">
        <v>20523.251369859998</v>
      </c>
      <c r="C38" s="47">
        <v>22289.628354229993</v>
      </c>
      <c r="D38" s="47">
        <v>22315.842879379998</v>
      </c>
      <c r="E38" s="47">
        <v>19829.251123029997</v>
      </c>
      <c r="F38" s="51">
        <v>19800.027999999995</v>
      </c>
      <c r="G38" s="51">
        <v>0</v>
      </c>
      <c r="H38" s="51">
        <v>0</v>
      </c>
      <c r="I38" s="51">
        <v>0</v>
      </c>
    </row>
    <row r="39" spans="1:9" ht="15">
      <c r="A39" s="43" t="str">
        <f>HLOOKUP(INDICE!$F$2,Nombres!$C$3:$D$636,59,FALSE)</f>
        <v>Pasivos financieros mantenidos para negociar y designados a valor razonable con cambios en resultados</v>
      </c>
      <c r="B39" s="58">
        <v>2159.98</v>
      </c>
      <c r="C39" s="58">
        <v>2693.205</v>
      </c>
      <c r="D39" s="58">
        <v>3097.04</v>
      </c>
      <c r="E39" s="64">
        <v>2434.834</v>
      </c>
      <c r="F39" s="44">
        <v>2021.2240000000002</v>
      </c>
      <c r="G39" s="44">
        <v>0</v>
      </c>
      <c r="H39" s="44">
        <v>0</v>
      </c>
      <c r="I39" s="44">
        <v>0</v>
      </c>
    </row>
    <row r="40" spans="1:9" ht="15.75" customHeight="1">
      <c r="A40" s="43" t="str">
        <f>HLOOKUP(INDICE!$F$2,Nombres!$C$3:$D$636,60,FALSE)</f>
        <v>Depósitos de bancos centrales y entidades de crédito</v>
      </c>
      <c r="B40" s="58">
        <v>1515.10800001</v>
      </c>
      <c r="C40" s="58">
        <v>866.4019999899999</v>
      </c>
      <c r="D40" s="58">
        <v>1194.093</v>
      </c>
      <c r="E40" s="64">
        <v>1320.184</v>
      </c>
      <c r="F40" s="44">
        <v>1125.355</v>
      </c>
      <c r="G40" s="44">
        <v>0</v>
      </c>
      <c r="H40" s="44">
        <v>0</v>
      </c>
      <c r="I40" s="44">
        <v>0</v>
      </c>
    </row>
    <row r="41" spans="1:9" ht="15">
      <c r="A41" s="43" t="str">
        <f>HLOOKUP(INDICE!$F$2,Nombres!$C$3:$D$636,61,FALSE)</f>
        <v>Depósitos de la clientela</v>
      </c>
      <c r="B41" s="58">
        <v>13447.496999990002</v>
      </c>
      <c r="C41" s="58">
        <v>15291.701000009998</v>
      </c>
      <c r="D41" s="58">
        <v>14512.007999999998</v>
      </c>
      <c r="E41" s="64">
        <v>13051.841</v>
      </c>
      <c r="F41" s="44">
        <v>13624.636000000002</v>
      </c>
      <c r="G41" s="44">
        <v>0</v>
      </c>
      <c r="H41" s="44">
        <v>0</v>
      </c>
      <c r="I41" s="44">
        <v>0</v>
      </c>
    </row>
    <row r="42" spans="1:9" ht="15">
      <c r="A42" s="43" t="str">
        <f>HLOOKUP(INDICE!$F$2,Nombres!$C$3:$D$636,62,FALSE)</f>
        <v>Valores representativos de deuda emitidos</v>
      </c>
      <c r="B42" s="44">
        <v>878.09216156</v>
      </c>
      <c r="C42" s="44">
        <v>926.68810403</v>
      </c>
      <c r="D42" s="44">
        <v>967.88829056</v>
      </c>
      <c r="E42" s="45">
        <v>871.12451771</v>
      </c>
      <c r="F42" s="44">
        <v>817.26818938</v>
      </c>
      <c r="G42" s="44">
        <v>0</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698.7309178499952</v>
      </c>
      <c r="C44" s="58">
        <f aca="true" t="shared" si="6" ref="C44:I44">+C38-C39-C40-C41-C42-C45</f>
        <v>500.83871122999267</v>
      </c>
      <c r="D44" s="58">
        <f t="shared" si="6"/>
        <v>514.318502239998</v>
      </c>
      <c r="E44" s="64">
        <f t="shared" si="6"/>
        <v>310.8677739399984</v>
      </c>
      <c r="F44" s="44">
        <f t="shared" si="6"/>
        <v>393.22904545999495</v>
      </c>
      <c r="G44" s="44">
        <f t="shared" si="6"/>
        <v>0</v>
      </c>
      <c r="H44" s="44">
        <f t="shared" si="6"/>
        <v>0</v>
      </c>
      <c r="I44" s="44">
        <f t="shared" si="6"/>
        <v>0</v>
      </c>
    </row>
    <row r="45" spans="1:9" ht="15">
      <c r="A45" s="43" t="str">
        <f>HLOOKUP(INDICE!$F$2,Nombres!$C$3:$D$636,282,FALSE)</f>
        <v>Dotación de capital regulatorio</v>
      </c>
      <c r="B45" s="58">
        <v>1823.8432904499998</v>
      </c>
      <c r="C45" s="58">
        <v>2010.7935389699999</v>
      </c>
      <c r="D45" s="58">
        <v>2030.4950865800001</v>
      </c>
      <c r="E45" s="64">
        <v>1840.39983138</v>
      </c>
      <c r="F45" s="44">
        <v>1818.3157651599997</v>
      </c>
      <c r="G45" s="44">
        <v>0</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43" t="str">
        <f>HLOOKUP(INDICE!$F$2,Nombres!$C$3:$D$636,66,FALSE)</f>
        <v>Préstamos y anticipos a la clientela bruto (*)</v>
      </c>
      <c r="B51" s="44">
        <v>14846.219000000001</v>
      </c>
      <c r="C51" s="44">
        <v>15337.597000000003</v>
      </c>
      <c r="D51" s="44">
        <v>15352.031</v>
      </c>
      <c r="E51" s="45">
        <v>13881.871999999998</v>
      </c>
      <c r="F51" s="44">
        <v>14363.703000000001</v>
      </c>
      <c r="G51" s="44">
        <v>0</v>
      </c>
      <c r="H51" s="44">
        <v>0</v>
      </c>
      <c r="I51" s="44">
        <v>0</v>
      </c>
    </row>
    <row r="52" spans="1:9" ht="15">
      <c r="A52" s="43" t="str">
        <f>HLOOKUP(INDICE!$F$2,Nombres!$C$3:$D$636,67,FALSE)</f>
        <v>Depósitos de clientes en gestión (**)</v>
      </c>
      <c r="B52" s="44">
        <v>13447.49699999</v>
      </c>
      <c r="C52" s="44">
        <v>15291.701000009998</v>
      </c>
      <c r="D52" s="44">
        <v>14512.008000000002</v>
      </c>
      <c r="E52" s="45">
        <v>13051.841</v>
      </c>
      <c r="F52" s="44">
        <v>13624.636</v>
      </c>
      <c r="G52" s="44">
        <v>0</v>
      </c>
      <c r="H52" s="44">
        <v>0</v>
      </c>
      <c r="I52" s="44">
        <v>0</v>
      </c>
    </row>
    <row r="53" spans="1:9" ht="15">
      <c r="A53" s="43" t="str">
        <f>HLOOKUP(INDICE!$F$2,Nombres!$C$3:$D$636,68,FALSE)</f>
        <v>Fondos de inversión y carteras gestionadas</v>
      </c>
      <c r="B53" s="44">
        <v>2572.59723742</v>
      </c>
      <c r="C53" s="44">
        <v>2309.0974927800003</v>
      </c>
      <c r="D53" s="44">
        <v>2286.90941909</v>
      </c>
      <c r="E53" s="45">
        <v>2045.6128869899999</v>
      </c>
      <c r="F53" s="44">
        <v>2417.3406822600004</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182.65410084861037</v>
      </c>
      <c r="C64" s="41">
        <v>187.8260241939112</v>
      </c>
      <c r="D64" s="41">
        <v>181.4379027694649</v>
      </c>
      <c r="E64" s="42">
        <v>188.12299486805657</v>
      </c>
      <c r="F64" s="50">
        <v>171.14400000000006</v>
      </c>
      <c r="G64" s="50">
        <v>0</v>
      </c>
      <c r="H64" s="50">
        <v>0</v>
      </c>
      <c r="I64" s="50">
        <v>0</v>
      </c>
    </row>
    <row r="65" spans="1:9" ht="15">
      <c r="A65" s="43" t="str">
        <f>HLOOKUP(INDICE!$F$2,Nombres!$C$3:$D$636,34,FALSE)</f>
        <v>Comisiones netas</v>
      </c>
      <c r="B65" s="44">
        <v>21.570219267231572</v>
      </c>
      <c r="C65" s="44">
        <v>21.95777369380933</v>
      </c>
      <c r="D65" s="44">
        <v>22.72469668904319</v>
      </c>
      <c r="E65" s="45">
        <v>22.08013408911424</v>
      </c>
      <c r="F65" s="44">
        <v>24.067286929999995</v>
      </c>
      <c r="G65" s="44">
        <v>0</v>
      </c>
      <c r="H65" s="44">
        <v>0</v>
      </c>
      <c r="I65" s="44">
        <v>0</v>
      </c>
    </row>
    <row r="66" spans="1:9" ht="15">
      <c r="A66" s="43" t="str">
        <f>HLOOKUP(INDICE!$F$2,Nombres!$C$3:$D$636,35,FALSE)</f>
        <v>Resultados de operaciones financieras</v>
      </c>
      <c r="B66" s="44">
        <v>20.694010683984928</v>
      </c>
      <c r="C66" s="44">
        <v>22.355193640361946</v>
      </c>
      <c r="D66" s="44">
        <v>24.37056727307221</v>
      </c>
      <c r="E66" s="45">
        <v>22.906127237142574</v>
      </c>
      <c r="F66" s="44">
        <v>32.770545580000004</v>
      </c>
      <c r="G66" s="44">
        <v>0</v>
      </c>
      <c r="H66" s="44">
        <v>0</v>
      </c>
      <c r="I66" s="44">
        <v>0</v>
      </c>
    </row>
    <row r="67" spans="1:9" ht="15">
      <c r="A67" s="43" t="str">
        <f>HLOOKUP(INDICE!$F$2,Nombres!$C$3:$D$636,36,FALSE)</f>
        <v>Otros ingresos y cargas de explotación</v>
      </c>
      <c r="B67" s="44">
        <v>0.2672605370290686</v>
      </c>
      <c r="C67" s="44">
        <v>-1.1498629715430173</v>
      </c>
      <c r="D67" s="44">
        <v>2.2556465626617057</v>
      </c>
      <c r="E67" s="45">
        <v>-23.877834304026766</v>
      </c>
      <c r="F67" s="44">
        <v>1.6949999999999994</v>
      </c>
      <c r="G67" s="44">
        <v>0</v>
      </c>
      <c r="H67" s="44">
        <v>0</v>
      </c>
      <c r="I67" s="44">
        <v>0</v>
      </c>
    </row>
    <row r="68" spans="1:9" ht="15">
      <c r="A68" s="41" t="str">
        <f>HLOOKUP(INDICE!$F$2,Nombres!$C$3:$D$636,37,FALSE)</f>
        <v>Margen bruto</v>
      </c>
      <c r="B68" s="41">
        <f>+SUM(B64:B67)</f>
        <v>225.18559133685596</v>
      </c>
      <c r="C68" s="41">
        <f aca="true" t="shared" si="9" ref="C68:I68">+SUM(C64:C67)</f>
        <v>230.98912855653947</v>
      </c>
      <c r="D68" s="41">
        <f t="shared" si="9"/>
        <v>230.788813294242</v>
      </c>
      <c r="E68" s="42">
        <f t="shared" si="9"/>
        <v>209.2314218902866</v>
      </c>
      <c r="F68" s="50">
        <f t="shared" si="9"/>
        <v>229.67683251000005</v>
      </c>
      <c r="G68" s="50">
        <f t="shared" si="9"/>
        <v>0</v>
      </c>
      <c r="H68" s="50">
        <f t="shared" si="9"/>
        <v>0</v>
      </c>
      <c r="I68" s="50">
        <f t="shared" si="9"/>
        <v>0</v>
      </c>
    </row>
    <row r="69" spans="1:9" ht="15">
      <c r="A69" s="43" t="str">
        <f>HLOOKUP(INDICE!$F$2,Nombres!$C$3:$D$636,38,FALSE)</f>
        <v>Gastos de explotación</v>
      </c>
      <c r="B69" s="44">
        <v>-76.1629981942369</v>
      </c>
      <c r="C69" s="44">
        <v>-80.85360005096216</v>
      </c>
      <c r="D69" s="44">
        <v>-88.4555838681704</v>
      </c>
      <c r="E69" s="45">
        <v>-116.56172131017792</v>
      </c>
      <c r="F69" s="44">
        <v>-106.38950137</v>
      </c>
      <c r="G69" s="44">
        <v>0</v>
      </c>
      <c r="H69" s="44">
        <v>0</v>
      </c>
      <c r="I69" s="44">
        <v>0</v>
      </c>
    </row>
    <row r="70" spans="1:9" ht="15">
      <c r="A70" s="43" t="str">
        <f>HLOOKUP(INDICE!$F$2,Nombres!$C$3:$D$636,39,FALSE)</f>
        <v>  Gastos de administración</v>
      </c>
      <c r="B70" s="44">
        <v>-69.9567100964107</v>
      </c>
      <c r="C70" s="44">
        <v>-74.66573601283596</v>
      </c>
      <c r="D70" s="44">
        <v>-82.24761225810151</v>
      </c>
      <c r="E70" s="45">
        <v>-110.02882779083839</v>
      </c>
      <c r="F70" s="44">
        <v>-99.58850137</v>
      </c>
      <c r="G70" s="44">
        <v>0</v>
      </c>
      <c r="H70" s="44">
        <v>0</v>
      </c>
      <c r="I70" s="44">
        <v>0</v>
      </c>
    </row>
    <row r="71" spans="1:9" ht="15">
      <c r="A71" s="46" t="str">
        <f>HLOOKUP(INDICE!$F$2,Nombres!$C$3:$D$636,40,FALSE)</f>
        <v>  Gastos de personal</v>
      </c>
      <c r="B71" s="44">
        <v>-35.27495345327743</v>
      </c>
      <c r="C71" s="44">
        <v>-37.55273916785127</v>
      </c>
      <c r="D71" s="44">
        <v>-38.2669838746309</v>
      </c>
      <c r="E71" s="45">
        <v>-56.48202184815756</v>
      </c>
      <c r="F71" s="44">
        <v>-46.429</v>
      </c>
      <c r="G71" s="44">
        <v>0</v>
      </c>
      <c r="H71" s="44">
        <v>0</v>
      </c>
      <c r="I71" s="44">
        <v>0</v>
      </c>
    </row>
    <row r="72" spans="1:9" ht="15">
      <c r="A72" s="46" t="str">
        <f>HLOOKUP(INDICE!$F$2,Nombres!$C$3:$D$636,41,FALSE)</f>
        <v>  Otros gastos de administración</v>
      </c>
      <c r="B72" s="44">
        <v>-34.68175664313328</v>
      </c>
      <c r="C72" s="44">
        <v>-37.1129968449847</v>
      </c>
      <c r="D72" s="44">
        <v>-43.980628383470616</v>
      </c>
      <c r="E72" s="45">
        <v>-53.546805942680855</v>
      </c>
      <c r="F72" s="44">
        <v>-53.15950136999999</v>
      </c>
      <c r="G72" s="44">
        <v>0</v>
      </c>
      <c r="H72" s="44">
        <v>0</v>
      </c>
      <c r="I72" s="44">
        <v>0</v>
      </c>
    </row>
    <row r="73" spans="1:9" ht="15">
      <c r="A73" s="43" t="str">
        <f>HLOOKUP(INDICE!$F$2,Nombres!$C$3:$D$636,42,FALSE)</f>
        <v>  Amortización</v>
      </c>
      <c r="B73" s="44">
        <v>-6.206288097826194</v>
      </c>
      <c r="C73" s="44">
        <v>-6.1878640381261825</v>
      </c>
      <c r="D73" s="44">
        <v>-6.207971610068888</v>
      </c>
      <c r="E73" s="45">
        <v>-6.532893519339505</v>
      </c>
      <c r="F73" s="44">
        <v>-6.801000000000001</v>
      </c>
      <c r="G73" s="44">
        <v>0</v>
      </c>
      <c r="H73" s="44">
        <v>0</v>
      </c>
      <c r="I73" s="44">
        <v>0</v>
      </c>
    </row>
    <row r="74" spans="1:9" ht="15">
      <c r="A74" s="41" t="str">
        <f>HLOOKUP(INDICE!$F$2,Nombres!$C$3:$D$636,43,FALSE)</f>
        <v>Margen neto</v>
      </c>
      <c r="B74" s="41">
        <f>+B68+B69</f>
        <v>149.02259314261906</v>
      </c>
      <c r="C74" s="41">
        <f aca="true" t="shared" si="10" ref="C74:I74">+C68+C69</f>
        <v>150.13552850557733</v>
      </c>
      <c r="D74" s="41">
        <f t="shared" si="10"/>
        <v>142.33322942607163</v>
      </c>
      <c r="E74" s="42">
        <f t="shared" si="10"/>
        <v>92.6697005801087</v>
      </c>
      <c r="F74" s="50">
        <f t="shared" si="10"/>
        <v>123.28733114000005</v>
      </c>
      <c r="G74" s="50">
        <f t="shared" si="10"/>
        <v>0</v>
      </c>
      <c r="H74" s="50">
        <f t="shared" si="10"/>
        <v>0</v>
      </c>
      <c r="I74" s="50">
        <f t="shared" si="10"/>
        <v>0</v>
      </c>
    </row>
    <row r="75" spans="1:9" ht="15">
      <c r="A75" s="43" t="str">
        <f>HLOOKUP(INDICE!$F$2,Nombres!$C$3:$D$636,44,FALSE)</f>
        <v>Deterioro de activos financieros no valorados a valor razonable con cambios en resultados</v>
      </c>
      <c r="B75" s="44">
        <v>-47.64456171693157</v>
      </c>
      <c r="C75" s="44">
        <v>-44.77221114828603</v>
      </c>
      <c r="D75" s="44">
        <v>-47.89276119180281</v>
      </c>
      <c r="E75" s="45">
        <v>-59.01974527772999</v>
      </c>
      <c r="F75" s="44">
        <v>-60.413999999999994</v>
      </c>
      <c r="G75" s="44">
        <v>0</v>
      </c>
      <c r="H75" s="44">
        <v>0</v>
      </c>
      <c r="I75" s="44">
        <v>0</v>
      </c>
    </row>
    <row r="76" spans="1:9" ht="15">
      <c r="A76" s="43" t="str">
        <f>HLOOKUP(INDICE!$F$2,Nombres!$C$3:$D$636,45,FALSE)</f>
        <v>Provisiones o reversión de provisiones y otros resultados</v>
      </c>
      <c r="B76" s="44">
        <v>-1.3990358658627866</v>
      </c>
      <c r="C76" s="44">
        <v>-2.790182527015416</v>
      </c>
      <c r="D76" s="44">
        <v>-4.674619502211155</v>
      </c>
      <c r="E76" s="45">
        <v>2.3766479624365413</v>
      </c>
      <c r="F76" s="44">
        <v>-1.4059999999999993</v>
      </c>
      <c r="G76" s="44">
        <v>0</v>
      </c>
      <c r="H76" s="44">
        <v>0</v>
      </c>
      <c r="I76" s="44">
        <v>0</v>
      </c>
    </row>
    <row r="77" spans="1:9" ht="15">
      <c r="A77" s="41" t="str">
        <f>HLOOKUP(INDICE!$F$2,Nombres!$C$3:$D$636,46,FALSE)</f>
        <v>Resultado antes de impuestos</v>
      </c>
      <c r="B77" s="41">
        <f>+B74+B75+B76</f>
        <v>99.9789955598247</v>
      </c>
      <c r="C77" s="41">
        <f aca="true" t="shared" si="11" ref="C77:I77">+C74+C75+C76</f>
        <v>102.57313483027588</v>
      </c>
      <c r="D77" s="41">
        <f t="shared" si="11"/>
        <v>89.76584873205766</v>
      </c>
      <c r="E77" s="42">
        <f t="shared" si="11"/>
        <v>36.02660326481525</v>
      </c>
      <c r="F77" s="50">
        <f t="shared" si="11"/>
        <v>61.467331140000056</v>
      </c>
      <c r="G77" s="50">
        <f t="shared" si="11"/>
        <v>0</v>
      </c>
      <c r="H77" s="50">
        <f t="shared" si="11"/>
        <v>0</v>
      </c>
      <c r="I77" s="50">
        <f t="shared" si="11"/>
        <v>0</v>
      </c>
    </row>
    <row r="78" spans="1:9" ht="15">
      <c r="A78" s="43" t="str">
        <f>HLOOKUP(INDICE!$F$2,Nombres!$C$3:$D$636,47,FALSE)</f>
        <v>Impuesto sobre beneficios</v>
      </c>
      <c r="B78" s="44">
        <v>-36.16531496865023</v>
      </c>
      <c r="C78" s="44">
        <v>-33.86193077053786</v>
      </c>
      <c r="D78" s="44">
        <v>-31.866863667860933</v>
      </c>
      <c r="E78" s="45">
        <v>-10.041637951245097</v>
      </c>
      <c r="F78" s="44">
        <v>-22.123384910000006</v>
      </c>
      <c r="G78" s="44">
        <v>0</v>
      </c>
      <c r="H78" s="44">
        <v>0</v>
      </c>
      <c r="I78" s="44">
        <v>0</v>
      </c>
    </row>
    <row r="79" spans="1:9" ht="15">
      <c r="A79" s="41" t="str">
        <f>HLOOKUP(INDICE!$F$2,Nombres!$C$3:$D$636,48,FALSE)</f>
        <v>Resultado del ejercicio</v>
      </c>
      <c r="B79" s="41">
        <f>+B77+B78</f>
        <v>63.81368059117447</v>
      </c>
      <c r="C79" s="41">
        <f aca="true" t="shared" si="12" ref="C79:I79">+C77+C78</f>
        <v>68.71120405973801</v>
      </c>
      <c r="D79" s="41">
        <f t="shared" si="12"/>
        <v>57.89898506419673</v>
      </c>
      <c r="E79" s="42">
        <f t="shared" si="12"/>
        <v>25.984965313570154</v>
      </c>
      <c r="F79" s="50">
        <f t="shared" si="12"/>
        <v>39.34394623000005</v>
      </c>
      <c r="G79" s="50">
        <f t="shared" si="12"/>
        <v>0</v>
      </c>
      <c r="H79" s="50">
        <f t="shared" si="12"/>
        <v>0</v>
      </c>
      <c r="I79" s="50">
        <f t="shared" si="12"/>
        <v>0</v>
      </c>
    </row>
    <row r="80" spans="1:9" ht="15">
      <c r="A80" s="43" t="str">
        <f>HLOOKUP(INDICE!$F$2,Nombres!$C$3:$D$636,49,FALSE)</f>
        <v>Minoritarios</v>
      </c>
      <c r="B80" s="44">
        <v>-2.263267447434046</v>
      </c>
      <c r="C80" s="44">
        <v>-2.013263585683454</v>
      </c>
      <c r="D80" s="44">
        <v>-1.5360722035652925</v>
      </c>
      <c r="E80" s="45">
        <v>0.3757776845585814</v>
      </c>
      <c r="F80" s="44">
        <v>1.2979088799999998</v>
      </c>
      <c r="G80" s="44">
        <v>0</v>
      </c>
      <c r="H80" s="44">
        <v>0</v>
      </c>
      <c r="I80" s="44">
        <v>0</v>
      </c>
    </row>
    <row r="81" spans="1:9" ht="15">
      <c r="A81" s="47" t="str">
        <f>HLOOKUP(INDICE!$F$2,Nombres!$C$3:$D$636,50,FALSE)</f>
        <v>Resultado atribuido</v>
      </c>
      <c r="B81" s="47">
        <f>+B79+B80</f>
        <v>61.55041314374042</v>
      </c>
      <c r="C81" s="47">
        <f aca="true" t="shared" si="13" ref="C81:I81">+C79+C80</f>
        <v>66.69794047405455</v>
      </c>
      <c r="D81" s="47">
        <f t="shared" si="13"/>
        <v>56.36291286063144</v>
      </c>
      <c r="E81" s="47">
        <f t="shared" si="13"/>
        <v>26.360742998128735</v>
      </c>
      <c r="F81" s="51">
        <f t="shared" si="13"/>
        <v>40.64185511000005</v>
      </c>
      <c r="G81" s="51">
        <f t="shared" si="13"/>
        <v>0</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1615.865845848161</v>
      </c>
      <c r="C87" s="44">
        <v>1950.7063415704138</v>
      </c>
      <c r="D87" s="44">
        <v>2171.336303305795</v>
      </c>
      <c r="E87" s="45">
        <v>1897.1367344825194</v>
      </c>
      <c r="F87" s="44">
        <v>1516.496</v>
      </c>
      <c r="G87" s="44">
        <v>0</v>
      </c>
      <c r="H87" s="44">
        <v>0</v>
      </c>
      <c r="I87" s="44">
        <v>0</v>
      </c>
    </row>
    <row r="88" spans="1:9" ht="15">
      <c r="A88" s="43" t="str">
        <f>HLOOKUP(INDICE!$F$2,Nombres!$C$3:$D$636,53,FALSE)</f>
        <v>Activos financieros a valor razonable</v>
      </c>
      <c r="B88" s="58">
        <v>2494.6028856327403</v>
      </c>
      <c r="C88" s="58">
        <v>3091.2825286425464</v>
      </c>
      <c r="D88" s="58">
        <v>3135.9551091424455</v>
      </c>
      <c r="E88" s="64">
        <v>3346.2514896035336</v>
      </c>
      <c r="F88" s="44">
        <v>3188.8019999999997</v>
      </c>
      <c r="G88" s="44">
        <v>0</v>
      </c>
      <c r="H88" s="44">
        <v>0</v>
      </c>
      <c r="I88" s="44">
        <v>0</v>
      </c>
    </row>
    <row r="89" spans="1:9" ht="15">
      <c r="A89" s="43" t="str">
        <f>HLOOKUP(INDICE!$F$2,Nombres!$C$3:$D$636,54,FALSE)</f>
        <v>Activos financieros a coste amortizado</v>
      </c>
      <c r="B89" s="44">
        <v>12265.118727277126</v>
      </c>
      <c r="C89" s="44">
        <v>13292.403266211388</v>
      </c>
      <c r="D89" s="44">
        <v>13548.341867254632</v>
      </c>
      <c r="E89" s="45">
        <v>14245.346124953972</v>
      </c>
      <c r="F89" s="44">
        <v>14441.204000000002</v>
      </c>
      <c r="G89" s="44">
        <v>0</v>
      </c>
      <c r="H89" s="44">
        <v>0</v>
      </c>
      <c r="I89" s="44">
        <v>0</v>
      </c>
    </row>
    <row r="90" spans="1:9" ht="15">
      <c r="A90" s="43" t="str">
        <f>HLOOKUP(INDICE!$F$2,Nombres!$C$3:$D$636,55,FALSE)</f>
        <v>    de los que préstamos y anticipos a la clientela</v>
      </c>
      <c r="B90" s="44">
        <v>11636.656585351826</v>
      </c>
      <c r="C90" s="44">
        <v>12432.689806568882</v>
      </c>
      <c r="D90" s="44">
        <v>12841.164391756927</v>
      </c>
      <c r="E90" s="45">
        <v>13506.214720226428</v>
      </c>
      <c r="F90" s="44">
        <v>13706.14</v>
      </c>
      <c r="G90" s="44">
        <v>0</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87.51344690347827</v>
      </c>
      <c r="C92" s="44">
        <v>86.54480122452296</v>
      </c>
      <c r="D92" s="44">
        <v>86.20708772840709</v>
      </c>
      <c r="E92" s="45">
        <v>86.96497221075128</v>
      </c>
      <c r="F92" s="44">
        <v>86.42300000000002</v>
      </c>
      <c r="G92" s="44">
        <v>0</v>
      </c>
      <c r="H92" s="44">
        <v>0</v>
      </c>
      <c r="I92" s="44">
        <v>0</v>
      </c>
    </row>
    <row r="93" spans="1:9" ht="15">
      <c r="A93" s="43" t="str">
        <f>HLOOKUP(INDICE!$F$2,Nombres!$C$3:$D$636,57,FALSE)</f>
        <v>Otros activos</v>
      </c>
      <c r="B93" s="58">
        <f>+B94-B92-B89-B88-B87</f>
        <v>506.48024553824735</v>
      </c>
      <c r="C93" s="58">
        <f aca="true" t="shared" si="15" ref="C93:I93">+C94-C92-C89-C88-C87</f>
        <v>568.9674290790817</v>
      </c>
      <c r="D93" s="58">
        <f t="shared" si="15"/>
        <v>649.8233272553707</v>
      </c>
      <c r="E93" s="64">
        <f t="shared" si="15"/>
        <v>641.3103376388954</v>
      </c>
      <c r="F93" s="44">
        <f t="shared" si="15"/>
        <v>567.1029999999946</v>
      </c>
      <c r="G93" s="44">
        <f t="shared" si="15"/>
        <v>0</v>
      </c>
      <c r="H93" s="44">
        <f t="shared" si="15"/>
        <v>0</v>
      </c>
      <c r="I93" s="44">
        <f t="shared" si="15"/>
        <v>0</v>
      </c>
    </row>
    <row r="94" spans="1:9" ht="15">
      <c r="A94" s="47" t="str">
        <f>HLOOKUP(INDICE!$F$2,Nombres!$C$3:$D$636,58,FALSE)</f>
        <v>Total activo / pasivo</v>
      </c>
      <c r="B94" s="47">
        <v>16969.581151199753</v>
      </c>
      <c r="C94" s="47">
        <v>18989.90436672795</v>
      </c>
      <c r="D94" s="47">
        <v>19591.66369468665</v>
      </c>
      <c r="E94" s="47">
        <v>20217.00965888967</v>
      </c>
      <c r="F94" s="51">
        <v>19800.027999999995</v>
      </c>
      <c r="G94" s="51">
        <v>0</v>
      </c>
      <c r="H94" s="51">
        <v>0</v>
      </c>
      <c r="I94" s="51">
        <v>0</v>
      </c>
    </row>
    <row r="95" spans="1:9" ht="15">
      <c r="A95" s="43" t="str">
        <f>HLOOKUP(INDICE!$F$2,Nombres!$C$3:$D$636,59,FALSE)</f>
        <v>Pasivos financieros mantenidos para negociar y designados a valor razonable con cambios en resultados</v>
      </c>
      <c r="B95" s="58">
        <v>1785.972175383362</v>
      </c>
      <c r="C95" s="58">
        <v>2294.506870065772</v>
      </c>
      <c r="D95" s="58">
        <v>2718.9726355824796</v>
      </c>
      <c r="E95" s="64">
        <v>2482.4468755969424</v>
      </c>
      <c r="F95" s="44">
        <v>2021.2240000000002</v>
      </c>
      <c r="G95" s="44">
        <v>0</v>
      </c>
      <c r="H95" s="44">
        <v>0</v>
      </c>
      <c r="I95" s="44">
        <v>0</v>
      </c>
    </row>
    <row r="96" spans="1:9" ht="15">
      <c r="A96" s="43" t="str">
        <f>HLOOKUP(INDICE!$F$2,Nombres!$C$3:$D$636,60,FALSE)</f>
        <v>Depósitos de bancos centrales y entidades de crédito</v>
      </c>
      <c r="B96" s="58">
        <v>1252.7619379432192</v>
      </c>
      <c r="C96" s="58">
        <v>738.1411148485837</v>
      </c>
      <c r="D96" s="58">
        <v>1048.3255596765262</v>
      </c>
      <c r="E96" s="64">
        <v>1346.00003368323</v>
      </c>
      <c r="F96" s="44">
        <v>1125.355</v>
      </c>
      <c r="G96" s="44">
        <v>0</v>
      </c>
      <c r="H96" s="44">
        <v>0</v>
      </c>
      <c r="I96" s="44">
        <v>0</v>
      </c>
    </row>
    <row r="97" spans="1:9" ht="15">
      <c r="A97" s="43" t="str">
        <f>HLOOKUP(INDICE!$F$2,Nombres!$C$3:$D$636,61,FALSE)</f>
        <v>Depósitos de la clientela</v>
      </c>
      <c r="B97" s="58">
        <v>11119.017523557337</v>
      </c>
      <c r="C97" s="58">
        <v>13027.93994497804</v>
      </c>
      <c r="D97" s="58">
        <v>12740.4723992438</v>
      </c>
      <c r="E97" s="64">
        <v>13307.068125070567</v>
      </c>
      <c r="F97" s="44">
        <v>13624.636000000002</v>
      </c>
      <c r="G97" s="44">
        <v>0</v>
      </c>
      <c r="H97" s="44">
        <v>0</v>
      </c>
      <c r="I97" s="44">
        <v>0</v>
      </c>
    </row>
    <row r="98" spans="1:9" ht="15">
      <c r="A98" s="43" t="str">
        <f>HLOOKUP(INDICE!$F$2,Nombres!$C$3:$D$636,62,FALSE)</f>
        <v>Valores representativos de deuda emitidos</v>
      </c>
      <c r="B98" s="44">
        <v>726.0475411663033</v>
      </c>
      <c r="C98" s="44">
        <v>789.5025522026953</v>
      </c>
      <c r="D98" s="44">
        <v>849.7345130619376</v>
      </c>
      <c r="E98" s="45">
        <v>888.1592491500786</v>
      </c>
      <c r="F98" s="44">
        <v>817.26818938</v>
      </c>
      <c r="G98" s="44">
        <v>0</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577.7433019565865</v>
      </c>
      <c r="C100" s="58">
        <f aca="true" t="shared" si="16" ref="C100:I100">+C94-C95-C96-C97-C98-C101</f>
        <v>426.6952807944849</v>
      </c>
      <c r="D100" s="58">
        <f t="shared" si="16"/>
        <v>451.53370107080764</v>
      </c>
      <c r="E100" s="64">
        <f t="shared" si="16"/>
        <v>316.9467545389607</v>
      </c>
      <c r="F100" s="44">
        <f t="shared" si="16"/>
        <v>393.22904545999495</v>
      </c>
      <c r="G100" s="44">
        <f t="shared" si="16"/>
        <v>0</v>
      </c>
      <c r="H100" s="44">
        <f t="shared" si="16"/>
        <v>0</v>
      </c>
      <c r="I100" s="44">
        <f t="shared" si="16"/>
        <v>0</v>
      </c>
    </row>
    <row r="101" spans="1:9" ht="15">
      <c r="A101" s="43" t="str">
        <f>HLOOKUP(INDICE!$F$2,Nombres!$C$3:$D$636,282,FALSE)</f>
        <v>Dotación de capital regulatorio</v>
      </c>
      <c r="B101" s="58">
        <v>1508.038671192944</v>
      </c>
      <c r="C101" s="58">
        <v>1713.1186038383753</v>
      </c>
      <c r="D101" s="58">
        <v>1782.624886051099</v>
      </c>
      <c r="E101" s="64">
        <v>1876.3886208498898</v>
      </c>
      <c r="F101" s="44">
        <v>1818.3157651599997</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12275.546090078522</v>
      </c>
      <c r="C107" s="44">
        <v>13067.041568243108</v>
      </c>
      <c r="D107" s="44">
        <v>13477.950620467902</v>
      </c>
      <c r="E107" s="45">
        <v>14153.33027789027</v>
      </c>
      <c r="F107" s="44">
        <v>14363.703000000001</v>
      </c>
      <c r="G107" s="44">
        <v>0</v>
      </c>
      <c r="H107" s="44">
        <v>0</v>
      </c>
      <c r="I107" s="44">
        <v>0</v>
      </c>
    </row>
    <row r="108" spans="1:9" ht="15">
      <c r="A108" s="43" t="str">
        <f>HLOOKUP(INDICE!$F$2,Nombres!$C$3:$D$636,67,FALSE)</f>
        <v>Depósitos de clientes en gestión (**)</v>
      </c>
      <c r="B108" s="44">
        <v>11119.017523557335</v>
      </c>
      <c r="C108" s="44">
        <v>13027.939944978041</v>
      </c>
      <c r="D108" s="44">
        <v>12740.4723992438</v>
      </c>
      <c r="E108" s="45">
        <v>13307.068125070567</v>
      </c>
      <c r="F108" s="44">
        <v>13624.636</v>
      </c>
      <c r="G108" s="44">
        <v>0</v>
      </c>
      <c r="H108" s="44">
        <v>0</v>
      </c>
      <c r="I108" s="44">
        <v>0</v>
      </c>
    </row>
    <row r="109" spans="1:9" ht="15">
      <c r="A109" s="43" t="str">
        <f>HLOOKUP(INDICE!$F$2,Nombres!$C$3:$D$636,68,FALSE)</f>
        <v>Fondos de inversión y carteras gestionadas</v>
      </c>
      <c r="B109" s="44">
        <v>2127.1433460033077</v>
      </c>
      <c r="C109" s="44">
        <v>1967.26207653534</v>
      </c>
      <c r="D109" s="44">
        <v>2007.7377530033618</v>
      </c>
      <c r="E109" s="45">
        <v>2085.6145922018363</v>
      </c>
      <c r="F109" s="44">
        <v>2417.3406822600004</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8">
        <f>+B$6</f>
        <v>2022</v>
      </c>
      <c r="C118" s="298"/>
      <c r="D118" s="298"/>
      <c r="E118" s="299"/>
      <c r="F118" s="298">
        <f>+F$6</f>
        <v>2023</v>
      </c>
      <c r="G118" s="298"/>
      <c r="H118" s="298"/>
      <c r="I118" s="298"/>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932917.8569309828</v>
      </c>
      <c r="C120" s="41">
        <v>959333.7962451973</v>
      </c>
      <c r="D120" s="41">
        <v>926706.0450946838</v>
      </c>
      <c r="E120" s="42">
        <v>960850.5935336673</v>
      </c>
      <c r="F120" s="50">
        <v>874129.2583347482</v>
      </c>
      <c r="G120" s="50">
        <v>0</v>
      </c>
      <c r="H120" s="50">
        <v>0</v>
      </c>
      <c r="I120" s="50">
        <v>0</v>
      </c>
    </row>
    <row r="121" spans="1:9" ht="15">
      <c r="A121" s="43" t="str">
        <f>HLOOKUP(INDICE!$F$2,Nombres!$C$3:$D$636,34,FALSE)</f>
        <v>Comisiones netas</v>
      </c>
      <c r="B121" s="44">
        <v>110171.3163779217</v>
      </c>
      <c r="C121" s="44">
        <v>112150.77615138014</v>
      </c>
      <c r="D121" s="44">
        <v>116067.88588951658</v>
      </c>
      <c r="E121" s="45">
        <v>112775.73993391077</v>
      </c>
      <c r="F121" s="44">
        <v>122925.25402147009</v>
      </c>
      <c r="G121" s="44">
        <v>0</v>
      </c>
      <c r="H121" s="44">
        <v>0</v>
      </c>
      <c r="I121" s="44">
        <v>0</v>
      </c>
    </row>
    <row r="122" spans="1:9" ht="15">
      <c r="A122" s="43" t="str">
        <f>HLOOKUP(INDICE!$F$2,Nombres!$C$3:$D$636,35,FALSE)</f>
        <v>Resultados de operaciones financieras</v>
      </c>
      <c r="B122" s="44">
        <v>105696.0232971246</v>
      </c>
      <c r="C122" s="44">
        <v>114180.62471824465</v>
      </c>
      <c r="D122" s="44">
        <v>124474.2783597889</v>
      </c>
      <c r="E122" s="45">
        <v>116994.55437014902</v>
      </c>
      <c r="F122" s="44">
        <v>167377.7211183007</v>
      </c>
      <c r="G122" s="44">
        <v>0</v>
      </c>
      <c r="H122" s="44">
        <v>0</v>
      </c>
      <c r="I122" s="44">
        <v>0</v>
      </c>
    </row>
    <row r="123" spans="1:9" ht="15">
      <c r="A123" s="43" t="str">
        <f>HLOOKUP(INDICE!$F$2,Nombres!$C$3:$D$636,36,FALSE)</f>
        <v>Otros ingresos y cargas de explotación</v>
      </c>
      <c r="B123" s="44">
        <v>1365.0508052596997</v>
      </c>
      <c r="C123" s="44">
        <v>-5873.000902757281</v>
      </c>
      <c r="D123" s="44">
        <v>11520.863465180286</v>
      </c>
      <c r="E123" s="45">
        <v>-121957.6122494445</v>
      </c>
      <c r="F123" s="44">
        <v>8657.324199956736</v>
      </c>
      <c r="G123" s="44">
        <v>0</v>
      </c>
      <c r="H123" s="44">
        <v>0</v>
      </c>
      <c r="I123" s="44">
        <v>0</v>
      </c>
    </row>
    <row r="124" spans="1:9" ht="15">
      <c r="A124" s="41" t="str">
        <f>HLOOKUP(INDICE!$F$2,Nombres!$C$3:$D$636,37,FALSE)</f>
        <v>Margen bruto</v>
      </c>
      <c r="B124" s="41">
        <f>+SUM(B120:B123)</f>
        <v>1150150.2474112888</v>
      </c>
      <c r="C124" s="41">
        <f aca="true" t="shared" si="19" ref="C124:I124">+SUM(C120:C123)</f>
        <v>1179792.1962120647</v>
      </c>
      <c r="D124" s="41">
        <f t="shared" si="19"/>
        <v>1178769.0728091695</v>
      </c>
      <c r="E124" s="42">
        <f t="shared" si="19"/>
        <v>1068663.2755882826</v>
      </c>
      <c r="F124" s="50">
        <f t="shared" si="19"/>
        <v>1173089.557674476</v>
      </c>
      <c r="G124" s="50">
        <f t="shared" si="19"/>
        <v>0</v>
      </c>
      <c r="H124" s="50">
        <f t="shared" si="19"/>
        <v>0</v>
      </c>
      <c r="I124" s="50">
        <f t="shared" si="19"/>
        <v>0</v>
      </c>
    </row>
    <row r="125" spans="1:9" ht="15">
      <c r="A125" s="43" t="str">
        <f>HLOOKUP(INDICE!$F$2,Nombres!$C$3:$D$636,38,FALSE)</f>
        <v>Gastos de explotación</v>
      </c>
      <c r="B125" s="44">
        <v>-389007.5323942357</v>
      </c>
      <c r="C125" s="44">
        <v>-412965.09048661886</v>
      </c>
      <c r="D125" s="44">
        <v>-451792.7238013071</v>
      </c>
      <c r="E125" s="45">
        <v>-595346.6729718101</v>
      </c>
      <c r="F125" s="44">
        <v>-543391.3892813174</v>
      </c>
      <c r="G125" s="44">
        <v>0</v>
      </c>
      <c r="H125" s="44">
        <v>0</v>
      </c>
      <c r="I125" s="44">
        <v>0</v>
      </c>
    </row>
    <row r="126" spans="1:9" ht="15">
      <c r="A126" s="43" t="str">
        <f>HLOOKUP(INDICE!$F$2,Nombres!$C$3:$D$636,39,FALSE)</f>
        <v>  Gastos de administración</v>
      </c>
      <c r="B126" s="44">
        <v>-357308.5069421919</v>
      </c>
      <c r="C126" s="44">
        <v>-381360.16713363247</v>
      </c>
      <c r="D126" s="44">
        <v>-420085.09969954076</v>
      </c>
      <c r="E126" s="45">
        <v>-561979.4888061944</v>
      </c>
      <c r="F126" s="44">
        <v>-508654.8335975971</v>
      </c>
      <c r="G126" s="44">
        <v>0</v>
      </c>
      <c r="H126" s="44">
        <v>0</v>
      </c>
      <c r="I126" s="44">
        <v>0</v>
      </c>
    </row>
    <row r="127" spans="1:9" ht="15">
      <c r="A127" s="46" t="str">
        <f>HLOOKUP(INDICE!$F$2,Nombres!$C$3:$D$636,40,FALSE)</f>
        <v>  Gastos de personal</v>
      </c>
      <c r="B127" s="44">
        <v>-180169.14937074142</v>
      </c>
      <c r="C127" s="44">
        <v>-191803.09001327585</v>
      </c>
      <c r="D127" s="44">
        <v>-195451.14192165</v>
      </c>
      <c r="E127" s="45">
        <v>-288485.64873660204</v>
      </c>
      <c r="F127" s="44">
        <v>-237139.1771562195</v>
      </c>
      <c r="G127" s="44">
        <v>0</v>
      </c>
      <c r="H127" s="44">
        <v>0</v>
      </c>
      <c r="I127" s="44">
        <v>0</v>
      </c>
    </row>
    <row r="128" spans="1:9" ht="15">
      <c r="A128" s="46" t="str">
        <f>HLOOKUP(INDICE!$F$2,Nombres!$C$3:$D$636,41,FALSE)</f>
        <v>  Otros gastos de administración</v>
      </c>
      <c r="B128" s="44">
        <v>-177139.35757145053</v>
      </c>
      <c r="C128" s="44">
        <v>-189557.07712035667</v>
      </c>
      <c r="D128" s="44">
        <v>-224633.95777789076</v>
      </c>
      <c r="E128" s="45">
        <v>-273493.84006959235</v>
      </c>
      <c r="F128" s="44">
        <v>-271515.65644137765</v>
      </c>
      <c r="G128" s="44">
        <v>0</v>
      </c>
      <c r="H128" s="44">
        <v>0</v>
      </c>
      <c r="I128" s="44">
        <v>0</v>
      </c>
    </row>
    <row r="129" spans="1:9" ht="15">
      <c r="A129" s="43" t="str">
        <f>HLOOKUP(INDICE!$F$2,Nombres!$C$3:$D$636,42,FALSE)</f>
        <v>  Amortización</v>
      </c>
      <c r="B129" s="44">
        <v>-31699.02545204381</v>
      </c>
      <c r="C129" s="44">
        <v>-31604.923352986385</v>
      </c>
      <c r="D129" s="44">
        <v>-31707.624101766276</v>
      </c>
      <c r="E129" s="45">
        <v>-33367.18416561567</v>
      </c>
      <c r="F129" s="44">
        <v>-34736.555683720275</v>
      </c>
      <c r="G129" s="44">
        <v>0</v>
      </c>
      <c r="H129" s="44">
        <v>0</v>
      </c>
      <c r="I129" s="44">
        <v>0</v>
      </c>
    </row>
    <row r="130" spans="1:9" ht="15">
      <c r="A130" s="41" t="str">
        <f>HLOOKUP(INDICE!$F$2,Nombres!$C$3:$D$636,43,FALSE)</f>
        <v>Margen neto</v>
      </c>
      <c r="B130" s="41">
        <f>+B124+B125</f>
        <v>761142.7150170531</v>
      </c>
      <c r="C130" s="41">
        <f aca="true" t="shared" si="20" ref="C130:I130">+C124+C125</f>
        <v>766827.1057254458</v>
      </c>
      <c r="D130" s="41">
        <f t="shared" si="20"/>
        <v>726976.3490078624</v>
      </c>
      <c r="E130" s="42">
        <f t="shared" si="20"/>
        <v>473316.6026164725</v>
      </c>
      <c r="F130" s="50">
        <f t="shared" si="20"/>
        <v>629698.1683931586</v>
      </c>
      <c r="G130" s="50">
        <f t="shared" si="20"/>
        <v>0</v>
      </c>
      <c r="H130" s="50">
        <f t="shared" si="20"/>
        <v>0</v>
      </c>
      <c r="I130" s="50">
        <f t="shared" si="20"/>
        <v>0</v>
      </c>
    </row>
    <row r="131" spans="1:9" ht="15">
      <c r="A131" s="43" t="str">
        <f>HLOOKUP(INDICE!$F$2,Nombres!$C$3:$D$636,44,FALSE)</f>
        <v>Deterioro de activos financieros no valorados a valor razonable con cambios en resultados</v>
      </c>
      <c r="B131" s="44">
        <v>-243347.73873057513</v>
      </c>
      <c r="C131" s="44">
        <v>-228677.0189142361</v>
      </c>
      <c r="D131" s="44">
        <v>-244615.4339047458</v>
      </c>
      <c r="E131" s="45">
        <v>-301447.238388304</v>
      </c>
      <c r="F131" s="44">
        <v>-308568.4862632373</v>
      </c>
      <c r="G131" s="44">
        <v>0</v>
      </c>
      <c r="H131" s="44">
        <v>0</v>
      </c>
      <c r="I131" s="44">
        <v>0</v>
      </c>
    </row>
    <row r="132" spans="1:9" ht="15">
      <c r="A132" s="43" t="str">
        <f>HLOOKUP(INDICE!$F$2,Nombres!$C$3:$D$636,45,FALSE)</f>
        <v>Provisiones o reversión de provisiones y otros resultados</v>
      </c>
      <c r="B132" s="44">
        <v>-7145.667880909347</v>
      </c>
      <c r="C132" s="44">
        <v>-14251.041128865512</v>
      </c>
      <c r="D132" s="44">
        <v>-23875.927163470456</v>
      </c>
      <c r="E132" s="45">
        <v>12138.886088483678</v>
      </c>
      <c r="F132" s="44">
        <v>-7181.237654949377</v>
      </c>
      <c r="G132" s="44">
        <v>0</v>
      </c>
      <c r="H132" s="44">
        <v>0</v>
      </c>
      <c r="I132" s="44">
        <v>0</v>
      </c>
    </row>
    <row r="133" spans="1:9" ht="15">
      <c r="A133" s="41" t="str">
        <f>HLOOKUP(INDICE!$F$2,Nombres!$C$3:$D$636,46,FALSE)</f>
        <v>Resultado antes de impuestos</v>
      </c>
      <c r="B133" s="41">
        <f>+B130+B131+B132</f>
        <v>510649.3084055686</v>
      </c>
      <c r="C133" s="41">
        <f aca="true" t="shared" si="21" ref="C133:I133">+C130+C131+C132</f>
        <v>523899.0456823442</v>
      </c>
      <c r="D133" s="41">
        <f t="shared" si="21"/>
        <v>458484.9879396461</v>
      </c>
      <c r="E133" s="42">
        <f t="shared" si="21"/>
        <v>184008.25031665218</v>
      </c>
      <c r="F133" s="50">
        <f t="shared" si="21"/>
        <v>313948.4444749719</v>
      </c>
      <c r="G133" s="50">
        <f t="shared" si="21"/>
        <v>0</v>
      </c>
      <c r="H133" s="50">
        <f t="shared" si="21"/>
        <v>0</v>
      </c>
      <c r="I133" s="50">
        <f t="shared" si="21"/>
        <v>0</v>
      </c>
    </row>
    <row r="134" spans="1:9" ht="15">
      <c r="A134" s="43" t="str">
        <f>HLOOKUP(INDICE!$F$2,Nombres!$C$3:$D$636,47,FALSE)</f>
        <v>Impuesto sobre beneficios</v>
      </c>
      <c r="B134" s="44">
        <v>-184716.72948504647</v>
      </c>
      <c r="C134" s="44">
        <v>-172952.04290090714</v>
      </c>
      <c r="D134" s="44">
        <v>-162762.10619970202</v>
      </c>
      <c r="E134" s="45">
        <v>-51288.32757670712</v>
      </c>
      <c r="F134" s="44">
        <v>-112996.6463518</v>
      </c>
      <c r="G134" s="44">
        <v>0</v>
      </c>
      <c r="H134" s="44">
        <v>0</v>
      </c>
      <c r="I134" s="44">
        <v>0</v>
      </c>
    </row>
    <row r="135" spans="1:9" ht="15">
      <c r="A135" s="41" t="str">
        <f>HLOOKUP(INDICE!$F$2,Nombres!$C$3:$D$636,48,FALSE)</f>
        <v>Resultado del ejercicio</v>
      </c>
      <c r="B135" s="41">
        <f>+B133+B134</f>
        <v>325932.5789205221</v>
      </c>
      <c r="C135" s="41">
        <f aca="true" t="shared" si="22" ref="C135:I135">+C133+C134</f>
        <v>350947.002781437</v>
      </c>
      <c r="D135" s="41">
        <f t="shared" si="22"/>
        <v>295722.8817399441</v>
      </c>
      <c r="E135" s="42">
        <f t="shared" si="22"/>
        <v>132719.92273994506</v>
      </c>
      <c r="F135" s="50">
        <f t="shared" si="22"/>
        <v>200951.7981231719</v>
      </c>
      <c r="G135" s="50">
        <f t="shared" si="22"/>
        <v>0</v>
      </c>
      <c r="H135" s="50">
        <f t="shared" si="22"/>
        <v>0</v>
      </c>
      <c r="I135" s="50">
        <f t="shared" si="22"/>
        <v>0</v>
      </c>
    </row>
    <row r="136" spans="1:9" ht="15">
      <c r="A136" s="43" t="str">
        <f>HLOOKUP(INDICE!$F$2,Nombres!$C$3:$D$636,49,FALSE)</f>
        <v>Minoritarios</v>
      </c>
      <c r="B136" s="44">
        <v>-11559.787636368794</v>
      </c>
      <c r="C136" s="44">
        <v>-10282.876437303286</v>
      </c>
      <c r="D136" s="44">
        <v>-7845.590006375629</v>
      </c>
      <c r="E136" s="45">
        <v>1919.3092875119273</v>
      </c>
      <c r="F136" s="44">
        <v>6629.155136379208</v>
      </c>
      <c r="G136" s="44">
        <v>0</v>
      </c>
      <c r="H136" s="44">
        <v>0</v>
      </c>
      <c r="I136" s="44">
        <v>0</v>
      </c>
    </row>
    <row r="137" spans="1:9" ht="15">
      <c r="A137" s="47" t="str">
        <f>HLOOKUP(INDICE!$F$2,Nombres!$C$3:$D$636,50,FALSE)</f>
        <v>Resultado atribuido</v>
      </c>
      <c r="B137" s="47">
        <f>+B135+B136</f>
        <v>314372.79128415335</v>
      </c>
      <c r="C137" s="47">
        <f aca="true" t="shared" si="23" ref="C137:I137">+C135+C136</f>
        <v>340664.12634413375</v>
      </c>
      <c r="D137" s="47">
        <f t="shared" si="23"/>
        <v>287877.2917335685</v>
      </c>
      <c r="E137" s="47">
        <f t="shared" si="23"/>
        <v>134639.23202745698</v>
      </c>
      <c r="F137" s="51">
        <f t="shared" si="23"/>
        <v>207580.9532595511</v>
      </c>
      <c r="G137" s="51">
        <f t="shared" si="23"/>
        <v>0</v>
      </c>
      <c r="H137" s="51">
        <f t="shared" si="23"/>
        <v>0</v>
      </c>
      <c r="I137" s="51">
        <f t="shared" si="23"/>
        <v>0</v>
      </c>
    </row>
    <row r="138" spans="1:9" ht="15">
      <c r="A138" s="62"/>
      <c r="B138" s="63">
        <v>0</v>
      </c>
      <c r="C138" s="63">
        <v>0</v>
      </c>
      <c r="D138" s="63">
        <v>0</v>
      </c>
      <c r="E138" s="63">
        <v>0</v>
      </c>
      <c r="F138" s="63">
        <v>2.3283064365386963E-10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HLOOKUP(INDICE!$F$2,Nombres!$C$3:$D$636,75,FALSE)</f>
        <v>(Millones de pesos colombianos)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8131289.224452658</v>
      </c>
      <c r="C143" s="44">
        <v>9816258.878197405</v>
      </c>
      <c r="D143" s="44">
        <v>10926503.293016782</v>
      </c>
      <c r="E143" s="45">
        <v>9546688.25140857</v>
      </c>
      <c r="F143" s="44">
        <v>7631244.645345563</v>
      </c>
      <c r="G143" s="44">
        <v>0</v>
      </c>
      <c r="H143" s="44">
        <v>0</v>
      </c>
      <c r="I143" s="44">
        <v>0</v>
      </c>
    </row>
    <row r="144" spans="1:9" ht="15">
      <c r="A144" s="43" t="str">
        <f>HLOOKUP(INDICE!$F$2,Nombres!$C$3:$D$636,53,FALSE)</f>
        <v>Activos financieros a valor razonable</v>
      </c>
      <c r="B144" s="58">
        <v>12553231.207499681</v>
      </c>
      <c r="C144" s="58">
        <v>15555816.331829248</v>
      </c>
      <c r="D144" s="58">
        <v>15780615.731717955</v>
      </c>
      <c r="E144" s="64">
        <v>16838859.952163793</v>
      </c>
      <c r="F144" s="44">
        <v>16046549.537596684</v>
      </c>
      <c r="G144" s="44">
        <v>0</v>
      </c>
      <c r="H144" s="44">
        <v>0</v>
      </c>
      <c r="I144" s="44">
        <v>0</v>
      </c>
    </row>
    <row r="145" spans="1:9" ht="15">
      <c r="A145" s="43" t="str">
        <f>HLOOKUP(INDICE!$F$2,Nombres!$C$3:$D$636,54,FALSE)</f>
        <v>Activos financieros a coste amortizado</v>
      </c>
      <c r="B145" s="44">
        <v>61719992.41149409</v>
      </c>
      <c r="C145" s="44">
        <v>66889448.6032601</v>
      </c>
      <c r="D145" s="44">
        <v>68177371.60388027</v>
      </c>
      <c r="E145" s="45">
        <v>71684805.85319655</v>
      </c>
      <c r="F145" s="44">
        <v>72670393.26008303</v>
      </c>
      <c r="G145" s="44">
        <v>0</v>
      </c>
      <c r="H145" s="44">
        <v>0</v>
      </c>
      <c r="I145" s="44">
        <v>0</v>
      </c>
    </row>
    <row r="146" spans="1:9" ht="15">
      <c r="A146" s="43" t="str">
        <f>HLOOKUP(INDICE!$F$2,Nombres!$C$3:$D$636,55,FALSE)</f>
        <v>    de los que préstamos y anticipos a la clientela</v>
      </c>
      <c r="B146" s="44">
        <v>58557472.790361</v>
      </c>
      <c r="C146" s="44">
        <v>62563236.24567498</v>
      </c>
      <c r="D146" s="44">
        <v>64618744.134239174</v>
      </c>
      <c r="E146" s="45">
        <v>67965381.2226444</v>
      </c>
      <c r="F146" s="44">
        <v>68971436.44517139</v>
      </c>
      <c r="G146" s="44">
        <v>0</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440381.3284557966</v>
      </c>
      <c r="C148" s="44">
        <v>435506.95216283906</v>
      </c>
      <c r="D148" s="44">
        <v>433807.5251225468</v>
      </c>
      <c r="E148" s="45">
        <v>437621.31816761894</v>
      </c>
      <c r="F148" s="44">
        <v>434894.02938398754</v>
      </c>
      <c r="G148" s="44">
        <v>0</v>
      </c>
      <c r="H148" s="44">
        <v>0</v>
      </c>
      <c r="I148" s="44">
        <v>0</v>
      </c>
    </row>
    <row r="149" spans="1:9" ht="15">
      <c r="A149" s="43" t="str">
        <f>HLOOKUP(INDICE!$F$2,Nombres!$C$3:$D$636,57,FALSE)</f>
        <v>Otros activos</v>
      </c>
      <c r="B149" s="58">
        <f>+B150-B148-B145-B144-B143</f>
        <v>2548687.6732527055</v>
      </c>
      <c r="C149" s="58">
        <f aca="true" t="shared" si="25" ref="C149:I149">+C150-C148-C145-C144-C143</f>
        <v>2863132.9370705765</v>
      </c>
      <c r="D149" s="58">
        <f t="shared" si="25"/>
        <v>3270012.4408756327</v>
      </c>
      <c r="E149" s="64">
        <f t="shared" si="25"/>
        <v>3227173.747976646</v>
      </c>
      <c r="F149" s="44">
        <f t="shared" si="25"/>
        <v>2853750.83884784</v>
      </c>
      <c r="G149" s="44">
        <f t="shared" si="25"/>
        <v>0</v>
      </c>
      <c r="H149" s="44">
        <f t="shared" si="25"/>
        <v>0</v>
      </c>
      <c r="I149" s="44">
        <f t="shared" si="25"/>
        <v>0</v>
      </c>
    </row>
    <row r="150" spans="1:9" ht="15">
      <c r="A150" s="47" t="str">
        <f>HLOOKUP(INDICE!$F$2,Nombres!$C$3:$D$636,58,FALSE)</f>
        <v>Total activo / pasivo</v>
      </c>
      <c r="B150" s="47">
        <v>85393581.84515493</v>
      </c>
      <c r="C150" s="47">
        <v>95560163.70252016</v>
      </c>
      <c r="D150" s="47">
        <v>98588310.5946132</v>
      </c>
      <c r="E150" s="47">
        <v>101735149.12291317</v>
      </c>
      <c r="F150" s="51">
        <v>99636832.31125711</v>
      </c>
      <c r="G150" s="51">
        <v>0</v>
      </c>
      <c r="H150" s="51">
        <v>0</v>
      </c>
      <c r="I150" s="51">
        <v>0</v>
      </c>
    </row>
    <row r="151" spans="1:9" ht="15">
      <c r="A151" s="43" t="str">
        <f>HLOOKUP(INDICE!$F$2,Nombres!$C$3:$D$636,59,FALSE)</f>
        <v>Pasivos financieros mantenidos para negociar y designados a valor razonable con cambios en resultados</v>
      </c>
      <c r="B151" s="58">
        <v>8987290.83369191</v>
      </c>
      <c r="C151" s="58">
        <v>11546316.81580303</v>
      </c>
      <c r="D151" s="58">
        <v>13682294.820513805</v>
      </c>
      <c r="E151" s="64">
        <v>12492060.267059054</v>
      </c>
      <c r="F151" s="44">
        <v>10171114.745468462</v>
      </c>
      <c r="G151" s="44">
        <v>0</v>
      </c>
      <c r="H151" s="44">
        <v>0</v>
      </c>
      <c r="I151" s="44">
        <v>0</v>
      </c>
    </row>
    <row r="152" spans="1:9" ht="15">
      <c r="A152" s="43" t="str">
        <f>HLOOKUP(INDICE!$F$2,Nombres!$C$3:$D$636,60,FALSE)</f>
        <v>Depósitos de bancos centrales y entidades de crédito</v>
      </c>
      <c r="B152" s="58">
        <v>6304093.667785421</v>
      </c>
      <c r="C152" s="58">
        <v>3714441.337265419</v>
      </c>
      <c r="D152" s="58">
        <v>5275337.893314839</v>
      </c>
      <c r="E152" s="64">
        <v>6773282.322986738</v>
      </c>
      <c r="F152" s="44">
        <v>5662962.063772575</v>
      </c>
      <c r="G152" s="44">
        <v>0</v>
      </c>
      <c r="H152" s="44">
        <v>0</v>
      </c>
      <c r="I152" s="44">
        <v>0</v>
      </c>
    </row>
    <row r="153" spans="1:9" ht="15">
      <c r="A153" s="43" t="str">
        <f>HLOOKUP(INDICE!$F$2,Nombres!$C$3:$D$636,61,FALSE)</f>
        <v>Depósitos de la clientela</v>
      </c>
      <c r="B153" s="58">
        <v>55952632.21146009</v>
      </c>
      <c r="C153" s="58">
        <v>65558627.87966287</v>
      </c>
      <c r="D153" s="58">
        <v>64112046.30668473</v>
      </c>
      <c r="E153" s="64">
        <v>66963244.462691225</v>
      </c>
      <c r="F153" s="44">
        <v>68561295.59180003</v>
      </c>
      <c r="G153" s="44">
        <v>0</v>
      </c>
      <c r="H153" s="44">
        <v>0</v>
      </c>
      <c r="I153" s="44">
        <v>0</v>
      </c>
    </row>
    <row r="154" spans="1:9" ht="15">
      <c r="A154" s="43" t="str">
        <f>HLOOKUP(INDICE!$F$2,Nombres!$C$3:$D$636,62,FALSE)</f>
        <v>Valores representativos de deuda emitidos</v>
      </c>
      <c r="B154" s="44">
        <v>3653584.586303995</v>
      </c>
      <c r="C154" s="44">
        <v>3972900.1091882037</v>
      </c>
      <c r="D154" s="44">
        <v>4275996.740360166</v>
      </c>
      <c r="E154" s="45">
        <v>4469356.011681318</v>
      </c>
      <c r="F154" s="44">
        <v>4112621.1305650575</v>
      </c>
      <c r="G154" s="44">
        <v>0</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2907294.4995835554</v>
      </c>
      <c r="C156" s="58">
        <f aca="true" t="shared" si="26" ref="C156:I156">+C150-C151-C152-C153-C154-C157</f>
        <v>2147197.27368694</v>
      </c>
      <c r="D156" s="58">
        <f t="shared" si="26"/>
        <v>2272188.082586214</v>
      </c>
      <c r="E156" s="64">
        <f t="shared" si="26"/>
        <v>1594925.554327283</v>
      </c>
      <c r="F156" s="44">
        <f t="shared" si="26"/>
        <v>1978789.9523380995</v>
      </c>
      <c r="G156" s="44">
        <f t="shared" si="26"/>
        <v>0</v>
      </c>
      <c r="H156" s="44">
        <f t="shared" si="26"/>
        <v>0</v>
      </c>
      <c r="I156" s="44">
        <f t="shared" si="26"/>
        <v>0</v>
      </c>
    </row>
    <row r="157" spans="1:9" ht="15.75" customHeight="1">
      <c r="A157" s="43" t="str">
        <f>HLOOKUP(INDICE!$F$2,Nombres!$C$3:$D$636,282,FALSE)</f>
        <v>Dotación de capital regulatorio</v>
      </c>
      <c r="B157" s="58">
        <v>7588686.046329955</v>
      </c>
      <c r="C157" s="58">
        <v>8620680.286913695</v>
      </c>
      <c r="D157" s="58">
        <v>8970446.751153443</v>
      </c>
      <c r="E157" s="64">
        <v>9442280.504167546</v>
      </c>
      <c r="F157" s="44">
        <v>9150048.827312876</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HLOOKUP(INDICE!$F$2,Nombres!$C$3:$D$636,75,FALSE)</f>
        <v>(Millones de pesos colombianos)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61772464.529154286</v>
      </c>
      <c r="C163" s="44">
        <v>65755393.35294196</v>
      </c>
      <c r="D163" s="44">
        <v>67823151.85973297</v>
      </c>
      <c r="E163" s="45">
        <v>71221767.74416637</v>
      </c>
      <c r="F163" s="44">
        <v>72280396.12770756</v>
      </c>
      <c r="G163" s="44">
        <v>0</v>
      </c>
      <c r="H163" s="44">
        <v>0</v>
      </c>
      <c r="I163" s="44">
        <v>0</v>
      </c>
    </row>
    <row r="164" spans="1:9" ht="15">
      <c r="A164" s="43" t="str">
        <f>HLOOKUP(INDICE!$F$2,Nombres!$C$3:$D$636,67,FALSE)</f>
        <v>Depósitos de clientes en gestión (**)</v>
      </c>
      <c r="B164" s="44">
        <v>55952632.2114601</v>
      </c>
      <c r="C164" s="44">
        <v>65558627.87966288</v>
      </c>
      <c r="D164" s="44">
        <v>64112046.30668473</v>
      </c>
      <c r="E164" s="45">
        <v>66963244.4626912</v>
      </c>
      <c r="F164" s="44">
        <v>68561295.59180003</v>
      </c>
      <c r="G164" s="44">
        <v>0</v>
      </c>
      <c r="H164" s="44">
        <v>0</v>
      </c>
      <c r="I164" s="44">
        <v>0</v>
      </c>
    </row>
    <row r="165" spans="1:9" ht="15">
      <c r="A165" s="43" t="str">
        <f>HLOOKUP(INDICE!$F$2,Nombres!$C$3:$D$636,68,FALSE)</f>
        <v>Fondos de inversión y carteras gestionadas</v>
      </c>
      <c r="B165" s="44">
        <v>10704117.431941915</v>
      </c>
      <c r="C165" s="44">
        <v>9899569.921418654</v>
      </c>
      <c r="D165" s="44">
        <v>10103249.844948512</v>
      </c>
      <c r="E165" s="45">
        <v>10495138.258851217</v>
      </c>
      <c r="F165" s="44">
        <v>12164435.737036308</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261" operator="notBetween">
      <formula>0.5</formula>
      <formula>-0.5</formula>
    </cfRule>
  </conditionalFormatting>
  <conditionalFormatting sqref="B82:I82">
    <cfRule type="cellIs" priority="2" dxfId="261" operator="notBetween">
      <formula>0.5</formula>
      <formula>-0.5</formula>
    </cfRule>
  </conditionalFormatting>
  <conditionalFormatting sqref="B138:I138">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8">
      <c r="A1" s="82"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218.20399999999995</v>
      </c>
      <c r="C8" s="41">
        <v>262.255</v>
      </c>
      <c r="D8" s="41">
        <v>292.43999999999994</v>
      </c>
      <c r="E8" s="42">
        <v>306.841</v>
      </c>
      <c r="F8" s="50">
        <v>303.92299999999994</v>
      </c>
      <c r="G8" s="50">
        <v>0</v>
      </c>
      <c r="H8" s="237">
        <v>0</v>
      </c>
      <c r="I8" s="237">
        <v>0</v>
      </c>
      <c r="J8" s="86"/>
      <c r="K8" s="86"/>
      <c r="L8" s="86"/>
      <c r="M8" s="86"/>
      <c r="N8" s="86"/>
      <c r="O8" s="86"/>
    </row>
    <row r="9" spans="1:9" ht="15">
      <c r="A9" s="87" t="str">
        <f>HLOOKUP(INDICE!$F$2,Nombres!$C$3:$D$636,34,FALSE)</f>
        <v>Comisiones netas</v>
      </c>
      <c r="B9" s="44">
        <v>63.51501187999999</v>
      </c>
      <c r="C9" s="44">
        <v>75.50539903</v>
      </c>
      <c r="D9" s="44">
        <v>71.98586402999999</v>
      </c>
      <c r="E9" s="45">
        <v>67.69021174</v>
      </c>
      <c r="F9" s="44">
        <v>73.36634266</v>
      </c>
      <c r="G9" s="44">
        <v>0</v>
      </c>
      <c r="H9" s="44">
        <v>0</v>
      </c>
      <c r="I9" s="44">
        <v>0</v>
      </c>
    </row>
    <row r="10" spans="1:9" ht="15">
      <c r="A10" s="87" t="str">
        <f>HLOOKUP(INDICE!$F$2,Nombres!$C$3:$D$636,35,FALSE)</f>
        <v>Resultados de operaciones financieras</v>
      </c>
      <c r="B10" s="44">
        <v>33.20376918000001</v>
      </c>
      <c r="C10" s="44">
        <v>41.37323429</v>
      </c>
      <c r="D10" s="44">
        <v>45.19068422</v>
      </c>
      <c r="E10" s="45">
        <v>42.070255339999996</v>
      </c>
      <c r="F10" s="44">
        <v>47.37591041</v>
      </c>
      <c r="G10" s="44">
        <v>0</v>
      </c>
      <c r="H10" s="44">
        <v>0</v>
      </c>
      <c r="I10" s="44">
        <v>0</v>
      </c>
    </row>
    <row r="11" spans="1:9" ht="15">
      <c r="A11" s="87" t="str">
        <f>HLOOKUP(INDICE!$F$2,Nombres!$C$3:$D$636,36,FALSE)</f>
        <v>Otros ingresos y cargas de explotación</v>
      </c>
      <c r="B11" s="44">
        <v>-8.483000000000002</v>
      </c>
      <c r="C11" s="44">
        <v>-8.852</v>
      </c>
      <c r="D11" s="44">
        <v>-8.345999999999997</v>
      </c>
      <c r="E11" s="45">
        <v>-10.532</v>
      </c>
      <c r="F11" s="44">
        <v>-12.957</v>
      </c>
      <c r="G11" s="44">
        <v>0</v>
      </c>
      <c r="H11" s="44">
        <v>0</v>
      </c>
      <c r="I11" s="44">
        <v>0</v>
      </c>
    </row>
    <row r="12" spans="1:9" ht="15">
      <c r="A12" s="41" t="str">
        <f>HLOOKUP(INDICE!$F$2,Nombres!$C$3:$D$636,37,FALSE)</f>
        <v>Margen bruto</v>
      </c>
      <c r="B12" s="41">
        <f aca="true" t="shared" si="0" ref="B12:I12">+SUM(B8:B11)</f>
        <v>306.4397810599999</v>
      </c>
      <c r="C12" s="41">
        <f t="shared" si="0"/>
        <v>370.2816333200001</v>
      </c>
      <c r="D12" s="41">
        <f t="shared" si="0"/>
        <v>401.27054824999993</v>
      </c>
      <c r="E12" s="42">
        <f t="shared" si="0"/>
        <v>406.06946708000004</v>
      </c>
      <c r="F12" s="50">
        <f t="shared" si="0"/>
        <v>411.70825306999996</v>
      </c>
      <c r="G12" s="50">
        <f t="shared" si="0"/>
        <v>0</v>
      </c>
      <c r="H12" s="50">
        <f t="shared" si="0"/>
        <v>0</v>
      </c>
      <c r="I12" s="50">
        <f t="shared" si="0"/>
        <v>0</v>
      </c>
    </row>
    <row r="13" spans="1:9" ht="15">
      <c r="A13" s="87" t="str">
        <f>HLOOKUP(INDICE!$F$2,Nombres!$C$3:$D$636,38,FALSE)</f>
        <v>Gastos de explotación</v>
      </c>
      <c r="B13" s="44">
        <v>-119.00970702000001</v>
      </c>
      <c r="C13" s="44">
        <v>-130.94358369</v>
      </c>
      <c r="D13" s="44">
        <v>-148.16788755000005</v>
      </c>
      <c r="E13" s="45">
        <v>-153.96008085999998</v>
      </c>
      <c r="F13" s="44">
        <v>-153.68057466000002</v>
      </c>
      <c r="G13" s="44">
        <v>0</v>
      </c>
      <c r="H13" s="44">
        <v>0</v>
      </c>
      <c r="I13" s="44">
        <v>0</v>
      </c>
    </row>
    <row r="14" spans="1:9" ht="15">
      <c r="A14" s="87" t="str">
        <f>HLOOKUP(INDICE!$F$2,Nombres!$C$3:$D$636,39,FALSE)</f>
        <v>  Gastos de administración</v>
      </c>
      <c r="B14" s="44">
        <v>-102.51670702000001</v>
      </c>
      <c r="C14" s="44">
        <v>-113.09858369</v>
      </c>
      <c r="D14" s="44">
        <v>-130.19688755</v>
      </c>
      <c r="E14" s="45">
        <v>-136.28008085999997</v>
      </c>
      <c r="F14" s="44">
        <v>-134.34757466</v>
      </c>
      <c r="G14" s="44">
        <v>0</v>
      </c>
      <c r="H14" s="44">
        <v>0</v>
      </c>
      <c r="I14" s="44">
        <v>0</v>
      </c>
    </row>
    <row r="15" spans="1:9" ht="15">
      <c r="A15" s="88" t="str">
        <f>HLOOKUP(INDICE!$F$2,Nombres!$C$3:$D$636,40,FALSE)</f>
        <v>  Gastos de personal</v>
      </c>
      <c r="B15" s="44">
        <v>-53.595</v>
      </c>
      <c r="C15" s="44">
        <v>-59.07700000000001</v>
      </c>
      <c r="D15" s="44">
        <v>-67.195</v>
      </c>
      <c r="E15" s="45">
        <v>-72.404</v>
      </c>
      <c r="F15" s="44">
        <v>-68.283</v>
      </c>
      <c r="G15" s="44">
        <v>0</v>
      </c>
      <c r="H15" s="44">
        <v>0</v>
      </c>
      <c r="I15" s="44">
        <v>0</v>
      </c>
    </row>
    <row r="16" spans="1:9" ht="15">
      <c r="A16" s="88" t="str">
        <f>HLOOKUP(INDICE!$F$2,Nombres!$C$3:$D$636,41,FALSE)</f>
        <v>  Otros gastos de administración</v>
      </c>
      <c r="B16" s="44">
        <v>-48.92170701999999</v>
      </c>
      <c r="C16" s="44">
        <v>-54.021583690000014</v>
      </c>
      <c r="D16" s="44">
        <v>-63.001887550000006</v>
      </c>
      <c r="E16" s="45">
        <v>-63.87608085999997</v>
      </c>
      <c r="F16" s="44">
        <v>-66.06457466</v>
      </c>
      <c r="G16" s="44">
        <v>0</v>
      </c>
      <c r="H16" s="44">
        <v>0</v>
      </c>
      <c r="I16" s="44">
        <v>0</v>
      </c>
    </row>
    <row r="17" spans="1:9" ht="15">
      <c r="A17" s="87" t="str">
        <f>HLOOKUP(INDICE!$F$2,Nombres!$C$3:$D$636,42,FALSE)</f>
        <v>  Amortización</v>
      </c>
      <c r="B17" s="44">
        <v>-16.493000000000002</v>
      </c>
      <c r="C17" s="44">
        <v>-17.845</v>
      </c>
      <c r="D17" s="44">
        <v>-17.971000000000004</v>
      </c>
      <c r="E17" s="45">
        <v>-17.679999999999996</v>
      </c>
      <c r="F17" s="44">
        <v>-19.333</v>
      </c>
      <c r="G17" s="44">
        <v>0</v>
      </c>
      <c r="H17" s="44">
        <v>0</v>
      </c>
      <c r="I17" s="44">
        <v>0</v>
      </c>
    </row>
    <row r="18" spans="1:9" ht="15">
      <c r="A18" s="41" t="str">
        <f>HLOOKUP(INDICE!$F$2,Nombres!$C$3:$D$636,43,FALSE)</f>
        <v>Margen neto</v>
      </c>
      <c r="B18" s="41">
        <f aca="true" t="shared" si="1" ref="B18:I18">+B12+B13</f>
        <v>187.4300740399999</v>
      </c>
      <c r="C18" s="41">
        <f t="shared" si="1"/>
        <v>239.33804963000009</v>
      </c>
      <c r="D18" s="41">
        <f t="shared" si="1"/>
        <v>253.1026606999999</v>
      </c>
      <c r="E18" s="42">
        <f t="shared" si="1"/>
        <v>252.10938622000006</v>
      </c>
      <c r="F18" s="50">
        <f t="shared" si="1"/>
        <v>258.0276784099999</v>
      </c>
      <c r="G18" s="50">
        <f t="shared" si="1"/>
        <v>0</v>
      </c>
      <c r="H18" s="50">
        <f t="shared" si="1"/>
        <v>0</v>
      </c>
      <c r="I18" s="50">
        <f t="shared" si="1"/>
        <v>0</v>
      </c>
    </row>
    <row r="19" spans="1:9" ht="15">
      <c r="A19" s="87" t="str">
        <f>HLOOKUP(INDICE!$F$2,Nombres!$C$3:$D$636,44,FALSE)</f>
        <v>Deterioro de activos financieros no valorados a valor razonable con cambios en resultados</v>
      </c>
      <c r="B19" s="44">
        <v>-30.826999999999998</v>
      </c>
      <c r="C19" s="44">
        <v>-43.44600000000002</v>
      </c>
      <c r="D19" s="44">
        <v>-88.217</v>
      </c>
      <c r="E19" s="45">
        <v>-123.83900000000001</v>
      </c>
      <c r="F19" s="44">
        <v>-92.02100000000002</v>
      </c>
      <c r="G19" s="44">
        <v>0</v>
      </c>
      <c r="H19" s="44">
        <v>0</v>
      </c>
      <c r="I19" s="44">
        <v>0</v>
      </c>
    </row>
    <row r="20" spans="1:9" ht="15">
      <c r="A20" s="87" t="str">
        <f>HLOOKUP(INDICE!$F$2,Nombres!$C$3:$D$636,45,FALSE)</f>
        <v>Provisiones o reversión de provisiones y otros resultados</v>
      </c>
      <c r="B20" s="44">
        <v>-9.047</v>
      </c>
      <c r="C20" s="44">
        <v>-8.422999999999977</v>
      </c>
      <c r="D20" s="44">
        <v>-11.660000000000002</v>
      </c>
      <c r="E20" s="45">
        <v>-9.266000000000002</v>
      </c>
      <c r="F20" s="44">
        <v>2.087</v>
      </c>
      <c r="G20" s="44">
        <v>0</v>
      </c>
      <c r="H20" s="44">
        <v>0</v>
      </c>
      <c r="I20" s="44">
        <v>0</v>
      </c>
    </row>
    <row r="21" spans="1:9" ht="15">
      <c r="A21" s="89" t="str">
        <f>HLOOKUP(INDICE!$F$2,Nombres!$C$3:$D$636,46,FALSE)</f>
        <v>Resultado antes de impuestos</v>
      </c>
      <c r="B21" s="41">
        <f aca="true" t="shared" si="2" ref="B21:I21">+B18+B19+B20</f>
        <v>147.5560740399999</v>
      </c>
      <c r="C21" s="41">
        <f t="shared" si="2"/>
        <v>187.4690496300001</v>
      </c>
      <c r="D21" s="41">
        <f t="shared" si="2"/>
        <v>153.2256606999999</v>
      </c>
      <c r="E21" s="42">
        <f t="shared" si="2"/>
        <v>119.00438622000003</v>
      </c>
      <c r="F21" s="50">
        <f t="shared" si="2"/>
        <v>168.09367840999988</v>
      </c>
      <c r="G21" s="50">
        <f t="shared" si="2"/>
        <v>0</v>
      </c>
      <c r="H21" s="50">
        <f t="shared" si="2"/>
        <v>0</v>
      </c>
      <c r="I21" s="50">
        <f t="shared" si="2"/>
        <v>0</v>
      </c>
    </row>
    <row r="22" spans="1:9" ht="15">
      <c r="A22" s="43" t="str">
        <f>HLOOKUP(INDICE!$F$2,Nombres!$C$3:$D$636,47,FALSE)</f>
        <v>Impuesto sobre beneficios</v>
      </c>
      <c r="B22" s="44">
        <v>-37.535995320000005</v>
      </c>
      <c r="C22" s="44">
        <v>-50.323949490000004</v>
      </c>
      <c r="D22" s="44">
        <v>-39.59375947000001</v>
      </c>
      <c r="E22" s="45">
        <v>-38.45487958999999</v>
      </c>
      <c r="F22" s="44">
        <v>-46.36123809</v>
      </c>
      <c r="G22" s="44">
        <v>0</v>
      </c>
      <c r="H22" s="44">
        <v>0</v>
      </c>
      <c r="I22" s="44">
        <v>0</v>
      </c>
    </row>
    <row r="23" spans="1:9" ht="15">
      <c r="A23" s="89" t="str">
        <f>HLOOKUP(INDICE!$F$2,Nombres!$C$3:$D$636,48,FALSE)</f>
        <v>Resultado del ejercicio</v>
      </c>
      <c r="B23" s="41">
        <f aca="true" t="shared" si="3" ref="B23:I23">+B21+B22</f>
        <v>110.0200787199999</v>
      </c>
      <c r="C23" s="41">
        <f t="shared" si="3"/>
        <v>137.14510014000007</v>
      </c>
      <c r="D23" s="41">
        <f t="shared" si="3"/>
        <v>113.6319012299999</v>
      </c>
      <c r="E23" s="42">
        <f t="shared" si="3"/>
        <v>80.54950663000004</v>
      </c>
      <c r="F23" s="50">
        <f t="shared" si="3"/>
        <v>121.73244031999988</v>
      </c>
      <c r="G23" s="50">
        <f t="shared" si="3"/>
        <v>0</v>
      </c>
      <c r="H23" s="50">
        <f t="shared" si="3"/>
        <v>0</v>
      </c>
      <c r="I23" s="50">
        <f t="shared" si="3"/>
        <v>0</v>
      </c>
    </row>
    <row r="24" spans="1:9" ht="15">
      <c r="A24" s="87" t="str">
        <f>HLOOKUP(INDICE!$F$2,Nombres!$C$3:$D$636,49,FALSE)</f>
        <v>Minoritarios</v>
      </c>
      <c r="B24" s="44">
        <v>-59.35333915</v>
      </c>
      <c r="C24" s="44">
        <v>-70.39765243</v>
      </c>
      <c r="D24" s="44">
        <v>-62.723915610000006</v>
      </c>
      <c r="E24" s="45">
        <v>-43.35294272999999</v>
      </c>
      <c r="F24" s="44">
        <v>-64.55076044</v>
      </c>
      <c r="G24" s="44">
        <v>0</v>
      </c>
      <c r="H24" s="44">
        <v>0</v>
      </c>
      <c r="I24" s="44">
        <v>0</v>
      </c>
    </row>
    <row r="25" spans="1:9" ht="15">
      <c r="A25" s="90" t="str">
        <f>HLOOKUP(INDICE!$F$2,Nombres!$C$3:$D$636,50,FALSE)</f>
        <v>Resultado atribuido</v>
      </c>
      <c r="B25" s="47">
        <f aca="true" t="shared" si="4" ref="B25:I25">+B23+B24</f>
        <v>50.666739569999905</v>
      </c>
      <c r="C25" s="47">
        <f t="shared" si="4"/>
        <v>66.74744771000007</v>
      </c>
      <c r="D25" s="47">
        <f t="shared" si="4"/>
        <v>50.90798561999989</v>
      </c>
      <c r="E25" s="47">
        <f t="shared" si="4"/>
        <v>37.19656390000005</v>
      </c>
      <c r="F25" s="51">
        <f t="shared" si="4"/>
        <v>57.18167987999988</v>
      </c>
      <c r="G25" s="51">
        <f t="shared" si="4"/>
        <v>0</v>
      </c>
      <c r="H25" s="51">
        <f t="shared" si="4"/>
        <v>0</v>
      </c>
      <c r="I25" s="51">
        <f t="shared" si="4"/>
        <v>0</v>
      </c>
    </row>
    <row r="26" spans="1:9" ht="15">
      <c r="A26" s="91"/>
      <c r="B26" s="63">
        <v>-1.2789769243681803E-13</v>
      </c>
      <c r="C26" s="63">
        <v>0</v>
      </c>
      <c r="D26" s="63">
        <v>-8.526512829121202E-14</v>
      </c>
      <c r="E26" s="63">
        <v>0</v>
      </c>
      <c r="F26" s="63">
        <v>-1.1368683772161603E-13</v>
      </c>
      <c r="G26" s="63">
        <v>0</v>
      </c>
      <c r="H26" s="63">
        <v>0</v>
      </c>
      <c r="I26" s="63">
        <v>0</v>
      </c>
    </row>
    <row r="27" spans="1:9" ht="15">
      <c r="A27" s="89"/>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87" t="str">
        <f>HLOOKUP(INDICE!$F$2,Nombres!$C$3:$D$636,52,FALSE)</f>
        <v>Efectivo, saldos en efectivo en bancos centrales y otros depósitos a la vista</v>
      </c>
      <c r="B31" s="44">
        <v>3470.1679999999997</v>
      </c>
      <c r="C31" s="44">
        <v>3729.0200000000004</v>
      </c>
      <c r="D31" s="44">
        <v>4383.277</v>
      </c>
      <c r="E31" s="45">
        <v>2912.387</v>
      </c>
      <c r="F31" s="44">
        <v>3306.83</v>
      </c>
      <c r="G31" s="44">
        <v>0</v>
      </c>
      <c r="H31" s="44">
        <v>0</v>
      </c>
      <c r="I31" s="44">
        <v>0</v>
      </c>
    </row>
    <row r="32" spans="1:9" ht="15">
      <c r="A32" s="87" t="str">
        <f>HLOOKUP(INDICE!$F$2,Nombres!$C$3:$D$636,53,FALSE)</f>
        <v>Activos financieros a valor razonable</v>
      </c>
      <c r="B32" s="58">
        <v>2913.6949999999997</v>
      </c>
      <c r="C32" s="58">
        <v>2986.973</v>
      </c>
      <c r="D32" s="58">
        <v>3344.2919999999995</v>
      </c>
      <c r="E32" s="64">
        <v>3185.991</v>
      </c>
      <c r="F32" s="44">
        <v>3207.4750000000004</v>
      </c>
      <c r="G32" s="44">
        <v>0</v>
      </c>
      <c r="H32" s="44">
        <v>0</v>
      </c>
      <c r="I32" s="44">
        <v>0</v>
      </c>
    </row>
    <row r="33" spans="1:9" ht="15">
      <c r="A33" s="43" t="str">
        <f>HLOOKUP(INDICE!$F$2,Nombres!$C$3:$D$636,54,FALSE)</f>
        <v>Activos financieros a coste amortizado</v>
      </c>
      <c r="B33" s="44">
        <v>17268.314000000002</v>
      </c>
      <c r="C33" s="44">
        <v>18041.945</v>
      </c>
      <c r="D33" s="44">
        <v>19025.966000000004</v>
      </c>
      <c r="E33" s="45">
        <v>17303.597999999998</v>
      </c>
      <c r="F33" s="44">
        <v>17628.758999999995</v>
      </c>
      <c r="G33" s="44">
        <v>0</v>
      </c>
      <c r="H33" s="44">
        <v>0</v>
      </c>
      <c r="I33" s="44">
        <v>0</v>
      </c>
    </row>
    <row r="34" spans="1:9" ht="15">
      <c r="A34" s="87" t="str">
        <f>HLOOKUP(INDICE!$F$2,Nombres!$C$3:$D$636,55,FALSE)</f>
        <v>    de los que préstamos y anticipos a la clientela</v>
      </c>
      <c r="B34" s="44">
        <v>16947.196</v>
      </c>
      <c r="C34" s="44">
        <v>17677.086</v>
      </c>
      <c r="D34" s="44">
        <v>18066.41</v>
      </c>
      <c r="E34" s="45">
        <v>16998.711</v>
      </c>
      <c r="F34" s="44">
        <v>17099.629999999997</v>
      </c>
      <c r="G34" s="44">
        <v>0</v>
      </c>
      <c r="H34" s="44">
        <v>0</v>
      </c>
      <c r="I34" s="44">
        <v>0</v>
      </c>
    </row>
    <row r="35" spans="1:9" ht="15" customHeight="1" hidden="1">
      <c r="A35" s="87"/>
      <c r="B35" s="44"/>
      <c r="C35" s="44"/>
      <c r="D35" s="44"/>
      <c r="E35" s="45"/>
      <c r="F35" s="44"/>
      <c r="G35" s="44"/>
      <c r="H35" s="44"/>
      <c r="I35" s="44"/>
    </row>
    <row r="36" spans="1:9" ht="15">
      <c r="A36" s="43" t="str">
        <f>HLOOKUP(INDICE!$F$2,Nombres!$C$3:$D$636,56,FALSE)</f>
        <v>Activos tangibles</v>
      </c>
      <c r="B36" s="44">
        <v>288.717</v>
      </c>
      <c r="C36" s="44">
        <v>298.78</v>
      </c>
      <c r="D36" s="44">
        <v>315.13899999999995</v>
      </c>
      <c r="E36" s="45">
        <v>310.281</v>
      </c>
      <c r="F36" s="44">
        <v>306.857</v>
      </c>
      <c r="G36" s="44">
        <v>0</v>
      </c>
      <c r="H36" s="44">
        <v>0</v>
      </c>
      <c r="I36" s="44">
        <v>0</v>
      </c>
    </row>
    <row r="37" spans="1:9" ht="15">
      <c r="A37" s="87" t="str">
        <f>HLOOKUP(INDICE!$F$2,Nombres!$C$3:$D$636,57,FALSE)</f>
        <v>Otros activos</v>
      </c>
      <c r="B37" s="58">
        <f aca="true" t="shared" si="5" ref="B37:I37">+B38-B36-B33-B32-B31</f>
        <v>443.0927348899986</v>
      </c>
      <c r="C37" s="58">
        <f t="shared" si="5"/>
        <v>470.6485883399964</v>
      </c>
      <c r="D37" s="58">
        <f t="shared" si="5"/>
        <v>469.59934287000215</v>
      </c>
      <c r="E37" s="64">
        <f t="shared" si="5"/>
        <v>507.7397496300041</v>
      </c>
      <c r="F37" s="44">
        <f t="shared" si="5"/>
        <v>539.4309179800039</v>
      </c>
      <c r="G37" s="44">
        <f t="shared" si="5"/>
        <v>0</v>
      </c>
      <c r="H37" s="44">
        <f t="shared" si="5"/>
        <v>0</v>
      </c>
      <c r="I37" s="44">
        <f t="shared" si="5"/>
        <v>0</v>
      </c>
    </row>
    <row r="38" spans="1:9" ht="15">
      <c r="A38" s="90" t="str">
        <f>HLOOKUP(INDICE!$F$2,Nombres!$C$3:$D$636,58,FALSE)</f>
        <v>Total activo / pasivo</v>
      </c>
      <c r="B38" s="47">
        <v>24383.98673489</v>
      </c>
      <c r="C38" s="47">
        <v>25527.366588339995</v>
      </c>
      <c r="D38" s="47">
        <v>27538.273342870005</v>
      </c>
      <c r="E38" s="47">
        <v>24219.99674963</v>
      </c>
      <c r="F38" s="51">
        <v>24989.35191798</v>
      </c>
      <c r="G38" s="51">
        <v>0</v>
      </c>
      <c r="H38" s="51">
        <v>0</v>
      </c>
      <c r="I38" s="51">
        <v>0</v>
      </c>
    </row>
    <row r="39" spans="1:9" ht="15">
      <c r="A39" s="87" t="str">
        <f>HLOOKUP(INDICE!$F$2,Nombres!$C$3:$D$636,59,FALSE)</f>
        <v>Pasivos financieros mantenidos para negociar y designados a valor razonable con cambios en resultados</v>
      </c>
      <c r="B39" s="58">
        <v>421.15200000000004</v>
      </c>
      <c r="C39" s="58">
        <v>410.173</v>
      </c>
      <c r="D39" s="58">
        <v>459.85699999999997</v>
      </c>
      <c r="E39" s="64">
        <v>376.86699999999996</v>
      </c>
      <c r="F39" s="44">
        <v>366.334</v>
      </c>
      <c r="G39" s="44">
        <v>0</v>
      </c>
      <c r="H39" s="44">
        <v>0</v>
      </c>
      <c r="I39" s="44">
        <v>0</v>
      </c>
    </row>
    <row r="40" spans="1:9" ht="15.75" customHeight="1">
      <c r="A40" s="87" t="str">
        <f>HLOOKUP(INDICE!$F$2,Nombres!$C$3:$D$636,60,FALSE)</f>
        <v>Depósitos de bancos centrales y entidades de crédito</v>
      </c>
      <c r="B40" s="58">
        <v>4168.018</v>
      </c>
      <c r="C40" s="58">
        <v>4008.562</v>
      </c>
      <c r="D40" s="58">
        <v>3885.9220000000005</v>
      </c>
      <c r="E40" s="64">
        <v>3097.4950000000003</v>
      </c>
      <c r="F40" s="44">
        <v>3043.391</v>
      </c>
      <c r="G40" s="44">
        <v>0</v>
      </c>
      <c r="H40" s="44">
        <v>0</v>
      </c>
      <c r="I40" s="44">
        <v>0</v>
      </c>
    </row>
    <row r="41" spans="1:9" ht="15">
      <c r="A41" s="87" t="str">
        <f>HLOOKUP(INDICE!$F$2,Nombres!$C$3:$D$636,61,FALSE)</f>
        <v>Depósitos de la clientela</v>
      </c>
      <c r="B41" s="58">
        <v>14966.210000000001</v>
      </c>
      <c r="C41" s="58">
        <v>16149.865000000002</v>
      </c>
      <c r="D41" s="58">
        <v>18199.582000000002</v>
      </c>
      <c r="E41" s="64">
        <v>16220.615999999998</v>
      </c>
      <c r="F41" s="44">
        <v>16431.888</v>
      </c>
      <c r="G41" s="44">
        <v>0</v>
      </c>
      <c r="H41" s="44">
        <v>0</v>
      </c>
      <c r="I41" s="44">
        <v>0</v>
      </c>
    </row>
    <row r="42" spans="1:9" ht="15">
      <c r="A42" s="43" t="str">
        <f>HLOOKUP(INDICE!$F$2,Nombres!$C$3:$D$636,62,FALSE)</f>
        <v>Valores representativos de deuda emitidos</v>
      </c>
      <c r="B42" s="44">
        <v>1371.86706993</v>
      </c>
      <c r="C42" s="44">
        <v>1657.98805191</v>
      </c>
      <c r="D42" s="44">
        <v>1109.12309372</v>
      </c>
      <c r="E42" s="45">
        <v>947.3668865199999</v>
      </c>
      <c r="F42" s="44">
        <v>937.72618743</v>
      </c>
      <c r="G42" s="44">
        <v>0</v>
      </c>
      <c r="H42" s="44">
        <v>0</v>
      </c>
      <c r="I42" s="44">
        <v>0</v>
      </c>
    </row>
    <row r="43" spans="1:9" ht="15" customHeight="1" hidden="1">
      <c r="A43" s="43"/>
      <c r="B43" s="44"/>
      <c r="C43" s="44"/>
      <c r="D43" s="44"/>
      <c r="E43" s="45"/>
      <c r="F43" s="44"/>
      <c r="G43" s="44"/>
      <c r="H43" s="44"/>
      <c r="I43" s="44"/>
    </row>
    <row r="44" spans="1:9" ht="15">
      <c r="A44" s="87" t="str">
        <f>HLOOKUP(INDICE!$F$2,Nombres!$C$3:$D$636,63,FALSE)</f>
        <v>Otros pasivos</v>
      </c>
      <c r="B44" s="58">
        <f aca="true" t="shared" si="6" ref="B44:I44">+B38-B39-B40-B41-B42-B45</f>
        <v>1103.4058635199976</v>
      </c>
      <c r="C44" s="58">
        <f t="shared" si="6"/>
        <v>826.3090805699935</v>
      </c>
      <c r="D44" s="58">
        <f t="shared" si="6"/>
        <v>1301.7892427900042</v>
      </c>
      <c r="E44" s="64">
        <f t="shared" si="6"/>
        <v>1148.868887300006</v>
      </c>
      <c r="F44" s="44">
        <f t="shared" si="6"/>
        <v>1919.808729630001</v>
      </c>
      <c r="G44" s="44">
        <f t="shared" si="6"/>
        <v>0</v>
      </c>
      <c r="H44" s="44">
        <f t="shared" si="6"/>
        <v>0</v>
      </c>
      <c r="I44" s="44">
        <f t="shared" si="6"/>
        <v>0</v>
      </c>
    </row>
    <row r="45" spans="1:9" ht="15">
      <c r="A45" s="43" t="str">
        <f>HLOOKUP(INDICE!$F$2,Nombres!$C$3:$D$636,282,FALSE)</f>
        <v>Dotación de capital regulatorio</v>
      </c>
      <c r="B45" s="58">
        <v>2353.33380144</v>
      </c>
      <c r="C45" s="58">
        <v>2474.46945586</v>
      </c>
      <c r="D45" s="58">
        <v>2582.00000636</v>
      </c>
      <c r="E45" s="64">
        <v>2428.78297581</v>
      </c>
      <c r="F45" s="44">
        <v>2290.20400092</v>
      </c>
      <c r="G45" s="44">
        <v>0</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87" t="str">
        <f>HLOOKUP(INDICE!$F$2,Nombres!$C$3:$D$636,66,FALSE)</f>
        <v>Préstamos y anticipos a la clientela bruto (*)</v>
      </c>
      <c r="B51" s="44">
        <v>17794.426000000003</v>
      </c>
      <c r="C51" s="44">
        <v>18602.682999999997</v>
      </c>
      <c r="D51" s="44">
        <v>19009.434</v>
      </c>
      <c r="E51" s="45">
        <v>17879.666</v>
      </c>
      <c r="F51" s="44">
        <v>17990.935999999998</v>
      </c>
      <c r="G51" s="44">
        <v>0</v>
      </c>
      <c r="H51" s="44">
        <v>0</v>
      </c>
      <c r="I51" s="44">
        <v>0</v>
      </c>
    </row>
    <row r="52" spans="1:9" ht="15">
      <c r="A52" s="87" t="str">
        <f>HLOOKUP(INDICE!$F$2,Nombres!$C$3:$D$636,67,FALSE)</f>
        <v>Depósitos de clientes en gestión (**)</v>
      </c>
      <c r="B52" s="44">
        <v>14966.21</v>
      </c>
      <c r="C52" s="44">
        <v>16149.865</v>
      </c>
      <c r="D52" s="44">
        <v>18199.582</v>
      </c>
      <c r="E52" s="45">
        <v>16220.616</v>
      </c>
      <c r="F52" s="44">
        <v>16431.888</v>
      </c>
      <c r="G52" s="44">
        <v>0</v>
      </c>
      <c r="H52" s="44">
        <v>0</v>
      </c>
      <c r="I52" s="44">
        <v>0</v>
      </c>
    </row>
    <row r="53" spans="1:9" ht="15">
      <c r="A53" s="43" t="str">
        <f>HLOOKUP(INDICE!$F$2,Nombres!$C$3:$D$636,68,FALSE)</f>
        <v>Fondos de inversión y carteras gestionadas</v>
      </c>
      <c r="B53" s="44">
        <v>1538.61888528</v>
      </c>
      <c r="C53" s="44">
        <v>1445.36195728</v>
      </c>
      <c r="D53" s="44">
        <v>1516.4828849299997</v>
      </c>
      <c r="E53" s="45">
        <v>1452.6608816399998</v>
      </c>
      <c r="F53" s="44">
        <v>1447.26335048</v>
      </c>
      <c r="G53" s="44">
        <v>0</v>
      </c>
      <c r="H53" s="44">
        <v>0</v>
      </c>
      <c r="I53" s="44">
        <v>0</v>
      </c>
    </row>
    <row r="54" spans="1:9" ht="15">
      <c r="A54" s="87" t="str">
        <f>HLOOKUP(INDICE!$F$2,Nombres!$C$3:$D$636,69,FALSE)</f>
        <v>Fondos de pensiones</v>
      </c>
      <c r="B54" s="44">
        <v>0</v>
      </c>
      <c r="C54" s="44">
        <v>0</v>
      </c>
      <c r="D54" s="44">
        <v>0</v>
      </c>
      <c r="E54" s="45">
        <v>0</v>
      </c>
      <c r="F54" s="44">
        <v>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58"/>
      <c r="G56" s="58"/>
      <c r="H56" s="58"/>
      <c r="I56" s="58"/>
    </row>
    <row r="57" spans="1:9" ht="15">
      <c r="A57" s="91"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Cuenta de resultados  </v>
      </c>
      <c r="B59" s="34"/>
      <c r="C59" s="34"/>
      <c r="D59" s="34"/>
      <c r="E59" s="34"/>
      <c r="F59" s="34"/>
      <c r="G59" s="34"/>
      <c r="H59" s="34"/>
      <c r="I59" s="34"/>
    </row>
    <row r="60" spans="1:9" ht="15">
      <c r="A60" s="83"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227.53650583836912</v>
      </c>
      <c r="C64" s="41">
        <v>256.98062015335375</v>
      </c>
      <c r="D64" s="41">
        <v>281.1327948897363</v>
      </c>
      <c r="E64" s="42">
        <v>298.45033123955284</v>
      </c>
      <c r="F64" s="50">
        <v>303.923</v>
      </c>
      <c r="G64" s="50">
        <v>0</v>
      </c>
      <c r="H64" s="50">
        <v>0</v>
      </c>
      <c r="I64" s="50">
        <v>0</v>
      </c>
    </row>
    <row r="65" spans="1:9" ht="15">
      <c r="A65" s="87" t="str">
        <f>HLOOKUP(INDICE!$F$2,Nombres!$C$3:$D$636,34,FALSE)</f>
        <v>Comisiones netas</v>
      </c>
      <c r="B65" s="44">
        <v>66.23152587238411</v>
      </c>
      <c r="C65" s="44">
        <v>73.96310040852967</v>
      </c>
      <c r="D65" s="44">
        <v>68.83260459052275</v>
      </c>
      <c r="E65" s="45">
        <v>65.63241102515732</v>
      </c>
      <c r="F65" s="44">
        <v>73.36634265999999</v>
      </c>
      <c r="G65" s="44">
        <v>0</v>
      </c>
      <c r="H65" s="44">
        <v>0</v>
      </c>
      <c r="I65" s="44">
        <v>0</v>
      </c>
    </row>
    <row r="66" spans="1:9" ht="15">
      <c r="A66" s="87" t="str">
        <f>HLOOKUP(INDICE!$F$2,Nombres!$C$3:$D$636,35,FALSE)</f>
        <v>Resultados de operaciones financieras</v>
      </c>
      <c r="B66" s="44">
        <v>34.62388232975075</v>
      </c>
      <c r="C66" s="44">
        <v>40.583024786900495</v>
      </c>
      <c r="D66" s="44">
        <v>43.43747022631829</v>
      </c>
      <c r="E66" s="45">
        <v>40.84938595279516</v>
      </c>
      <c r="F66" s="44">
        <v>47.37591041</v>
      </c>
      <c r="G66" s="44">
        <v>0</v>
      </c>
      <c r="H66" s="44">
        <v>0</v>
      </c>
      <c r="I66" s="44">
        <v>0</v>
      </c>
    </row>
    <row r="67" spans="1:9" ht="15">
      <c r="A67" s="87" t="str">
        <f>HLOOKUP(INDICE!$F$2,Nombres!$C$3:$D$636,36,FALSE)</f>
        <v>Otros ingresos y cargas de explotación</v>
      </c>
      <c r="B67" s="44">
        <v>-8.845814829365574</v>
      </c>
      <c r="C67" s="44">
        <v>-8.635602688188511</v>
      </c>
      <c r="D67" s="44">
        <v>-7.95871840985267</v>
      </c>
      <c r="E67" s="45">
        <v>-10.248328360346047</v>
      </c>
      <c r="F67" s="44">
        <v>-12.957</v>
      </c>
      <c r="G67" s="44">
        <v>0</v>
      </c>
      <c r="H67" s="44">
        <v>0</v>
      </c>
      <c r="I67" s="44">
        <v>0</v>
      </c>
    </row>
    <row r="68" spans="1:9" ht="15">
      <c r="A68" s="41" t="str">
        <f>HLOOKUP(INDICE!$F$2,Nombres!$C$3:$D$636,37,FALSE)</f>
        <v>Margen bruto</v>
      </c>
      <c r="B68" s="41">
        <f aca="true" t="shared" si="9" ref="B68:I68">+SUM(B64:B67)</f>
        <v>319.5460992111384</v>
      </c>
      <c r="C68" s="41">
        <f t="shared" si="9"/>
        <v>362.89114266059545</v>
      </c>
      <c r="D68" s="41">
        <f t="shared" si="9"/>
        <v>385.44415129672467</v>
      </c>
      <c r="E68" s="42">
        <f t="shared" si="9"/>
        <v>394.68379985715933</v>
      </c>
      <c r="F68" s="50">
        <f t="shared" si="9"/>
        <v>411.70825307</v>
      </c>
      <c r="G68" s="50">
        <f t="shared" si="9"/>
        <v>0</v>
      </c>
      <c r="H68" s="50">
        <f t="shared" si="9"/>
        <v>0</v>
      </c>
      <c r="I68" s="50">
        <f t="shared" si="9"/>
        <v>0</v>
      </c>
    </row>
    <row r="69" spans="1:9" ht="15">
      <c r="A69" s="87" t="str">
        <f>HLOOKUP(INDICE!$F$2,Nombres!$C$3:$D$636,38,FALSE)</f>
        <v>Gastos de explotación</v>
      </c>
      <c r="B69" s="44">
        <v>-124.09970897040762</v>
      </c>
      <c r="C69" s="44">
        <v>-127.96477529772515</v>
      </c>
      <c r="D69" s="44">
        <v>-142.322684865224</v>
      </c>
      <c r="E69" s="45">
        <v>-149.69733919353467</v>
      </c>
      <c r="F69" s="44">
        <v>-153.68057466</v>
      </c>
      <c r="G69" s="44">
        <v>0</v>
      </c>
      <c r="H69" s="44">
        <v>0</v>
      </c>
      <c r="I69" s="44">
        <v>0</v>
      </c>
    </row>
    <row r="70" spans="1:9" ht="15">
      <c r="A70" s="87" t="str">
        <f>HLOOKUP(INDICE!$F$2,Nombres!$C$3:$D$636,39,FALSE)</f>
        <v>  Gastos de administración</v>
      </c>
      <c r="B70" s="44">
        <v>-106.9013093499047</v>
      </c>
      <c r="C70" s="44">
        <v>-110.53514407209184</v>
      </c>
      <c r="D70" s="44">
        <v>-125.13232584232401</v>
      </c>
      <c r="E70" s="45">
        <v>-132.54050118762183</v>
      </c>
      <c r="F70" s="44">
        <v>-134.34757466000002</v>
      </c>
      <c r="G70" s="44">
        <v>0</v>
      </c>
      <c r="H70" s="44">
        <v>0</v>
      </c>
      <c r="I70" s="44">
        <v>0</v>
      </c>
    </row>
    <row r="71" spans="1:9" ht="15">
      <c r="A71" s="88" t="str">
        <f>HLOOKUP(INDICE!$F$2,Nombres!$C$3:$D$636,40,FALSE)</f>
        <v>  Gastos de personal</v>
      </c>
      <c r="B71" s="44">
        <v>-55.8872386867674</v>
      </c>
      <c r="C71" s="44">
        <v>-57.736428722396354</v>
      </c>
      <c r="D71" s="44">
        <v>-64.55634617499851</v>
      </c>
      <c r="E71" s="45">
        <v>-70.43690780693173</v>
      </c>
      <c r="F71" s="44">
        <v>-68.28299999999999</v>
      </c>
      <c r="G71" s="44">
        <v>0</v>
      </c>
      <c r="H71" s="44">
        <v>0</v>
      </c>
      <c r="I71" s="44">
        <v>0</v>
      </c>
    </row>
    <row r="72" spans="1:9" ht="15">
      <c r="A72" s="88" t="str">
        <f>HLOOKUP(INDICE!$F$2,Nombres!$C$3:$D$636,41,FALSE)</f>
        <v>  Otros gastos de administración</v>
      </c>
      <c r="B72" s="44">
        <v>-51.0140706631373</v>
      </c>
      <c r="C72" s="44">
        <v>-52.79871534969549</v>
      </c>
      <c r="D72" s="44">
        <v>-60.57597966732548</v>
      </c>
      <c r="E72" s="45">
        <v>-62.103593380690114</v>
      </c>
      <c r="F72" s="44">
        <v>-66.06457466</v>
      </c>
      <c r="G72" s="44">
        <v>0</v>
      </c>
      <c r="H72" s="44">
        <v>0</v>
      </c>
      <c r="I72" s="44">
        <v>0</v>
      </c>
    </row>
    <row r="73" spans="1:9" ht="15">
      <c r="A73" s="87" t="str">
        <f>HLOOKUP(INDICE!$F$2,Nombres!$C$3:$D$636,42,FALSE)</f>
        <v>  Amortización</v>
      </c>
      <c r="B73" s="44">
        <v>-17.198399620502933</v>
      </c>
      <c r="C73" s="44">
        <v>-17.429631225633326</v>
      </c>
      <c r="D73" s="44">
        <v>-17.190359022899997</v>
      </c>
      <c r="E73" s="45">
        <v>-17.156838005912817</v>
      </c>
      <c r="F73" s="44">
        <v>-19.333000000000002</v>
      </c>
      <c r="G73" s="44">
        <v>0</v>
      </c>
      <c r="H73" s="44">
        <v>0</v>
      </c>
      <c r="I73" s="44">
        <v>0</v>
      </c>
    </row>
    <row r="74" spans="1:9" ht="15">
      <c r="A74" s="41" t="str">
        <f>HLOOKUP(INDICE!$F$2,Nombres!$C$3:$D$636,43,FALSE)</f>
        <v>Margen neto</v>
      </c>
      <c r="B74" s="41">
        <f aca="true" t="shared" si="10" ref="B74:I74">+B68+B69</f>
        <v>195.4463902407308</v>
      </c>
      <c r="C74" s="41">
        <f t="shared" si="10"/>
        <v>234.92636736287028</v>
      </c>
      <c r="D74" s="41">
        <f t="shared" si="10"/>
        <v>243.12146643150066</v>
      </c>
      <c r="E74" s="42">
        <f t="shared" si="10"/>
        <v>244.98646066362465</v>
      </c>
      <c r="F74" s="50">
        <f t="shared" si="10"/>
        <v>258.02767841</v>
      </c>
      <c r="G74" s="50">
        <f t="shared" si="10"/>
        <v>0</v>
      </c>
      <c r="H74" s="50">
        <f t="shared" si="10"/>
        <v>0</v>
      </c>
      <c r="I74" s="50">
        <f t="shared" si="10"/>
        <v>0</v>
      </c>
    </row>
    <row r="75" spans="1:9" ht="15">
      <c r="A75" s="87" t="str">
        <f>HLOOKUP(INDICE!$F$2,Nombres!$C$3:$D$636,44,FALSE)</f>
        <v>Deterioro de activos financieros no valorados a valor razonable con cambios en resultados</v>
      </c>
      <c r="B75" s="44">
        <v>-32.145459595055115</v>
      </c>
      <c r="C75" s="44">
        <v>-42.754876331180505</v>
      </c>
      <c r="D75" s="44">
        <v>-86.06565787635478</v>
      </c>
      <c r="E75" s="45">
        <v>-121.2156064804011</v>
      </c>
      <c r="F75" s="44">
        <v>-92.021</v>
      </c>
      <c r="G75" s="44">
        <v>0</v>
      </c>
      <c r="H75" s="44">
        <v>0</v>
      </c>
      <c r="I75" s="44">
        <v>0</v>
      </c>
    </row>
    <row r="76" spans="1:9" ht="15">
      <c r="A76" s="87" t="str">
        <f>HLOOKUP(INDICE!$F$2,Nombres!$C$3:$D$636,45,FALSE)</f>
        <v>Provisiones o reversión de provisiones y otros resultados</v>
      </c>
      <c r="B76" s="44">
        <v>-9.433936904546783</v>
      </c>
      <c r="C76" s="44">
        <v>-8.183620870571168</v>
      </c>
      <c r="D76" s="44">
        <v>-11.239229716232025</v>
      </c>
      <c r="E76" s="45">
        <v>-8.983056619675246</v>
      </c>
      <c r="F76" s="44">
        <v>2.087</v>
      </c>
      <c r="G76" s="44">
        <v>0</v>
      </c>
      <c r="H76" s="44">
        <v>0</v>
      </c>
      <c r="I76" s="44">
        <v>0</v>
      </c>
    </row>
    <row r="77" spans="1:9" ht="15">
      <c r="A77" s="89" t="str">
        <f>HLOOKUP(INDICE!$F$2,Nombres!$C$3:$D$636,46,FALSE)</f>
        <v>Resultado antes de impuestos</v>
      </c>
      <c r="B77" s="41">
        <f aca="true" t="shared" si="11" ref="B77:I77">+B74+B75+B76</f>
        <v>153.8669937411289</v>
      </c>
      <c r="C77" s="41">
        <f t="shared" si="11"/>
        <v>183.98787016111862</v>
      </c>
      <c r="D77" s="41">
        <f t="shared" si="11"/>
        <v>145.81657883891387</v>
      </c>
      <c r="E77" s="42">
        <f t="shared" si="11"/>
        <v>114.78779756354831</v>
      </c>
      <c r="F77" s="50">
        <f t="shared" si="11"/>
        <v>168.09367841</v>
      </c>
      <c r="G77" s="50">
        <f t="shared" si="11"/>
        <v>0</v>
      </c>
      <c r="H77" s="50">
        <f t="shared" si="11"/>
        <v>0</v>
      </c>
      <c r="I77" s="50">
        <f t="shared" si="11"/>
        <v>0</v>
      </c>
    </row>
    <row r="78" spans="1:9" ht="15">
      <c r="A78" s="43" t="str">
        <f>HLOOKUP(INDICE!$F$2,Nombres!$C$3:$D$636,47,FALSE)</f>
        <v>Impuesto sobre beneficios</v>
      </c>
      <c r="B78" s="44">
        <v>-39.14139620849379</v>
      </c>
      <c r="C78" s="44">
        <v>-49.46064465062759</v>
      </c>
      <c r="D78" s="44">
        <v>-37.656265333577686</v>
      </c>
      <c r="E78" s="45">
        <v>-37.24713578880302</v>
      </c>
      <c r="F78" s="44">
        <v>-46.36123809</v>
      </c>
      <c r="G78" s="44">
        <v>0</v>
      </c>
      <c r="H78" s="44">
        <v>0</v>
      </c>
      <c r="I78" s="44">
        <v>0</v>
      </c>
    </row>
    <row r="79" spans="1:9" ht="15">
      <c r="A79" s="89" t="str">
        <f>HLOOKUP(INDICE!$F$2,Nombres!$C$3:$D$636,48,FALSE)</f>
        <v>Resultado del ejercicio</v>
      </c>
      <c r="B79" s="41">
        <f aca="true" t="shared" si="12" ref="B79:I79">+B77+B78</f>
        <v>114.72559753263512</v>
      </c>
      <c r="C79" s="41">
        <f t="shared" si="12"/>
        <v>134.52722551049104</v>
      </c>
      <c r="D79" s="41">
        <f t="shared" si="12"/>
        <v>108.16031350533618</v>
      </c>
      <c r="E79" s="42">
        <f t="shared" si="12"/>
        <v>77.54066177474529</v>
      </c>
      <c r="F79" s="50">
        <f t="shared" si="12"/>
        <v>121.73244032</v>
      </c>
      <c r="G79" s="50">
        <f t="shared" si="12"/>
        <v>0</v>
      </c>
      <c r="H79" s="50">
        <f t="shared" si="12"/>
        <v>0</v>
      </c>
      <c r="I79" s="50">
        <f t="shared" si="12"/>
        <v>0</v>
      </c>
    </row>
    <row r="80" spans="1:9" ht="15">
      <c r="A80" s="87" t="str">
        <f>HLOOKUP(INDICE!$F$2,Nombres!$C$3:$D$636,49,FALSE)</f>
        <v>Minoritarios</v>
      </c>
      <c r="B80" s="44">
        <v>-61.89185991104965</v>
      </c>
      <c r="C80" s="44">
        <v>-68.95505425835469</v>
      </c>
      <c r="D80" s="44">
        <v>-59.82275607430114</v>
      </c>
      <c r="E80" s="45">
        <v>-41.742275740539064</v>
      </c>
      <c r="F80" s="44">
        <v>-64.55076044</v>
      </c>
      <c r="G80" s="44">
        <v>0</v>
      </c>
      <c r="H80" s="44">
        <v>0</v>
      </c>
      <c r="I80" s="44">
        <v>0</v>
      </c>
    </row>
    <row r="81" spans="1:9" ht="15">
      <c r="A81" s="90" t="str">
        <f>HLOOKUP(INDICE!$F$2,Nombres!$C$3:$D$636,50,FALSE)</f>
        <v>Resultado atribuido</v>
      </c>
      <c r="B81" s="47">
        <f aca="true" t="shared" si="13" ref="B81:I81">+B79+B80</f>
        <v>52.83373762158547</v>
      </c>
      <c r="C81" s="47">
        <f t="shared" si="13"/>
        <v>65.57217125213634</v>
      </c>
      <c r="D81" s="47">
        <f t="shared" si="13"/>
        <v>48.33755743103504</v>
      </c>
      <c r="E81" s="47">
        <f t="shared" si="13"/>
        <v>35.798386034206224</v>
      </c>
      <c r="F81" s="51">
        <f t="shared" si="13"/>
        <v>57.18167987999999</v>
      </c>
      <c r="G81" s="51">
        <f t="shared" si="13"/>
        <v>0</v>
      </c>
      <c r="H81" s="51">
        <f t="shared" si="13"/>
        <v>0</v>
      </c>
      <c r="I81" s="51">
        <f t="shared" si="13"/>
        <v>0</v>
      </c>
    </row>
    <row r="82" spans="1:9" ht="15">
      <c r="A82" s="91"/>
      <c r="B82" s="63">
        <v>0</v>
      </c>
      <c r="C82" s="63">
        <v>0</v>
      </c>
      <c r="D82" s="63">
        <v>0</v>
      </c>
      <c r="E82" s="63">
        <v>0</v>
      </c>
      <c r="F82" s="63">
        <v>0</v>
      </c>
      <c r="G82" s="63">
        <v>0</v>
      </c>
      <c r="H82" s="63">
        <v>0</v>
      </c>
      <c r="I82" s="63">
        <v>0</v>
      </c>
    </row>
    <row r="83" spans="1:9" ht="15">
      <c r="A83" s="89"/>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87" t="str">
        <f>HLOOKUP(INDICE!$F$2,Nombres!$C$3:$D$636,52,FALSE)</f>
        <v>Efectivo, saldos en efectivo en bancos centrales y otros depósitos a la vista</v>
      </c>
      <c r="B87" s="44">
        <v>3494.1568260146705</v>
      </c>
      <c r="C87" s="44">
        <v>3577.7840314351233</v>
      </c>
      <c r="D87" s="44">
        <v>4147.673755448442</v>
      </c>
      <c r="E87" s="45">
        <v>2888.920978820648</v>
      </c>
      <c r="F87" s="44">
        <v>3306.83</v>
      </c>
      <c r="G87" s="44">
        <v>0</v>
      </c>
      <c r="H87" s="44">
        <v>0</v>
      </c>
      <c r="I87" s="44">
        <v>0</v>
      </c>
    </row>
    <row r="88" spans="1:9" ht="15">
      <c r="A88" s="87" t="str">
        <f>HLOOKUP(INDICE!$F$2,Nombres!$C$3:$D$636,53,FALSE)</f>
        <v>Activos financieros a valor razonable</v>
      </c>
      <c r="B88" s="58">
        <v>2933.8369995846933</v>
      </c>
      <c r="C88" s="58">
        <v>2865.831854408897</v>
      </c>
      <c r="D88" s="58">
        <v>3164.534698344681</v>
      </c>
      <c r="E88" s="64">
        <v>3160.320465045949</v>
      </c>
      <c r="F88" s="44">
        <v>3207.4750000000004</v>
      </c>
      <c r="G88" s="44">
        <v>0</v>
      </c>
      <c r="H88" s="44">
        <v>0</v>
      </c>
      <c r="I88" s="44">
        <v>0</v>
      </c>
    </row>
    <row r="89" spans="1:9" ht="15">
      <c r="A89" s="43" t="str">
        <f>HLOOKUP(INDICE!$F$2,Nombres!$C$3:$D$636,54,FALSE)</f>
        <v>Activos financieros a coste amortizado</v>
      </c>
      <c r="B89" s="44">
        <v>17387.687638426927</v>
      </c>
      <c r="C89" s="44">
        <v>17310.22700790845</v>
      </c>
      <c r="D89" s="44">
        <v>18003.31118709914</v>
      </c>
      <c r="E89" s="45">
        <v>17164.177450070685</v>
      </c>
      <c r="F89" s="44">
        <v>17628.758999999995</v>
      </c>
      <c r="G89" s="44">
        <v>0</v>
      </c>
      <c r="H89" s="44">
        <v>0</v>
      </c>
      <c r="I89" s="44">
        <v>0</v>
      </c>
    </row>
    <row r="90" spans="1:9" ht="15">
      <c r="A90" s="87" t="str">
        <f>HLOOKUP(INDICE!$F$2,Nombres!$C$3:$D$636,55,FALSE)</f>
        <v>    de los que préstamos y anticipos a la clientela</v>
      </c>
      <c r="B90" s="44">
        <v>17064.34979090595</v>
      </c>
      <c r="C90" s="44">
        <v>16960.16540890244</v>
      </c>
      <c r="D90" s="44">
        <v>17095.331783086327</v>
      </c>
      <c r="E90" s="45">
        <v>16861.74702084899</v>
      </c>
      <c r="F90" s="44">
        <v>17099.629999999997</v>
      </c>
      <c r="G90" s="44">
        <v>0</v>
      </c>
      <c r="H90" s="44">
        <v>0</v>
      </c>
      <c r="I90" s="44">
        <v>0</v>
      </c>
    </row>
    <row r="91" spans="1:9" ht="15" customHeight="1" hidden="1">
      <c r="A91" s="87"/>
      <c r="B91" s="44"/>
      <c r="C91" s="44"/>
      <c r="D91" s="44"/>
      <c r="E91" s="45"/>
      <c r="F91" s="44"/>
      <c r="G91" s="44"/>
      <c r="H91" s="44"/>
      <c r="I91" s="44"/>
    </row>
    <row r="92" spans="1:9" ht="15">
      <c r="A92" s="43" t="str">
        <f>HLOOKUP(INDICE!$F$2,Nombres!$C$3:$D$636,56,FALSE)</f>
        <v>Activos tangibles</v>
      </c>
      <c r="B92" s="44">
        <v>290.7128635663973</v>
      </c>
      <c r="C92" s="44">
        <v>286.66253141902865</v>
      </c>
      <c r="D92" s="44">
        <v>298.20012735181155</v>
      </c>
      <c r="E92" s="45">
        <v>307.7809680614045</v>
      </c>
      <c r="F92" s="44">
        <v>306.857</v>
      </c>
      <c r="G92" s="44">
        <v>0</v>
      </c>
      <c r="H92" s="44">
        <v>0</v>
      </c>
      <c r="I92" s="44">
        <v>0</v>
      </c>
    </row>
    <row r="93" spans="1:9" ht="15">
      <c r="A93" s="87" t="str">
        <f>HLOOKUP(INDICE!$F$2,Nombres!$C$3:$D$636,57,FALSE)</f>
        <v>Otros activos</v>
      </c>
      <c r="B93" s="58">
        <f aca="true" t="shared" si="15" ref="B93:I93">+B94-B92-B89-B88-B87</f>
        <v>446.15577809875504</v>
      </c>
      <c r="C93" s="58">
        <f t="shared" si="15"/>
        <v>451.56073278779604</v>
      </c>
      <c r="D93" s="58">
        <f t="shared" si="15"/>
        <v>444.3581525871441</v>
      </c>
      <c r="E93" s="64">
        <f t="shared" si="15"/>
        <v>503.64873022962047</v>
      </c>
      <c r="F93" s="44">
        <f t="shared" si="15"/>
        <v>539.4309179800039</v>
      </c>
      <c r="G93" s="44">
        <f t="shared" si="15"/>
        <v>0</v>
      </c>
      <c r="H93" s="44">
        <f t="shared" si="15"/>
        <v>0</v>
      </c>
      <c r="I93" s="44">
        <f t="shared" si="15"/>
        <v>0</v>
      </c>
    </row>
    <row r="94" spans="1:9" ht="15">
      <c r="A94" s="90" t="str">
        <f>HLOOKUP(INDICE!$F$2,Nombres!$C$3:$D$636,58,FALSE)</f>
        <v>Total activo / pasivo</v>
      </c>
      <c r="B94" s="47">
        <v>24552.550105691444</v>
      </c>
      <c r="C94" s="47">
        <v>24492.066157959292</v>
      </c>
      <c r="D94" s="47">
        <v>26058.07792083122</v>
      </c>
      <c r="E94" s="47">
        <v>24024.848592228307</v>
      </c>
      <c r="F94" s="51">
        <v>24989.35191798</v>
      </c>
      <c r="G94" s="51">
        <v>0</v>
      </c>
      <c r="H94" s="51">
        <v>0</v>
      </c>
      <c r="I94" s="51">
        <v>0</v>
      </c>
    </row>
    <row r="95" spans="1:9" ht="15">
      <c r="A95" s="87" t="str">
        <f>HLOOKUP(INDICE!$F$2,Nombres!$C$3:$D$636,59,FALSE)</f>
        <v>Pasivos financieros mantenidos para negociar y designados a valor razonable con cambios en resultados</v>
      </c>
      <c r="B95" s="58">
        <v>424.06336972438527</v>
      </c>
      <c r="C95" s="58">
        <v>393.5378221425036</v>
      </c>
      <c r="D95" s="58">
        <v>435.13946532679864</v>
      </c>
      <c r="E95" s="64">
        <v>373.8304636455256</v>
      </c>
      <c r="F95" s="44">
        <v>366.334</v>
      </c>
      <c r="G95" s="44">
        <v>0</v>
      </c>
      <c r="H95" s="44">
        <v>0</v>
      </c>
      <c r="I95" s="44">
        <v>0</v>
      </c>
    </row>
    <row r="96" spans="1:9" ht="15">
      <c r="A96" s="87" t="str">
        <f>HLOOKUP(INDICE!$F$2,Nombres!$C$3:$D$636,60,FALSE)</f>
        <v>Depósitos de bancos centrales y entidades de crédito</v>
      </c>
      <c r="B96" s="58">
        <v>4196.830973501</v>
      </c>
      <c r="C96" s="58">
        <v>3845.988788640887</v>
      </c>
      <c r="D96" s="58">
        <v>3677.0518256363266</v>
      </c>
      <c r="E96" s="64">
        <v>3072.5375052464055</v>
      </c>
      <c r="F96" s="44">
        <v>3043.391</v>
      </c>
      <c r="G96" s="44">
        <v>0</v>
      </c>
      <c r="H96" s="44">
        <v>0</v>
      </c>
      <c r="I96" s="44">
        <v>0</v>
      </c>
    </row>
    <row r="97" spans="1:9" ht="15">
      <c r="A97" s="87" t="str">
        <f>HLOOKUP(INDICE!$F$2,Nombres!$C$3:$D$636,61,FALSE)</f>
        <v>Depósitos de la clientela</v>
      </c>
      <c r="B97" s="58">
        <v>15069.669488932243</v>
      </c>
      <c r="C97" s="58">
        <v>15494.883134666212</v>
      </c>
      <c r="D97" s="58">
        <v>17221.345724108207</v>
      </c>
      <c r="E97" s="64">
        <v>16089.921377823024</v>
      </c>
      <c r="F97" s="44">
        <v>16431.888</v>
      </c>
      <c r="G97" s="44">
        <v>0</v>
      </c>
      <c r="H97" s="44">
        <v>0</v>
      </c>
      <c r="I97" s="44">
        <v>0</v>
      </c>
    </row>
    <row r="98" spans="1:9" ht="15">
      <c r="A98" s="43" t="str">
        <f>HLOOKUP(INDICE!$F$2,Nombres!$C$3:$D$636,62,FALSE)</f>
        <v>Valores representativos de deuda emitidos</v>
      </c>
      <c r="B98" s="44">
        <v>1381.3506109158564</v>
      </c>
      <c r="C98" s="44">
        <v>1590.7458732948137</v>
      </c>
      <c r="D98" s="44">
        <v>1049.5071945907653</v>
      </c>
      <c r="E98" s="45">
        <v>939.7336525357475</v>
      </c>
      <c r="F98" s="44">
        <v>937.72618743</v>
      </c>
      <c r="G98" s="44">
        <v>0</v>
      </c>
      <c r="H98" s="44">
        <v>0</v>
      </c>
      <c r="I98" s="44">
        <v>0</v>
      </c>
    </row>
    <row r="99" spans="1:9" ht="15" customHeight="1" hidden="1">
      <c r="A99" s="43"/>
      <c r="B99" s="44"/>
      <c r="C99" s="44"/>
      <c r="D99" s="44"/>
      <c r="E99" s="45"/>
      <c r="F99" s="44"/>
      <c r="G99" s="44"/>
      <c r="H99" s="44"/>
      <c r="I99" s="44"/>
    </row>
    <row r="100" spans="1:9" ht="15">
      <c r="A100" s="87" t="str">
        <f>HLOOKUP(INDICE!$F$2,Nombres!$C$3:$D$636,63,FALSE)</f>
        <v>Otros pasivos</v>
      </c>
      <c r="B100" s="58">
        <f aca="true" t="shared" si="16" ref="B100:I100">+B94-B95-B96-B97-B98-B101</f>
        <v>1111.0335666408664</v>
      </c>
      <c r="C100" s="58">
        <f t="shared" si="16"/>
        <v>792.7968832275474</v>
      </c>
      <c r="D100" s="58">
        <f t="shared" si="16"/>
        <v>1231.8174455881244</v>
      </c>
      <c r="E100" s="64">
        <f t="shared" si="16"/>
        <v>1139.6120881034421</v>
      </c>
      <c r="F100" s="44">
        <f t="shared" si="16"/>
        <v>1919.808729630001</v>
      </c>
      <c r="G100" s="44">
        <f t="shared" si="16"/>
        <v>0</v>
      </c>
      <c r="H100" s="44">
        <f t="shared" si="16"/>
        <v>0</v>
      </c>
      <c r="I100" s="44">
        <f t="shared" si="16"/>
        <v>0</v>
      </c>
    </row>
    <row r="101" spans="1:9" ht="15">
      <c r="A101" s="43" t="str">
        <f>HLOOKUP(INDICE!$F$2,Nombres!$C$3:$D$636,282,FALSE)</f>
        <v>Dotación de capital regulatorio</v>
      </c>
      <c r="B101" s="58">
        <v>2369.6020959770913</v>
      </c>
      <c r="C101" s="58">
        <v>2374.1136559873275</v>
      </c>
      <c r="D101" s="58">
        <v>2443.2162655809984</v>
      </c>
      <c r="E101" s="64">
        <v>2409.213504874164</v>
      </c>
      <c r="F101" s="44">
        <v>2290.20400092</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87" t="str">
        <f>HLOOKUP(INDICE!$F$2,Nombres!$C$3:$D$636,66,FALSE)</f>
        <v>Préstamos y anticipos a la clientela bruto (*)</v>
      </c>
      <c r="B107" s="44">
        <v>17917.43658316051</v>
      </c>
      <c r="C107" s="44">
        <v>17848.223441882754</v>
      </c>
      <c r="D107" s="44">
        <v>17987.667790041396</v>
      </c>
      <c r="E107" s="45">
        <v>17735.603888393358</v>
      </c>
      <c r="F107" s="44">
        <v>17990.935999999998</v>
      </c>
      <c r="G107" s="44">
        <v>0</v>
      </c>
      <c r="H107" s="44">
        <v>0</v>
      </c>
      <c r="I107" s="44">
        <v>0</v>
      </c>
    </row>
    <row r="108" spans="1:9" ht="15">
      <c r="A108" s="87" t="str">
        <f>HLOOKUP(INDICE!$F$2,Nombres!$C$3:$D$636,67,FALSE)</f>
        <v>Depósitos de clientes en gestión (**)</v>
      </c>
      <c r="B108" s="44">
        <v>15069.669488932243</v>
      </c>
      <c r="C108" s="44">
        <v>15494.883134666212</v>
      </c>
      <c r="D108" s="44">
        <v>17221.34572410821</v>
      </c>
      <c r="E108" s="45">
        <v>16089.921377823024</v>
      </c>
      <c r="F108" s="44">
        <v>16431.888</v>
      </c>
      <c r="G108" s="44">
        <v>0</v>
      </c>
      <c r="H108" s="44">
        <v>0</v>
      </c>
      <c r="I108" s="44">
        <v>0</v>
      </c>
    </row>
    <row r="109" spans="1:9" ht="15">
      <c r="A109" s="43" t="str">
        <f>HLOOKUP(INDICE!$F$2,Nombres!$C$3:$D$636,68,FALSE)</f>
        <v>Fondos de inversión y carteras gestionadas</v>
      </c>
      <c r="B109" s="44">
        <v>1549.25516016406</v>
      </c>
      <c r="C109" s="44">
        <v>1386.7431471003638</v>
      </c>
      <c r="D109" s="44">
        <v>1434.9712013205872</v>
      </c>
      <c r="E109" s="45">
        <v>1440.95633447131</v>
      </c>
      <c r="F109" s="44">
        <v>1447.26335048</v>
      </c>
      <c r="G109" s="44">
        <v>0</v>
      </c>
      <c r="H109" s="44">
        <v>0</v>
      </c>
      <c r="I109" s="44">
        <v>0</v>
      </c>
    </row>
    <row r="110" spans="1:9" ht="15">
      <c r="A110" s="87" t="str">
        <f>HLOOKUP(INDICE!$F$2,Nombres!$C$3:$D$636,69,FALSE)</f>
        <v>Fondos de pensiones</v>
      </c>
      <c r="B110" s="44">
        <v>0</v>
      </c>
      <c r="C110" s="44">
        <v>0</v>
      </c>
      <c r="D110" s="44">
        <v>0</v>
      </c>
      <c r="E110" s="45">
        <v>0</v>
      </c>
      <c r="F110" s="44">
        <v>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Cuenta de resultados  </v>
      </c>
      <c r="B115" s="34"/>
      <c r="C115" s="34"/>
      <c r="D115" s="34"/>
      <c r="E115" s="34"/>
      <c r="F115" s="34"/>
      <c r="G115" s="34"/>
      <c r="H115" s="34"/>
      <c r="I115" s="34"/>
    </row>
    <row r="116" spans="1:9" ht="15">
      <c r="A116" s="83"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8">
        <f>+B$6</f>
        <v>2022</v>
      </c>
      <c r="C118" s="298"/>
      <c r="D118" s="298"/>
      <c r="E118" s="299"/>
      <c r="F118" s="298">
        <f>+F$6</f>
        <v>2023</v>
      </c>
      <c r="G118" s="298"/>
      <c r="H118" s="298"/>
      <c r="I118" s="298"/>
    </row>
    <row r="119" spans="1:9" ht="15.75">
      <c r="A119" s="38"/>
      <c r="B119" s="84" t="str">
        <f aca="true" t="shared" si="18" ref="B119:I119">+B$7</f>
        <v>1er Trim.</v>
      </c>
      <c r="C119" s="84" t="str">
        <f t="shared" si="18"/>
        <v>2º Trim.</v>
      </c>
      <c r="D119" s="84" t="str">
        <f t="shared" si="18"/>
        <v>3er Trim.</v>
      </c>
      <c r="E119" s="85" t="str">
        <f t="shared" si="18"/>
        <v>4º Trim.</v>
      </c>
      <c r="F119" s="84" t="str">
        <f t="shared" si="18"/>
        <v>1er Trim.</v>
      </c>
      <c r="G119" s="84" t="str">
        <f t="shared" si="18"/>
        <v>2º Trim.</v>
      </c>
      <c r="H119" s="84" t="str">
        <f t="shared" si="18"/>
        <v>3er Trim.</v>
      </c>
      <c r="I119" s="84" t="str">
        <f t="shared" si="18"/>
        <v>4º Trim.</v>
      </c>
    </row>
    <row r="120" spans="1:9" ht="15">
      <c r="A120" s="41" t="str">
        <f>HLOOKUP(INDICE!$F$2,Nombres!$C$3:$D$636,33,FALSE)</f>
        <v>Margen de intereses</v>
      </c>
      <c r="B120" s="41">
        <v>930.6625350120972</v>
      </c>
      <c r="C120" s="41">
        <v>1051.0939091716139</v>
      </c>
      <c r="D120" s="41">
        <v>1149.880361408794</v>
      </c>
      <c r="E120" s="42">
        <v>1220.711994425664</v>
      </c>
      <c r="F120" s="50">
        <v>1243.0961290642495</v>
      </c>
      <c r="G120" s="50">
        <v>0</v>
      </c>
      <c r="H120" s="50">
        <v>0</v>
      </c>
      <c r="I120" s="50">
        <v>0</v>
      </c>
    </row>
    <row r="121" spans="1:9" ht="15">
      <c r="A121" s="87" t="str">
        <f>HLOOKUP(INDICE!$F$2,Nombres!$C$3:$D$636,34,FALSE)</f>
        <v>Comisiones netas</v>
      </c>
      <c r="B121" s="44">
        <v>270.89806771445194</v>
      </c>
      <c r="C121" s="44">
        <v>302.5215064718157</v>
      </c>
      <c r="D121" s="44">
        <v>281.5369166528658</v>
      </c>
      <c r="E121" s="45">
        <v>268.4475873379996</v>
      </c>
      <c r="F121" s="44">
        <v>300.0806670250271</v>
      </c>
      <c r="G121" s="44">
        <v>0</v>
      </c>
      <c r="H121" s="44">
        <v>0</v>
      </c>
      <c r="I121" s="44">
        <v>0</v>
      </c>
    </row>
    <row r="122" spans="1:9" ht="15">
      <c r="A122" s="87" t="str">
        <f>HLOOKUP(INDICE!$F$2,Nombres!$C$3:$D$636,35,FALSE)</f>
        <v>Resultados de operaciones financieras</v>
      </c>
      <c r="B122" s="44">
        <v>141.61749554094038</v>
      </c>
      <c r="C122" s="44">
        <v>165.99138932662055</v>
      </c>
      <c r="D122" s="44">
        <v>177.66655072067545</v>
      </c>
      <c r="E122" s="45">
        <v>167.0808512438058</v>
      </c>
      <c r="F122" s="44">
        <v>193.77543272988777</v>
      </c>
      <c r="G122" s="44">
        <v>0</v>
      </c>
      <c r="H122" s="44">
        <v>0</v>
      </c>
      <c r="I122" s="44">
        <v>0</v>
      </c>
    </row>
    <row r="123" spans="1:9" ht="15">
      <c r="A123" s="87" t="str">
        <f>HLOOKUP(INDICE!$F$2,Nombres!$C$3:$D$636,36,FALSE)</f>
        <v>Otros ingresos y cargas de explotación</v>
      </c>
      <c r="B123" s="44">
        <v>-36.18086874900378</v>
      </c>
      <c r="C123" s="44">
        <v>-35.321065775949705</v>
      </c>
      <c r="D123" s="44">
        <v>-32.552495360996815</v>
      </c>
      <c r="E123" s="45">
        <v>-41.917384712988294</v>
      </c>
      <c r="F123" s="44">
        <v>-52.99630677601063</v>
      </c>
      <c r="G123" s="44">
        <v>0</v>
      </c>
      <c r="H123" s="44">
        <v>0</v>
      </c>
      <c r="I123" s="44">
        <v>0</v>
      </c>
    </row>
    <row r="124" spans="1:9" ht="15">
      <c r="A124" s="41" t="str">
        <f>HLOOKUP(INDICE!$F$2,Nombres!$C$3:$D$636,37,FALSE)</f>
        <v>Margen bruto</v>
      </c>
      <c r="B124" s="41">
        <f aca="true" t="shared" si="19" ref="B124:I124">+SUM(B120:B123)</f>
        <v>1306.9972295184857</v>
      </c>
      <c r="C124" s="41">
        <f t="shared" si="19"/>
        <v>1484.2857391941002</v>
      </c>
      <c r="D124" s="41">
        <f t="shared" si="19"/>
        <v>1576.5313334213386</v>
      </c>
      <c r="E124" s="42">
        <f t="shared" si="19"/>
        <v>1614.323048294481</v>
      </c>
      <c r="F124" s="50">
        <f t="shared" si="19"/>
        <v>1683.9559220431538</v>
      </c>
      <c r="G124" s="50">
        <f t="shared" si="19"/>
        <v>0</v>
      </c>
      <c r="H124" s="50">
        <f t="shared" si="19"/>
        <v>0</v>
      </c>
      <c r="I124" s="50">
        <f t="shared" si="19"/>
        <v>0</v>
      </c>
    </row>
    <row r="125" spans="1:9" ht="15">
      <c r="A125" s="87" t="str">
        <f>HLOOKUP(INDICE!$F$2,Nombres!$C$3:$D$636,38,FALSE)</f>
        <v>Gastos de explotación</v>
      </c>
      <c r="B125" s="44">
        <v>-507.58865844017606</v>
      </c>
      <c r="C125" s="44">
        <v>-523.397429050051</v>
      </c>
      <c r="D125" s="44">
        <v>-582.1236913099403</v>
      </c>
      <c r="E125" s="45">
        <v>-612.2872664546642</v>
      </c>
      <c r="F125" s="44">
        <v>-628.5793686960691</v>
      </c>
      <c r="G125" s="44">
        <v>0</v>
      </c>
      <c r="H125" s="44">
        <v>0</v>
      </c>
      <c r="I125" s="44">
        <v>0</v>
      </c>
    </row>
    <row r="126" spans="1:9" ht="15">
      <c r="A126" s="87" t="str">
        <f>HLOOKUP(INDICE!$F$2,Nombres!$C$3:$D$636,39,FALSE)</f>
        <v>  Gastos de administración</v>
      </c>
      <c r="B126" s="44">
        <v>-437.24431466116874</v>
      </c>
      <c r="C126" s="44">
        <v>-452.10730915915036</v>
      </c>
      <c r="D126" s="44">
        <v>-511.8122349259495</v>
      </c>
      <c r="E126" s="45">
        <v>-542.1129166616817</v>
      </c>
      <c r="F126" s="44">
        <v>-549.5041507520532</v>
      </c>
      <c r="G126" s="44">
        <v>0</v>
      </c>
      <c r="H126" s="44">
        <v>0</v>
      </c>
      <c r="I126" s="44">
        <v>0</v>
      </c>
    </row>
    <row r="127" spans="1:9" ht="15">
      <c r="A127" s="88" t="str">
        <f>HLOOKUP(INDICE!$F$2,Nombres!$C$3:$D$636,40,FALSE)</f>
        <v>  Gastos de personal</v>
      </c>
      <c r="B127" s="44">
        <v>-228.58819528502391</v>
      </c>
      <c r="C127" s="44">
        <v>-236.15169319467384</v>
      </c>
      <c r="D127" s="44">
        <v>-264.0463013219543</v>
      </c>
      <c r="E127" s="45">
        <v>-288.09878633092023</v>
      </c>
      <c r="F127" s="44">
        <v>-279.28894154405606</v>
      </c>
      <c r="G127" s="44">
        <v>0</v>
      </c>
      <c r="H127" s="44">
        <v>0</v>
      </c>
      <c r="I127" s="44">
        <v>0</v>
      </c>
    </row>
    <row r="128" spans="1:9" ht="15">
      <c r="A128" s="88" t="str">
        <f>HLOOKUP(INDICE!$F$2,Nombres!$C$3:$D$636,41,FALSE)</f>
        <v>  Otros gastos de administración</v>
      </c>
      <c r="B128" s="44">
        <v>-208.6561193761449</v>
      </c>
      <c r="C128" s="44">
        <v>-215.9556159644765</v>
      </c>
      <c r="D128" s="44">
        <v>-247.76593360399517</v>
      </c>
      <c r="E128" s="45">
        <v>-254.01413033076142</v>
      </c>
      <c r="F128" s="44">
        <v>-270.21520920799713</v>
      </c>
      <c r="G128" s="44">
        <v>0</v>
      </c>
      <c r="H128" s="44">
        <v>0</v>
      </c>
      <c r="I128" s="44">
        <v>0</v>
      </c>
    </row>
    <row r="129" spans="1:9" ht="15">
      <c r="A129" s="87" t="str">
        <f>HLOOKUP(INDICE!$F$2,Nombres!$C$3:$D$636,42,FALSE)</f>
        <v>  Amortización</v>
      </c>
      <c r="B129" s="44">
        <v>-70.34434377900736</v>
      </c>
      <c r="C129" s="44">
        <v>-71.2901198909005</v>
      </c>
      <c r="D129" s="44">
        <v>-70.31145638399093</v>
      </c>
      <c r="E129" s="45">
        <v>-70.17434979298251</v>
      </c>
      <c r="F129" s="44">
        <v>-79.07521794401588</v>
      </c>
      <c r="G129" s="44">
        <v>0</v>
      </c>
      <c r="H129" s="44">
        <v>0</v>
      </c>
      <c r="I129" s="44">
        <v>0</v>
      </c>
    </row>
    <row r="130" spans="1:9" ht="15">
      <c r="A130" s="41" t="str">
        <f>HLOOKUP(INDICE!$F$2,Nombres!$C$3:$D$636,43,FALSE)</f>
        <v>Margen neto</v>
      </c>
      <c r="B130" s="41">
        <f aca="true" t="shared" si="20" ref="B130:I130">+B124+B125</f>
        <v>799.4085710783097</v>
      </c>
      <c r="C130" s="41">
        <f t="shared" si="20"/>
        <v>960.8883101440492</v>
      </c>
      <c r="D130" s="41">
        <f t="shared" si="20"/>
        <v>994.4076421113982</v>
      </c>
      <c r="E130" s="42">
        <f t="shared" si="20"/>
        <v>1002.0357818398168</v>
      </c>
      <c r="F130" s="50">
        <f t="shared" si="20"/>
        <v>1055.3765533470846</v>
      </c>
      <c r="G130" s="50">
        <f t="shared" si="20"/>
        <v>0</v>
      </c>
      <c r="H130" s="50">
        <f t="shared" si="20"/>
        <v>0</v>
      </c>
      <c r="I130" s="50">
        <f t="shared" si="20"/>
        <v>0</v>
      </c>
    </row>
    <row r="131" spans="1:9" ht="15">
      <c r="A131" s="87" t="str">
        <f>HLOOKUP(INDICE!$F$2,Nombres!$C$3:$D$636,44,FALSE)</f>
        <v>Deterioro de activos financieros no valorados a valor razonable con cambios en resultados</v>
      </c>
      <c r="B131" s="44">
        <v>-131.48033018101378</v>
      </c>
      <c r="C131" s="44">
        <v>-174.87462701378718</v>
      </c>
      <c r="D131" s="44">
        <v>-352.02299974488494</v>
      </c>
      <c r="E131" s="45">
        <v>-495.79219472682894</v>
      </c>
      <c r="F131" s="44">
        <v>-376.3813495280754</v>
      </c>
      <c r="G131" s="44">
        <v>0</v>
      </c>
      <c r="H131" s="44">
        <v>0</v>
      </c>
      <c r="I131" s="44">
        <v>0</v>
      </c>
    </row>
    <row r="132" spans="1:9" ht="15">
      <c r="A132" s="87" t="str">
        <f>HLOOKUP(INDICE!$F$2,Nombres!$C$3:$D$636,45,FALSE)</f>
        <v>Provisiones o reversión de provisiones y otros resultados</v>
      </c>
      <c r="B132" s="44">
        <v>-38.58638684100403</v>
      </c>
      <c r="C132" s="44">
        <v>-33.47238420894908</v>
      </c>
      <c r="D132" s="44">
        <v>-45.97033772999054</v>
      </c>
      <c r="E132" s="45">
        <v>-36.74221072799123</v>
      </c>
      <c r="F132" s="44">
        <v>8.536180616001715</v>
      </c>
      <c r="G132" s="44">
        <v>0</v>
      </c>
      <c r="H132" s="44">
        <v>0</v>
      </c>
      <c r="I132" s="44">
        <v>0</v>
      </c>
    </row>
    <row r="133" spans="1:9" ht="15">
      <c r="A133" s="89" t="str">
        <f>HLOOKUP(INDICE!$F$2,Nombres!$C$3:$D$636,46,FALSE)</f>
        <v>Resultado antes de impuestos</v>
      </c>
      <c r="B133" s="41">
        <f aca="true" t="shared" si="21" ref="B133:I133">+B130+B131+B132</f>
        <v>629.3418540562919</v>
      </c>
      <c r="C133" s="41">
        <f t="shared" si="21"/>
        <v>752.541298921313</v>
      </c>
      <c r="D133" s="41">
        <f t="shared" si="21"/>
        <v>596.4143046365227</v>
      </c>
      <c r="E133" s="42">
        <f t="shared" si="21"/>
        <v>469.5013763849966</v>
      </c>
      <c r="F133" s="50">
        <f t="shared" si="21"/>
        <v>687.531384435011</v>
      </c>
      <c r="G133" s="50">
        <f t="shared" si="21"/>
        <v>0</v>
      </c>
      <c r="H133" s="50">
        <f t="shared" si="21"/>
        <v>0</v>
      </c>
      <c r="I133" s="50">
        <f t="shared" si="21"/>
        <v>0</v>
      </c>
    </row>
    <row r="134" spans="1:9" ht="15">
      <c r="A134" s="43" t="str">
        <f>HLOOKUP(INDICE!$F$2,Nombres!$C$3:$D$636,47,FALSE)</f>
        <v>Impuesto sobre beneficios</v>
      </c>
      <c r="B134" s="44">
        <v>-160.0948862473347</v>
      </c>
      <c r="C134" s="44">
        <v>-202.3023460094087</v>
      </c>
      <c r="D134" s="44">
        <v>-154.02045146693968</v>
      </c>
      <c r="E134" s="45">
        <v>-152.34704289504754</v>
      </c>
      <c r="F134" s="44">
        <v>-189.62525247613715</v>
      </c>
      <c r="G134" s="44">
        <v>0</v>
      </c>
      <c r="H134" s="44">
        <v>0</v>
      </c>
      <c r="I134" s="44">
        <v>0</v>
      </c>
    </row>
    <row r="135" spans="1:9" ht="15">
      <c r="A135" s="89" t="str">
        <f>HLOOKUP(INDICE!$F$2,Nombres!$C$3:$D$636,48,FALSE)</f>
        <v>Resultado del ejercicio</v>
      </c>
      <c r="B135" s="41">
        <f aca="true" t="shared" si="22" ref="B135:I135">+B133+B134</f>
        <v>469.24696780895727</v>
      </c>
      <c r="C135" s="41">
        <f t="shared" si="22"/>
        <v>550.2389529119043</v>
      </c>
      <c r="D135" s="41">
        <f t="shared" si="22"/>
        <v>442.39385316958305</v>
      </c>
      <c r="E135" s="42">
        <f t="shared" si="22"/>
        <v>317.15433348994907</v>
      </c>
      <c r="F135" s="50">
        <f t="shared" si="22"/>
        <v>497.90613195887386</v>
      </c>
      <c r="G135" s="50">
        <f t="shared" si="22"/>
        <v>0</v>
      </c>
      <c r="H135" s="50">
        <f t="shared" si="22"/>
        <v>0</v>
      </c>
      <c r="I135" s="50">
        <f t="shared" si="22"/>
        <v>0</v>
      </c>
    </row>
    <row r="136" spans="1:9" ht="15">
      <c r="A136" s="87" t="str">
        <f>HLOOKUP(INDICE!$F$2,Nombres!$C$3:$D$636,49,FALSE)</f>
        <v>Minoritarios</v>
      </c>
      <c r="B136" s="44">
        <v>-253.14810486870897</v>
      </c>
      <c r="C136" s="44">
        <v>-282.03775636584254</v>
      </c>
      <c r="D136" s="44">
        <v>-244.68512256696124</v>
      </c>
      <c r="E136" s="45">
        <v>-170.73292048116338</v>
      </c>
      <c r="F136" s="44">
        <v>-264.02345472740683</v>
      </c>
      <c r="G136" s="44">
        <v>0</v>
      </c>
      <c r="H136" s="44">
        <v>0</v>
      </c>
      <c r="I136" s="44">
        <v>0</v>
      </c>
    </row>
    <row r="137" spans="1:9" ht="15">
      <c r="A137" s="90" t="str">
        <f>HLOOKUP(INDICE!$F$2,Nombres!$C$3:$D$636,50,FALSE)</f>
        <v>Resultado atribuido</v>
      </c>
      <c r="B137" s="47">
        <f aca="true" t="shared" si="23" ref="B137:I137">+B135+B136</f>
        <v>216.0988629402483</v>
      </c>
      <c r="C137" s="47">
        <f t="shared" si="23"/>
        <v>268.2011965460618</v>
      </c>
      <c r="D137" s="47">
        <f t="shared" si="23"/>
        <v>197.7087306026218</v>
      </c>
      <c r="E137" s="47">
        <f t="shared" si="23"/>
        <v>146.4214130087857</v>
      </c>
      <c r="F137" s="51">
        <f t="shared" si="23"/>
        <v>233.88267723146703</v>
      </c>
      <c r="G137" s="51">
        <f t="shared" si="23"/>
        <v>0</v>
      </c>
      <c r="H137" s="51">
        <f t="shared" si="23"/>
        <v>0</v>
      </c>
      <c r="I137" s="51">
        <f t="shared" si="23"/>
        <v>0</v>
      </c>
    </row>
    <row r="138" spans="1:9" ht="15">
      <c r="A138" s="91"/>
      <c r="B138" s="63">
        <v>0</v>
      </c>
      <c r="C138" s="63">
        <v>0</v>
      </c>
      <c r="D138" s="63">
        <v>2.8421709430404007E-13</v>
      </c>
      <c r="E138" s="63">
        <v>0</v>
      </c>
      <c r="F138" s="63">
        <v>0</v>
      </c>
      <c r="G138" s="63">
        <v>0</v>
      </c>
      <c r="H138" s="63">
        <v>0</v>
      </c>
      <c r="I138" s="63">
        <v>0</v>
      </c>
    </row>
    <row r="139" spans="1:9" ht="15">
      <c r="A139" s="89"/>
      <c r="B139" s="41"/>
      <c r="C139" s="41"/>
      <c r="D139" s="41"/>
      <c r="E139" s="41"/>
      <c r="F139" s="50"/>
      <c r="G139" s="50"/>
      <c r="H139" s="50"/>
      <c r="I139" s="50"/>
    </row>
    <row r="140" spans="1:9" ht="18">
      <c r="A140" s="92" t="str">
        <f>HLOOKUP(INDICE!$F$2,Nombres!$C$3:$D$636,51,FALSE)</f>
        <v>Balances</v>
      </c>
      <c r="B140" s="34"/>
      <c r="C140" s="34"/>
      <c r="D140" s="34"/>
      <c r="E140" s="34"/>
      <c r="F140" s="68"/>
      <c r="G140" s="68"/>
      <c r="H140" s="68"/>
      <c r="I140" s="68"/>
    </row>
    <row r="141" spans="1:9" ht="15">
      <c r="A141" s="83" t="str">
        <f>HLOOKUP(INDICE!$F$2,Nombres!$C$3:$D$636,79,FALSE)</f>
        <v>(Millones de soles peruanos)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87" t="str">
        <f>HLOOKUP(INDICE!$F$2,Nombres!$C$3:$D$636,52,FALSE)</f>
        <v>Efectivo, saldos en efectivo en bancos centrales y otros depósitos a la vista</v>
      </c>
      <c r="B143" s="44">
        <v>14291.78627312295</v>
      </c>
      <c r="C143" s="44">
        <v>14633.837934224506</v>
      </c>
      <c r="D143" s="44">
        <v>16964.798603822444</v>
      </c>
      <c r="E143" s="45">
        <v>11816.253031875938</v>
      </c>
      <c r="F143" s="44">
        <v>13525.58283866585</v>
      </c>
      <c r="G143" s="44">
        <v>0</v>
      </c>
      <c r="H143" s="44">
        <v>0</v>
      </c>
      <c r="I143" s="44">
        <v>0</v>
      </c>
    </row>
    <row r="144" spans="1:9" ht="15">
      <c r="A144" s="87" t="str">
        <f>HLOOKUP(INDICE!$F$2,Nombres!$C$3:$D$636,53,FALSE)</f>
        <v>Activos financieros a valor razonable</v>
      </c>
      <c r="B144" s="58">
        <v>11999.96836034076</v>
      </c>
      <c r="C144" s="58">
        <v>11721.81398756359</v>
      </c>
      <c r="D144" s="58">
        <v>12943.567165017079</v>
      </c>
      <c r="E144" s="64">
        <v>12926.330124835556</v>
      </c>
      <c r="F144" s="44">
        <v>13119.201415086274</v>
      </c>
      <c r="G144" s="44">
        <v>0</v>
      </c>
      <c r="H144" s="44">
        <v>0</v>
      </c>
      <c r="I144" s="44">
        <v>0</v>
      </c>
    </row>
    <row r="145" spans="1:9" ht="15">
      <c r="A145" s="43" t="str">
        <f>HLOOKUP(INDICE!$F$2,Nombres!$C$3:$D$636,54,FALSE)</f>
        <v>Activos financieros a coste amortizado</v>
      </c>
      <c r="B145" s="44">
        <v>71119.05042786886</v>
      </c>
      <c r="C145" s="44">
        <v>70802.22126676503</v>
      </c>
      <c r="D145" s="44">
        <v>73637.07140415112</v>
      </c>
      <c r="E145" s="45">
        <v>70204.84994949587</v>
      </c>
      <c r="F145" s="44">
        <v>72105.07954668856</v>
      </c>
      <c r="G145" s="44">
        <v>0</v>
      </c>
      <c r="H145" s="44">
        <v>0</v>
      </c>
      <c r="I145" s="44">
        <v>0</v>
      </c>
    </row>
    <row r="146" spans="1:9" ht="15">
      <c r="A146" s="87" t="str">
        <f>HLOOKUP(INDICE!$F$2,Nombres!$C$3:$D$636,55,FALSE)</f>
        <v>    de los que préstamos y anticipos a la clientela</v>
      </c>
      <c r="B146" s="44">
        <v>69796.53525729133</v>
      </c>
      <c r="C146" s="44">
        <v>69370.40071475857</v>
      </c>
      <c r="D146" s="44">
        <v>69923.2576777794</v>
      </c>
      <c r="E146" s="45">
        <v>68967.85021761629</v>
      </c>
      <c r="F146" s="44">
        <v>69940.83822740681</v>
      </c>
      <c r="G146" s="44">
        <v>0</v>
      </c>
      <c r="H146" s="44">
        <v>0</v>
      </c>
      <c r="I146" s="44">
        <v>0</v>
      </c>
    </row>
    <row r="147" spans="1:9" ht="15" customHeight="1" hidden="1">
      <c r="A147" s="87"/>
      <c r="B147" s="44"/>
      <c r="C147" s="44"/>
      <c r="D147" s="44"/>
      <c r="E147" s="45"/>
      <c r="F147" s="44"/>
      <c r="G147" s="44"/>
      <c r="H147" s="44"/>
      <c r="I147" s="44"/>
    </row>
    <row r="148" spans="1:9" ht="15">
      <c r="A148" s="43" t="str">
        <f>HLOOKUP(INDICE!$F$2,Nombres!$C$3:$D$636,56,FALSE)</f>
        <v>Activos tangibles</v>
      </c>
      <c r="B148" s="44">
        <v>1189.0725917065797</v>
      </c>
      <c r="C148" s="44">
        <v>1172.5059393587585</v>
      </c>
      <c r="D148" s="44">
        <v>1219.696968092594</v>
      </c>
      <c r="E148" s="45">
        <v>1258.8844844395674</v>
      </c>
      <c r="F148" s="44">
        <v>1255.1052739706868</v>
      </c>
      <c r="G148" s="44">
        <v>0</v>
      </c>
      <c r="H148" s="44">
        <v>0</v>
      </c>
      <c r="I148" s="44">
        <v>0</v>
      </c>
    </row>
    <row r="149" spans="1:9" ht="15">
      <c r="A149" s="87" t="str">
        <f>HLOOKUP(INDICE!$F$2,Nombres!$C$3:$D$636,57,FALSE)</f>
        <v>Otros activos</v>
      </c>
      <c r="B149" s="58">
        <f aca="true" t="shared" si="25" ref="B149:I149">+B150-B148-B145-B144-B143</f>
        <v>1824.864578954488</v>
      </c>
      <c r="C149" s="58">
        <f t="shared" si="25"/>
        <v>1846.9719030037995</v>
      </c>
      <c r="D149" s="58">
        <f t="shared" si="25"/>
        <v>1817.5119382774392</v>
      </c>
      <c r="E149" s="64">
        <f t="shared" si="25"/>
        <v>2060.022021788114</v>
      </c>
      <c r="F149" s="44">
        <f t="shared" si="25"/>
        <v>2206.3781829958134</v>
      </c>
      <c r="G149" s="44">
        <f t="shared" si="25"/>
        <v>0</v>
      </c>
      <c r="H149" s="44">
        <f t="shared" si="25"/>
        <v>0</v>
      </c>
      <c r="I149" s="44">
        <f t="shared" si="25"/>
        <v>0</v>
      </c>
    </row>
    <row r="150" spans="1:9" ht="15">
      <c r="A150" s="90" t="str">
        <f>HLOOKUP(INDICE!$F$2,Nombres!$C$3:$D$636,58,FALSE)</f>
        <v>Total activo / pasivo</v>
      </c>
      <c r="B150" s="47">
        <v>100424.74223199364</v>
      </c>
      <c r="C150" s="47">
        <v>100177.35103091568</v>
      </c>
      <c r="D150" s="47">
        <v>106582.64607936068</v>
      </c>
      <c r="E150" s="47">
        <v>98266.33961243504</v>
      </c>
      <c r="F150" s="51">
        <v>102211.3472574072</v>
      </c>
      <c r="G150" s="51">
        <v>0</v>
      </c>
      <c r="H150" s="51">
        <v>0</v>
      </c>
      <c r="I150" s="51">
        <v>0</v>
      </c>
    </row>
    <row r="151" spans="1:9" ht="15">
      <c r="A151" s="87" t="str">
        <f>HLOOKUP(INDICE!$F$2,Nombres!$C$3:$D$636,59,FALSE)</f>
        <v>Pasivos financieros mantenidos para negociar y designados a valor razonable con cambios en resultados</v>
      </c>
      <c r="B151" s="58">
        <v>1734.5022985913872</v>
      </c>
      <c r="C151" s="58">
        <v>1609.646825974296</v>
      </c>
      <c r="D151" s="58">
        <v>1779.8057005199482</v>
      </c>
      <c r="E151" s="64">
        <v>1529.0398670794743</v>
      </c>
      <c r="F151" s="44">
        <v>1498.3778614624325</v>
      </c>
      <c r="G151" s="44">
        <v>0</v>
      </c>
      <c r="H151" s="44">
        <v>0</v>
      </c>
      <c r="I151" s="44">
        <v>0</v>
      </c>
    </row>
    <row r="152" spans="1:9" ht="15">
      <c r="A152" s="87" t="str">
        <f>HLOOKUP(INDICE!$F$2,Nombres!$C$3:$D$636,60,FALSE)</f>
        <v>Depósitos de bancos centrales y entidades de crédito</v>
      </c>
      <c r="B152" s="58">
        <v>17165.861260471935</v>
      </c>
      <c r="C152" s="58">
        <v>15730.847959327344</v>
      </c>
      <c r="D152" s="58">
        <v>15039.862668994665</v>
      </c>
      <c r="E152" s="64">
        <v>12567.28061379568</v>
      </c>
      <c r="F152" s="44">
        <v>12448.065694622976</v>
      </c>
      <c r="G152" s="44">
        <v>0</v>
      </c>
      <c r="H152" s="44">
        <v>0</v>
      </c>
      <c r="I152" s="44">
        <v>0</v>
      </c>
    </row>
    <row r="153" spans="1:9" ht="15">
      <c r="A153" s="87" t="str">
        <f>HLOOKUP(INDICE!$F$2,Nombres!$C$3:$D$636,61,FALSE)</f>
        <v>Depósitos de la clientela</v>
      </c>
      <c r="B153" s="58">
        <v>61637.90186488822</v>
      </c>
      <c r="C153" s="58">
        <v>63377.109017812894</v>
      </c>
      <c r="D153" s="58">
        <v>70438.6793952908</v>
      </c>
      <c r="E153" s="64">
        <v>65810.93205981737</v>
      </c>
      <c r="F153" s="44">
        <v>67209.6425699777</v>
      </c>
      <c r="G153" s="44">
        <v>0</v>
      </c>
      <c r="H153" s="44">
        <v>0</v>
      </c>
      <c r="I153" s="44">
        <v>0</v>
      </c>
    </row>
    <row r="154" spans="1:9" ht="15">
      <c r="A154" s="43" t="str">
        <f>HLOOKUP(INDICE!$F$2,Nombres!$C$3:$D$636,62,FALSE)</f>
        <v>Valores representativos de deuda emitidos</v>
      </c>
      <c r="B154" s="44">
        <v>5649.994743359681</v>
      </c>
      <c r="C154" s="44">
        <v>6506.462407960147</v>
      </c>
      <c r="D154" s="44">
        <v>4292.690129281878</v>
      </c>
      <c r="E154" s="45">
        <v>3843.6948266630834</v>
      </c>
      <c r="F154" s="44">
        <v>3835.4839009174234</v>
      </c>
      <c r="G154" s="44">
        <v>0</v>
      </c>
      <c r="H154" s="44">
        <v>0</v>
      </c>
      <c r="I154" s="44">
        <v>0</v>
      </c>
    </row>
    <row r="155" spans="1:9" ht="15" customHeight="1" hidden="1">
      <c r="A155" s="43"/>
      <c r="B155" s="44"/>
      <c r="C155" s="44"/>
      <c r="D155" s="44"/>
      <c r="E155" s="45"/>
      <c r="F155" s="44"/>
      <c r="G155" s="44"/>
      <c r="H155" s="44"/>
      <c r="I155" s="44"/>
    </row>
    <row r="156" spans="1:9" ht="15.75" customHeight="1">
      <c r="A156" s="87" t="str">
        <f>HLOOKUP(INDICE!$F$2,Nombres!$C$3:$D$636,63,FALSE)</f>
        <v>Otros pasivos</v>
      </c>
      <c r="B156" s="58">
        <f aca="true" t="shared" si="26" ref="B156:I156">+B150-B151-B152-B153-B154-B157</f>
        <v>4544.345050135451</v>
      </c>
      <c r="C156" s="58">
        <f t="shared" si="26"/>
        <v>3242.6946405864055</v>
      </c>
      <c r="D156" s="58">
        <f t="shared" si="26"/>
        <v>5038.374788669496</v>
      </c>
      <c r="E156" s="64">
        <f t="shared" si="26"/>
        <v>4661.236804307466</v>
      </c>
      <c r="F156" s="44">
        <f t="shared" si="26"/>
        <v>7852.393986689482</v>
      </c>
      <c r="G156" s="44">
        <f t="shared" si="26"/>
        <v>0</v>
      </c>
      <c r="H156" s="44">
        <f t="shared" si="26"/>
        <v>0</v>
      </c>
      <c r="I156" s="44">
        <f t="shared" si="26"/>
        <v>0</v>
      </c>
    </row>
    <row r="157" spans="1:9" ht="15.75" customHeight="1">
      <c r="A157" s="43" t="str">
        <f>HLOOKUP(INDICE!$F$2,Nombres!$C$3:$D$636,282,FALSE)</f>
        <v>Dotación de capital regulatorio</v>
      </c>
      <c r="B157" s="58">
        <v>9692.137014546974</v>
      </c>
      <c r="C157" s="58">
        <v>9710.590179254588</v>
      </c>
      <c r="D157" s="58">
        <v>9993.233396603882</v>
      </c>
      <c r="E157" s="64">
        <v>9854.15544077198</v>
      </c>
      <c r="F157" s="44">
        <v>9367.38324373718</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Indicadores relevantes y de gestión</v>
      </c>
      <c r="B160" s="34"/>
      <c r="C160" s="34"/>
      <c r="D160" s="34"/>
      <c r="E160" s="34"/>
      <c r="F160" s="68"/>
      <c r="G160" s="68"/>
      <c r="H160" s="68"/>
      <c r="I160" s="68"/>
    </row>
    <row r="161" spans="1:9" ht="15">
      <c r="A161" s="83" t="str">
        <f>HLOOKUP(INDICE!$F$2,Nombres!$C$3:$D$636,79,FALSE)</f>
        <v>(Millones de soles peruanos)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87" t="str">
        <f>HLOOKUP(INDICE!$F$2,Nombres!$C$3:$D$636,66,FALSE)</f>
        <v>Préstamos y anticipos a la clientela bruto (*)</v>
      </c>
      <c r="B163" s="44">
        <v>73285.82744262011</v>
      </c>
      <c r="C163" s="44">
        <v>73002.73212901871</v>
      </c>
      <c r="D163" s="44">
        <v>73573.0868440792</v>
      </c>
      <c r="E163" s="45">
        <v>72542.09608181506</v>
      </c>
      <c r="F163" s="44">
        <v>73586.454463379</v>
      </c>
      <c r="G163" s="44">
        <v>0</v>
      </c>
      <c r="H163" s="44">
        <v>0</v>
      </c>
      <c r="I163" s="44">
        <v>0</v>
      </c>
    </row>
    <row r="164" spans="1:9" ht="15">
      <c r="A164" s="87" t="str">
        <f>HLOOKUP(INDICE!$F$2,Nombres!$C$3:$D$636,67,FALSE)</f>
        <v>Depósitos de clientes en gestión (**)</v>
      </c>
      <c r="B164" s="44">
        <v>61637.90186488821</v>
      </c>
      <c r="C164" s="44">
        <v>63377.1090178129</v>
      </c>
      <c r="D164" s="44">
        <v>70438.67939529082</v>
      </c>
      <c r="E164" s="45">
        <v>65810.93205981738</v>
      </c>
      <c r="F164" s="44">
        <v>67209.64256997769</v>
      </c>
      <c r="G164" s="44">
        <v>0</v>
      </c>
      <c r="H164" s="44">
        <v>0</v>
      </c>
      <c r="I164" s="44">
        <v>0</v>
      </c>
    </row>
    <row r="165" spans="1:9" ht="15">
      <c r="A165" s="43" t="str">
        <f>HLOOKUP(INDICE!$F$2,Nombres!$C$3:$D$636,68,FALSE)</f>
        <v>Fondos de inversión y carteras gestionadas</v>
      </c>
      <c r="B165" s="44">
        <v>6336.757259075768</v>
      </c>
      <c r="C165" s="44">
        <v>5672.051273291387</v>
      </c>
      <c r="D165" s="44">
        <v>5869.31346775052</v>
      </c>
      <c r="E165" s="45">
        <v>5893.793835423048</v>
      </c>
      <c r="F165" s="44">
        <v>5919.590767073701</v>
      </c>
      <c r="G165" s="44">
        <v>0</v>
      </c>
      <c r="H165" s="44">
        <v>0</v>
      </c>
      <c r="I165" s="44">
        <v>0</v>
      </c>
    </row>
    <row r="166" spans="1:9" ht="15">
      <c r="A166" s="87" t="str">
        <f>HLOOKUP(INDICE!$F$2,Nombres!$C$3:$D$636,69,FALSE)</f>
        <v>Fondos de pensiones</v>
      </c>
      <c r="B166" s="44">
        <v>0</v>
      </c>
      <c r="C166" s="44">
        <v>0</v>
      </c>
      <c r="D166" s="44">
        <v>0</v>
      </c>
      <c r="E166" s="45">
        <v>0</v>
      </c>
      <c r="F166" s="44">
        <v>0</v>
      </c>
      <c r="G166" s="44">
        <v>0</v>
      </c>
      <c r="H166" s="44">
        <v>0</v>
      </c>
      <c r="I166" s="44">
        <v>0</v>
      </c>
    </row>
    <row r="167" spans="1:15" ht="15">
      <c r="A167" s="87"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91" t="str">
        <f>HLOOKUP(INDICE!$F$2,Nombres!$C$3:$D$636,71,FALSE)</f>
        <v>(*) No incluye las adquisiciones temporales de activos.</v>
      </c>
      <c r="B168" s="58"/>
      <c r="C168" s="58"/>
      <c r="D168" s="58"/>
      <c r="E168" s="58"/>
      <c r="F168" s="44"/>
      <c r="G168" s="44"/>
      <c r="H168" s="44"/>
      <c r="I168" s="44"/>
      <c r="N168" s="73"/>
      <c r="O168" s="73"/>
    </row>
    <row r="169" spans="1:15" ht="15">
      <c r="A169" s="91"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261" operator="notBetween">
      <formula>0.5</formula>
      <formula>-0.5</formula>
    </cfRule>
  </conditionalFormatting>
  <conditionalFormatting sqref="B82:I82">
    <cfRule type="cellIs" priority="2" dxfId="261" operator="notBetween">
      <formula>0.5</formula>
      <formula>-0.5</formula>
    </cfRule>
  </conditionalFormatting>
  <conditionalFormatting sqref="B138:I138">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53.28125" style="31" customWidth="1"/>
    <col min="2" max="6" width="11.421875" style="31" customWidth="1"/>
    <col min="7" max="9" width="0" style="31" hidden="1" customWidth="1"/>
    <col min="10" max="16384" width="11.421875" style="31" customWidth="1"/>
  </cols>
  <sheetData>
    <row r="1" spans="1:9" ht="18">
      <c r="A1" s="82"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4" ht="15">
      <c r="A8" s="41" t="str">
        <f>HLOOKUP(INDICE!$F$2,Nombres!$C$3:$D$636,33,FALSE)</f>
        <v>Margen de intereses</v>
      </c>
      <c r="B8" s="41">
        <v>75.46230687</v>
      </c>
      <c r="C8" s="41">
        <v>79.58295258</v>
      </c>
      <c r="D8" s="41">
        <v>88.08364433</v>
      </c>
      <c r="E8" s="42">
        <v>88.86750015000001</v>
      </c>
      <c r="F8" s="50">
        <v>113.4408263</v>
      </c>
      <c r="G8" s="237">
        <v>0</v>
      </c>
      <c r="H8" s="237">
        <v>0</v>
      </c>
      <c r="I8" s="237">
        <v>0</v>
      </c>
      <c r="J8" s="86"/>
      <c r="K8" s="86"/>
      <c r="L8" s="86"/>
      <c r="M8" s="86"/>
      <c r="N8" s="86"/>
    </row>
    <row r="9" spans="1:9" ht="15">
      <c r="A9" s="87" t="str">
        <f>HLOOKUP(INDICE!$F$2,Nombres!$C$3:$D$636,34,FALSE)</f>
        <v>Comisiones netas</v>
      </c>
      <c r="B9" s="44">
        <v>56.093056250000004</v>
      </c>
      <c r="C9" s="44">
        <v>65.45785438</v>
      </c>
      <c r="D9" s="44">
        <v>64.02634195</v>
      </c>
      <c r="E9" s="45">
        <v>57.09226649</v>
      </c>
      <c r="F9" s="44">
        <v>68.59665174</v>
      </c>
      <c r="G9" s="44">
        <v>0</v>
      </c>
      <c r="H9" s="44">
        <v>0</v>
      </c>
      <c r="I9" s="44">
        <v>0</v>
      </c>
    </row>
    <row r="10" spans="1:9" ht="15">
      <c r="A10" s="87" t="str">
        <f>HLOOKUP(INDICE!$F$2,Nombres!$C$3:$D$636,35,FALSE)</f>
        <v>Resultados de operaciones financieras</v>
      </c>
      <c r="B10" s="44">
        <v>68.10386856</v>
      </c>
      <c r="C10" s="44">
        <v>35.36542218999999</v>
      </c>
      <c r="D10" s="44">
        <v>47.0346505</v>
      </c>
      <c r="E10" s="45">
        <v>57.76341672</v>
      </c>
      <c r="F10" s="44">
        <v>76.90762292</v>
      </c>
      <c r="G10" s="44">
        <v>0</v>
      </c>
      <c r="H10" s="44">
        <v>0</v>
      </c>
      <c r="I10" s="44">
        <v>0</v>
      </c>
    </row>
    <row r="11" spans="1:9" ht="15">
      <c r="A11" s="87" t="str">
        <f>HLOOKUP(INDICE!$F$2,Nombres!$C$3:$D$636,36,FALSE)</f>
        <v>Otros ingresos y cargas de explotación</v>
      </c>
      <c r="B11" s="44">
        <v>2.55566142</v>
      </c>
      <c r="C11" s="44">
        <v>1.1864515800000002</v>
      </c>
      <c r="D11" s="44">
        <v>1.2229506200000009</v>
      </c>
      <c r="E11" s="45">
        <v>1.6406525399999994</v>
      </c>
      <c r="F11" s="44">
        <v>0.8750368000000002</v>
      </c>
      <c r="G11" s="44">
        <v>0</v>
      </c>
      <c r="H11" s="44">
        <v>0</v>
      </c>
      <c r="I11" s="44">
        <v>0</v>
      </c>
    </row>
    <row r="12" spans="1:9" ht="15">
      <c r="A12" s="41" t="str">
        <f>HLOOKUP(INDICE!$F$2,Nombres!$C$3:$D$636,37,FALSE)</f>
        <v>Margen bruto</v>
      </c>
      <c r="B12" s="41">
        <f aca="true" t="shared" si="0" ref="B12:I12">+SUM(B8:B11)</f>
        <v>202.2148931</v>
      </c>
      <c r="C12" s="41">
        <f t="shared" si="0"/>
        <v>181.59268073</v>
      </c>
      <c r="D12" s="41">
        <f t="shared" si="0"/>
        <v>200.3675874</v>
      </c>
      <c r="E12" s="42">
        <f t="shared" si="0"/>
        <v>205.3638359</v>
      </c>
      <c r="F12" s="50">
        <f t="shared" si="0"/>
        <v>259.82013775999997</v>
      </c>
      <c r="G12" s="50">
        <f t="shared" si="0"/>
        <v>0</v>
      </c>
      <c r="H12" s="50">
        <f t="shared" si="0"/>
        <v>0</v>
      </c>
      <c r="I12" s="50">
        <f t="shared" si="0"/>
        <v>0</v>
      </c>
    </row>
    <row r="13" spans="1:9" ht="15">
      <c r="A13" s="87" t="str">
        <f>HLOOKUP(INDICE!$F$2,Nombres!$C$3:$D$636,38,FALSE)</f>
        <v>Gastos de explotación</v>
      </c>
      <c r="B13" s="44">
        <v>-114.80448189</v>
      </c>
      <c r="C13" s="44">
        <v>-118.83271633999999</v>
      </c>
      <c r="D13" s="44">
        <v>-133.60820512</v>
      </c>
      <c r="E13" s="45">
        <v>-146.22540250000003</v>
      </c>
      <c r="F13" s="44">
        <v>-137.88793054</v>
      </c>
      <c r="G13" s="44">
        <v>0</v>
      </c>
      <c r="H13" s="44">
        <v>0</v>
      </c>
      <c r="I13" s="44">
        <v>0</v>
      </c>
    </row>
    <row r="14" spans="1:9" ht="15">
      <c r="A14" s="87" t="str">
        <f>HLOOKUP(INDICE!$F$2,Nombres!$C$3:$D$636,39,FALSE)</f>
        <v>  Gastos de administración</v>
      </c>
      <c r="B14" s="44">
        <v>-109.53336089999999</v>
      </c>
      <c r="C14" s="44">
        <v>-113.24101933</v>
      </c>
      <c r="D14" s="44">
        <v>-127.18100712</v>
      </c>
      <c r="E14" s="45">
        <v>-140.7551885</v>
      </c>
      <c r="F14" s="44">
        <v>-131.95176544</v>
      </c>
      <c r="G14" s="44">
        <v>0</v>
      </c>
      <c r="H14" s="44">
        <v>0</v>
      </c>
      <c r="I14" s="44">
        <v>0</v>
      </c>
    </row>
    <row r="15" spans="1:9" ht="15">
      <c r="A15" s="88" t="str">
        <f>HLOOKUP(INDICE!$F$2,Nombres!$C$3:$D$636,40,FALSE)</f>
        <v>  Gastos de personal</v>
      </c>
      <c r="B15" s="44">
        <v>-61.2703584</v>
      </c>
      <c r="C15" s="44">
        <v>-59.588169300000004</v>
      </c>
      <c r="D15" s="44">
        <v>-71.74279032</v>
      </c>
      <c r="E15" s="45">
        <v>-74.03581346</v>
      </c>
      <c r="F15" s="44">
        <v>-69.73872700000001</v>
      </c>
      <c r="G15" s="44">
        <v>0</v>
      </c>
      <c r="H15" s="44">
        <v>0</v>
      </c>
      <c r="I15" s="44">
        <v>0</v>
      </c>
    </row>
    <row r="16" spans="1:9" ht="15">
      <c r="A16" s="88" t="str">
        <f>HLOOKUP(INDICE!$F$2,Nombres!$C$3:$D$636,41,FALSE)</f>
        <v>  Otros gastos de administración</v>
      </c>
      <c r="B16" s="44">
        <v>-48.2630025</v>
      </c>
      <c r="C16" s="44">
        <v>-53.652850029999996</v>
      </c>
      <c r="D16" s="44">
        <v>-55.43821679999999</v>
      </c>
      <c r="E16" s="45">
        <v>-66.71937504000002</v>
      </c>
      <c r="F16" s="44">
        <v>-62.21303844</v>
      </c>
      <c r="G16" s="44">
        <v>0</v>
      </c>
      <c r="H16" s="44">
        <v>0</v>
      </c>
      <c r="I16" s="44">
        <v>0</v>
      </c>
    </row>
    <row r="17" spans="1:9" ht="15">
      <c r="A17" s="87" t="str">
        <f>HLOOKUP(INDICE!$F$2,Nombres!$C$3:$D$636,42,FALSE)</f>
        <v>  Amortización</v>
      </c>
      <c r="B17" s="44">
        <v>-5.27112099</v>
      </c>
      <c r="C17" s="44">
        <v>-5.591697010000001</v>
      </c>
      <c r="D17" s="44">
        <v>-6.427198</v>
      </c>
      <c r="E17" s="45">
        <v>-5.470214</v>
      </c>
      <c r="F17" s="44">
        <v>-5.9361651</v>
      </c>
      <c r="G17" s="44">
        <v>0</v>
      </c>
      <c r="H17" s="44">
        <v>0</v>
      </c>
      <c r="I17" s="44">
        <v>0</v>
      </c>
    </row>
    <row r="18" spans="1:9" ht="15">
      <c r="A18" s="41" t="str">
        <f>HLOOKUP(INDICE!$F$2,Nombres!$C$3:$D$636,43,FALSE)</f>
        <v>Margen neto</v>
      </c>
      <c r="B18" s="41">
        <f aca="true" t="shared" si="1" ref="B18:I18">+B12+B13</f>
        <v>87.41041121</v>
      </c>
      <c r="C18" s="41">
        <f t="shared" si="1"/>
        <v>62.75996439000002</v>
      </c>
      <c r="D18" s="41">
        <f t="shared" si="1"/>
        <v>66.75938227999998</v>
      </c>
      <c r="E18" s="42">
        <f t="shared" si="1"/>
        <v>59.13843339999997</v>
      </c>
      <c r="F18" s="50">
        <f t="shared" si="1"/>
        <v>121.93220721999995</v>
      </c>
      <c r="G18" s="50">
        <f t="shared" si="1"/>
        <v>0</v>
      </c>
      <c r="H18" s="50">
        <f t="shared" si="1"/>
        <v>0</v>
      </c>
      <c r="I18" s="50">
        <f t="shared" si="1"/>
        <v>0</v>
      </c>
    </row>
    <row r="19" spans="1:9" ht="15">
      <c r="A19" s="87" t="str">
        <f>HLOOKUP(INDICE!$F$2,Nombres!$C$3:$D$636,44,FALSE)</f>
        <v>Deterioro de activos financieros no valorados a valor razonable con cambios en resultados</v>
      </c>
      <c r="B19" s="44">
        <v>7.381874779999999</v>
      </c>
      <c r="C19" s="44">
        <v>-7.522930580000001</v>
      </c>
      <c r="D19" s="44">
        <v>-3.6630166199999987</v>
      </c>
      <c r="E19" s="45">
        <v>-9.524007400000002</v>
      </c>
      <c r="F19" s="44">
        <v>-18.47068316</v>
      </c>
      <c r="G19" s="44">
        <v>0</v>
      </c>
      <c r="H19" s="44">
        <v>0</v>
      </c>
      <c r="I19" s="44">
        <v>0</v>
      </c>
    </row>
    <row r="20" spans="1:9" ht="15">
      <c r="A20" s="87" t="str">
        <f>HLOOKUP(INDICE!$F$2,Nombres!$C$3:$D$636,45,FALSE)</f>
        <v>Provisiones o reversión de provisiones y otros resultados</v>
      </c>
      <c r="B20" s="44">
        <v>9.783666000000004</v>
      </c>
      <c r="C20" s="44">
        <v>2.5324270000000015</v>
      </c>
      <c r="D20" s="44">
        <v>3.1083999999999983</v>
      </c>
      <c r="E20" s="45">
        <v>-1.2586537599999987</v>
      </c>
      <c r="F20" s="44">
        <v>7.387534990000002</v>
      </c>
      <c r="G20" s="44">
        <v>0</v>
      </c>
      <c r="H20" s="44">
        <v>0</v>
      </c>
      <c r="I20" s="44">
        <v>0</v>
      </c>
    </row>
    <row r="21" spans="1:9" ht="15">
      <c r="A21" s="89" t="str">
        <f>HLOOKUP(INDICE!$F$2,Nombres!$C$3:$D$636,46,FALSE)</f>
        <v>Resultado antes de impuestos</v>
      </c>
      <c r="B21" s="41">
        <f aca="true" t="shared" si="2" ref="B21:I21">+B18+B19+B20</f>
        <v>104.57595199000002</v>
      </c>
      <c r="C21" s="41">
        <f t="shared" si="2"/>
        <v>57.76946081000002</v>
      </c>
      <c r="D21" s="41">
        <f t="shared" si="2"/>
        <v>66.20476565999998</v>
      </c>
      <c r="E21" s="42">
        <f t="shared" si="2"/>
        <v>48.355772239999965</v>
      </c>
      <c r="F21" s="50">
        <f t="shared" si="2"/>
        <v>110.84905904999997</v>
      </c>
      <c r="G21" s="50">
        <f t="shared" si="2"/>
        <v>0</v>
      </c>
      <c r="H21" s="50">
        <f t="shared" si="2"/>
        <v>0</v>
      </c>
      <c r="I21" s="50">
        <f t="shared" si="2"/>
        <v>0</v>
      </c>
    </row>
    <row r="22" spans="1:9" ht="15">
      <c r="A22" s="43" t="str">
        <f>HLOOKUP(INDICE!$F$2,Nombres!$C$3:$D$636,47,FALSE)</f>
        <v>Impuesto sobre beneficios</v>
      </c>
      <c r="B22" s="44">
        <v>-23.111153390000005</v>
      </c>
      <c r="C22" s="44">
        <v>-11.20893343</v>
      </c>
      <c r="D22" s="44">
        <v>-11.964383910000002</v>
      </c>
      <c r="E22" s="45">
        <v>8.913919939999996</v>
      </c>
      <c r="F22" s="44">
        <v>-19.25269747</v>
      </c>
      <c r="G22" s="44">
        <v>0</v>
      </c>
      <c r="H22" s="44">
        <v>0</v>
      </c>
      <c r="I22" s="44">
        <v>0</v>
      </c>
    </row>
    <row r="23" spans="1:9" ht="15">
      <c r="A23" s="89" t="str">
        <f>HLOOKUP(INDICE!$F$2,Nombres!$C$3:$D$636,48,FALSE)</f>
        <v>Resultado del ejercicio</v>
      </c>
      <c r="B23" s="41">
        <f aca="true" t="shared" si="3" ref="B23:I23">+B21+B22</f>
        <v>81.46479860000002</v>
      </c>
      <c r="C23" s="41">
        <f t="shared" si="3"/>
        <v>46.56052738000002</v>
      </c>
      <c r="D23" s="41">
        <f t="shared" si="3"/>
        <v>54.240381749999976</v>
      </c>
      <c r="E23" s="42">
        <f t="shared" si="3"/>
        <v>57.269692179999964</v>
      </c>
      <c r="F23" s="50">
        <f t="shared" si="3"/>
        <v>91.59636157999996</v>
      </c>
      <c r="G23" s="50">
        <f t="shared" si="3"/>
        <v>0</v>
      </c>
      <c r="H23" s="50">
        <f t="shared" si="3"/>
        <v>0</v>
      </c>
      <c r="I23" s="50">
        <f t="shared" si="3"/>
        <v>0</v>
      </c>
    </row>
    <row r="24" spans="1:9" ht="15">
      <c r="A24" s="87" t="str">
        <f>HLOOKUP(INDICE!$F$2,Nombres!$C$3:$D$636,49,FALSE)</f>
        <v>Minoritarios</v>
      </c>
      <c r="B24" s="44">
        <v>0</v>
      </c>
      <c r="C24" s="44">
        <v>0</v>
      </c>
      <c r="D24" s="44">
        <v>0</v>
      </c>
      <c r="E24" s="45">
        <v>0</v>
      </c>
      <c r="F24" s="44">
        <v>0</v>
      </c>
      <c r="G24" s="44">
        <v>0</v>
      </c>
      <c r="H24" s="44">
        <v>0</v>
      </c>
      <c r="I24" s="44">
        <v>0</v>
      </c>
    </row>
    <row r="25" spans="1:9" ht="15">
      <c r="A25" s="90" t="str">
        <f>HLOOKUP(INDICE!$F$2,Nombres!$C$3:$D$636,50,FALSE)</f>
        <v>Resultado atribuido</v>
      </c>
      <c r="B25" s="47">
        <f aca="true" t="shared" si="4" ref="B25:I25">+B23+B24</f>
        <v>81.46479860000002</v>
      </c>
      <c r="C25" s="47">
        <f t="shared" si="4"/>
        <v>46.56052738000002</v>
      </c>
      <c r="D25" s="47">
        <f t="shared" si="4"/>
        <v>54.240381749999976</v>
      </c>
      <c r="E25" s="47">
        <f t="shared" si="4"/>
        <v>57.269692179999964</v>
      </c>
      <c r="F25" s="51">
        <f t="shared" si="4"/>
        <v>91.59636157999996</v>
      </c>
      <c r="G25" s="51">
        <f t="shared" si="4"/>
        <v>0</v>
      </c>
      <c r="H25" s="51">
        <f t="shared" si="4"/>
        <v>0</v>
      </c>
      <c r="I25" s="51">
        <f t="shared" si="4"/>
        <v>0</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87" t="str">
        <f>HLOOKUP(INDICE!$F$2,Nombres!$C$3:$D$636,52,FALSE)</f>
        <v>Efectivo, saldos en efectivo en bancos centrales y otros depósitos a la vista</v>
      </c>
      <c r="B31" s="44">
        <v>3807.8076</v>
      </c>
      <c r="C31" s="44">
        <v>5108.223216</v>
      </c>
      <c r="D31" s="44">
        <v>4917.510686999999</v>
      </c>
      <c r="E31" s="45">
        <v>4015.1228420099997</v>
      </c>
      <c r="F31" s="44">
        <v>4135.12968</v>
      </c>
      <c r="G31" s="44">
        <v>0</v>
      </c>
      <c r="H31" s="44">
        <v>0</v>
      </c>
      <c r="I31" s="44">
        <v>0</v>
      </c>
    </row>
    <row r="32" spans="1:9" ht="15">
      <c r="A32" s="87" t="str">
        <f>HLOOKUP(INDICE!$F$2,Nombres!$C$3:$D$636,53,FALSE)</f>
        <v>Activos financieros a valor razonable</v>
      </c>
      <c r="B32" s="58">
        <v>8584.09004439</v>
      </c>
      <c r="C32" s="58">
        <v>5714.56048539</v>
      </c>
      <c r="D32" s="58">
        <v>3967.1003933899997</v>
      </c>
      <c r="E32" s="64">
        <v>5090.235998390001</v>
      </c>
      <c r="F32" s="44">
        <v>6651.864088390001</v>
      </c>
      <c r="G32" s="44">
        <v>0</v>
      </c>
      <c r="H32" s="44">
        <v>0</v>
      </c>
      <c r="I32" s="44">
        <v>0</v>
      </c>
    </row>
    <row r="33" spans="1:9" ht="15">
      <c r="A33" s="43" t="str">
        <f>HLOOKUP(INDICE!$F$2,Nombres!$C$3:$D$636,54,FALSE)</f>
        <v>Activos financieros a coste amortizado</v>
      </c>
      <c r="B33" s="44">
        <v>34733.303306</v>
      </c>
      <c r="C33" s="44">
        <v>34949.66198401</v>
      </c>
      <c r="D33" s="44">
        <v>38111.899728000004</v>
      </c>
      <c r="E33" s="45">
        <v>40425.476668339994</v>
      </c>
      <c r="F33" s="44">
        <v>39166.61628133</v>
      </c>
      <c r="G33" s="44">
        <v>0</v>
      </c>
      <c r="H33" s="44">
        <v>0</v>
      </c>
      <c r="I33" s="44">
        <v>0</v>
      </c>
    </row>
    <row r="34" spans="1:9" ht="15">
      <c r="A34" s="87" t="str">
        <f>HLOOKUP(INDICE!$F$2,Nombres!$C$3:$D$636,55,FALSE)</f>
        <v>    de los que préstamos y anticipos a la clientela</v>
      </c>
      <c r="B34" s="44">
        <v>31494.501316</v>
      </c>
      <c r="C34" s="44">
        <v>32141.867406</v>
      </c>
      <c r="D34" s="44">
        <v>35319.185594</v>
      </c>
      <c r="E34" s="45">
        <v>37374.89568433</v>
      </c>
      <c r="F34" s="44">
        <v>35946.05568833</v>
      </c>
      <c r="G34" s="44">
        <v>0</v>
      </c>
      <c r="H34" s="44">
        <v>0</v>
      </c>
      <c r="I34" s="44">
        <v>0</v>
      </c>
    </row>
    <row r="35" spans="1:9" ht="15">
      <c r="A35" s="87"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79.44900999000001</v>
      </c>
      <c r="C36" s="44">
        <v>76.86584500000001</v>
      </c>
      <c r="D36" s="44">
        <v>80.27694999</v>
      </c>
      <c r="E36" s="45">
        <v>78.23120098999999</v>
      </c>
      <c r="F36" s="44">
        <v>74.864499</v>
      </c>
      <c r="G36" s="44">
        <v>0</v>
      </c>
      <c r="H36" s="44">
        <v>0</v>
      </c>
      <c r="I36" s="44">
        <v>0</v>
      </c>
    </row>
    <row r="37" spans="1:9" ht="15">
      <c r="A37" s="87" t="str">
        <f>HLOOKUP(INDICE!$F$2,Nombres!$C$3:$D$636,57,FALSE)</f>
        <v>Otros activos</v>
      </c>
      <c r="B37" s="58">
        <f>+B38-B36-B33-B32-B31-B35</f>
        <v>366.1890509900004</v>
      </c>
      <c r="C37" s="58">
        <f aca="true" t="shared" si="5" ref="C37:I37">+C38-C36-C33-C32-C31</f>
        <v>326.22490300000027</v>
      </c>
      <c r="D37" s="58">
        <f t="shared" si="5"/>
        <v>454.8457270000026</v>
      </c>
      <c r="E37" s="64">
        <f t="shared" si="5"/>
        <v>343.35330900001554</v>
      </c>
      <c r="F37" s="44">
        <f t="shared" si="5"/>
        <v>378.8485239999991</v>
      </c>
      <c r="G37" s="44">
        <f t="shared" si="5"/>
        <v>0</v>
      </c>
      <c r="H37" s="44">
        <f t="shared" si="5"/>
        <v>0</v>
      </c>
      <c r="I37" s="44">
        <f t="shared" si="5"/>
        <v>0</v>
      </c>
    </row>
    <row r="38" spans="1:9" ht="15">
      <c r="A38" s="90" t="str">
        <f>HLOOKUP(INDICE!$F$2,Nombres!$C$3:$D$636,58,FALSE)</f>
        <v>Total activo / pasivo</v>
      </c>
      <c r="B38" s="47">
        <v>47570.83901137</v>
      </c>
      <c r="C38" s="47">
        <v>46175.536433400004</v>
      </c>
      <c r="D38" s="47">
        <v>47531.63348538001</v>
      </c>
      <c r="E38" s="70">
        <v>49952.42001873001</v>
      </c>
      <c r="F38" s="47">
        <v>50407.323072720006</v>
      </c>
      <c r="G38" s="47">
        <v>0</v>
      </c>
      <c r="H38" s="47">
        <v>0</v>
      </c>
      <c r="I38" s="47">
        <v>0</v>
      </c>
    </row>
    <row r="39" spans="1:9" ht="15">
      <c r="A39" s="87" t="str">
        <f>HLOOKUP(INDICE!$F$2,Nombres!$C$3:$D$636,59,FALSE)</f>
        <v>Pasivos financieros mantenidos para negociar y designados a valor razonable con cambios en resultados</v>
      </c>
      <c r="B39" s="58">
        <v>7913.3688489999995</v>
      </c>
      <c r="C39" s="58">
        <v>5024.269488</v>
      </c>
      <c r="D39" s="58">
        <v>3274.364747</v>
      </c>
      <c r="E39" s="64">
        <v>4397.298547</v>
      </c>
      <c r="F39" s="44">
        <v>5941.912052999999</v>
      </c>
      <c r="G39" s="44">
        <v>0</v>
      </c>
      <c r="H39" s="44">
        <v>0</v>
      </c>
      <c r="I39" s="44">
        <v>0</v>
      </c>
    </row>
    <row r="40" spans="1:9" ht="15">
      <c r="A40" s="87" t="str">
        <f>HLOOKUP(INDICE!$F$2,Nombres!$C$3:$D$636,60,FALSE)</f>
        <v>Depósitos de bancos centrales y entidades de crédito</v>
      </c>
      <c r="B40" s="58">
        <v>1842.218038</v>
      </c>
      <c r="C40" s="58">
        <v>1838.9726120000003</v>
      </c>
      <c r="D40" s="58">
        <v>1890.8802230000001</v>
      </c>
      <c r="E40" s="64">
        <v>2744.888522</v>
      </c>
      <c r="F40" s="44">
        <v>1776.660061</v>
      </c>
      <c r="G40" s="44">
        <v>0</v>
      </c>
      <c r="H40" s="44">
        <v>0</v>
      </c>
      <c r="I40" s="44">
        <v>0</v>
      </c>
    </row>
    <row r="41" spans="1:9" ht="15.75" customHeight="1">
      <c r="A41" s="87" t="str">
        <f>HLOOKUP(INDICE!$F$2,Nombres!$C$3:$D$636,61,FALSE)</f>
        <v>Depósitos de la clientela</v>
      </c>
      <c r="B41" s="58">
        <v>6649.53784499</v>
      </c>
      <c r="C41" s="58">
        <v>7734.917937</v>
      </c>
      <c r="D41" s="58">
        <v>8750.6499</v>
      </c>
      <c r="E41" s="64">
        <v>9826.938752</v>
      </c>
      <c r="F41" s="44">
        <v>10069.638223</v>
      </c>
      <c r="G41" s="44">
        <v>0</v>
      </c>
      <c r="H41" s="44">
        <v>0</v>
      </c>
      <c r="I41" s="44">
        <v>0</v>
      </c>
    </row>
    <row r="42" spans="1:9" ht="15">
      <c r="A42" s="43" t="str">
        <f>HLOOKUP(INDICE!$F$2,Nombres!$C$3:$D$636,62,FALSE)</f>
        <v>Valores representativos de deuda emitidos</v>
      </c>
      <c r="B42" s="44">
        <v>1348.27974588</v>
      </c>
      <c r="C42" s="44">
        <v>1413.9869129499998</v>
      </c>
      <c r="D42" s="44">
        <v>1458.80188354</v>
      </c>
      <c r="E42" s="45">
        <v>1560.66128746</v>
      </c>
      <c r="F42" s="44">
        <v>1453.3502919300001</v>
      </c>
      <c r="G42" s="44">
        <v>0</v>
      </c>
      <c r="H42" s="44">
        <v>0</v>
      </c>
      <c r="I42" s="44">
        <v>0</v>
      </c>
    </row>
    <row r="43" spans="1:9" ht="15">
      <c r="A43" s="87" t="str">
        <f>HLOOKUP(INDICE!$F$2,Nombres!$C$3:$D$636,122,FALSE)</f>
        <v>Posiciones inter-áreas pasivo</v>
      </c>
      <c r="B43" s="44">
        <v>25205.49448506</v>
      </c>
      <c r="C43" s="44">
        <v>25140.77080198</v>
      </c>
      <c r="D43" s="44">
        <v>26776.706594110005</v>
      </c>
      <c r="E43" s="45">
        <v>26060.3068663</v>
      </c>
      <c r="F43" s="44">
        <v>25944.50101301001</v>
      </c>
      <c r="G43" s="44">
        <v>0</v>
      </c>
      <c r="H43" s="44">
        <v>0</v>
      </c>
      <c r="I43" s="44">
        <v>0</v>
      </c>
    </row>
    <row r="44" spans="1:9" ht="15">
      <c r="A44" s="43" t="str">
        <f>HLOOKUP(INDICE!$F$2,Nombres!$C$3:$D$636,63,FALSE)</f>
        <v>Otros pasivos</v>
      </c>
      <c r="B44" s="58">
        <f aca="true" t="shared" si="6" ref="B44:I44">+B38-B39-B40-B41-B42-B45-B43</f>
        <v>897.8703605199989</v>
      </c>
      <c r="C44" s="58">
        <f t="shared" si="6"/>
        <v>964.6381493100089</v>
      </c>
      <c r="D44" s="58">
        <f t="shared" si="6"/>
        <v>1080.5010808199986</v>
      </c>
      <c r="E44" s="64">
        <f t="shared" si="6"/>
        <v>1014.2815201500052</v>
      </c>
      <c r="F44" s="58">
        <f t="shared" si="6"/>
        <v>1039.3679199199942</v>
      </c>
      <c r="G44" s="58">
        <f t="shared" si="6"/>
        <v>0</v>
      </c>
      <c r="H44" s="58">
        <f t="shared" si="6"/>
        <v>0</v>
      </c>
      <c r="I44" s="58">
        <f t="shared" si="6"/>
        <v>0</v>
      </c>
    </row>
    <row r="45" spans="1:9" ht="15">
      <c r="A45" s="43" t="str">
        <f>HLOOKUP(INDICE!$F$2,Nombres!$C$3:$D$636,282,FALSE)</f>
        <v>Dotación de capital regulatorio</v>
      </c>
      <c r="B45" s="58">
        <v>3714.0696879199995</v>
      </c>
      <c r="C45" s="58">
        <v>4057.9805321600006</v>
      </c>
      <c r="D45" s="58">
        <v>4299.7290569100005</v>
      </c>
      <c r="E45" s="64">
        <v>4348.044523819999</v>
      </c>
      <c r="F45" s="58">
        <v>4181.89351086</v>
      </c>
      <c r="G45" s="58">
        <v>0</v>
      </c>
      <c r="H45" s="58">
        <v>0</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87" t="str">
        <f>HLOOKUP(INDICE!$F$2,Nombres!$C$3:$D$636,66,FALSE)</f>
        <v>Préstamos y anticipos a la clientela bruto (*)</v>
      </c>
      <c r="B51" s="44">
        <v>31768.864961999996</v>
      </c>
      <c r="C51" s="44">
        <v>32427.772833999996</v>
      </c>
      <c r="D51" s="44">
        <v>35605.997004000004</v>
      </c>
      <c r="E51" s="45">
        <v>37613.089421</v>
      </c>
      <c r="F51" s="44">
        <v>36188.648453</v>
      </c>
      <c r="G51" s="44">
        <v>0</v>
      </c>
      <c r="H51" s="44">
        <v>0</v>
      </c>
      <c r="I51" s="44">
        <v>0</v>
      </c>
    </row>
    <row r="52" spans="1:9" ht="15">
      <c r="A52" s="87" t="str">
        <f>HLOOKUP(INDICE!$F$2,Nombres!$C$3:$D$636,67,FALSE)</f>
        <v>Depósitos de clientes en gestión (**)</v>
      </c>
      <c r="B52" s="44">
        <v>6649.53784499</v>
      </c>
      <c r="C52" s="44">
        <v>7734.917937000001</v>
      </c>
      <c r="D52" s="44">
        <v>8750.6499</v>
      </c>
      <c r="E52" s="45">
        <v>9826.938752</v>
      </c>
      <c r="F52" s="44">
        <v>10069.638223</v>
      </c>
      <c r="G52" s="44">
        <v>0</v>
      </c>
      <c r="H52" s="44">
        <v>0</v>
      </c>
      <c r="I52" s="44">
        <v>0</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87" t="str">
        <f>HLOOKUP(INDICE!$F$2,Nombres!$C$3:$D$636,69,FALSE)</f>
        <v>Fondos de pensiones</v>
      </c>
      <c r="B54" s="44">
        <v>580.94406159</v>
      </c>
      <c r="C54" s="44">
        <v>522.57530376</v>
      </c>
      <c r="D54" s="44">
        <v>523.75088513</v>
      </c>
      <c r="E54" s="45">
        <v>520.1</v>
      </c>
      <c r="F54" s="44">
        <v>510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44"/>
      <c r="G56" s="44"/>
      <c r="H56" s="44"/>
      <c r="I56" s="44"/>
    </row>
    <row r="57" spans="1:9" ht="15">
      <c r="A57" s="91" t="str">
        <f>HLOOKUP(INDICE!$F$2,Nombres!$C$3:$D$636,72,FALSE)</f>
        <v>(**) No incluye las cesiones temporales de activos.</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Cuenta de resultados  </v>
      </c>
      <c r="B59" s="34"/>
      <c r="C59" s="34"/>
      <c r="D59" s="34"/>
      <c r="E59" s="34"/>
      <c r="F59" s="68"/>
      <c r="G59" s="68"/>
      <c r="H59" s="68"/>
      <c r="I59" s="68"/>
    </row>
    <row r="60" spans="1:9" ht="15">
      <c r="A60" s="83" t="str">
        <f>HLOOKUP(INDICE!$F$2,Nombres!$C$3:$D$636,73,FALSE)</f>
        <v>(Millones de euros constantes)</v>
      </c>
      <c r="B60" s="30"/>
      <c r="C60" s="36"/>
      <c r="D60" s="36"/>
      <c r="E60" s="36"/>
      <c r="F60" s="69"/>
      <c r="G60" s="69"/>
      <c r="H60" s="69"/>
      <c r="I60" s="69"/>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75.90943145432468</v>
      </c>
      <c r="C64" s="41">
        <v>77.45736946839648</v>
      </c>
      <c r="D64" s="41">
        <v>82.94181609491903</v>
      </c>
      <c r="E64" s="42">
        <v>94.15690093873258</v>
      </c>
      <c r="F64" s="50">
        <v>113.4408263</v>
      </c>
      <c r="G64" s="50">
        <v>0</v>
      </c>
      <c r="H64" s="50">
        <v>0</v>
      </c>
      <c r="I64" s="50">
        <v>0</v>
      </c>
    </row>
    <row r="65" spans="1:9" ht="15">
      <c r="A65" s="87" t="str">
        <f>HLOOKUP(INDICE!$F$2,Nombres!$C$3:$D$636,34,FALSE)</f>
        <v>Comisiones netas</v>
      </c>
      <c r="B65" s="44">
        <v>57.026977877486246</v>
      </c>
      <c r="C65" s="44">
        <v>64.42188347432716</v>
      </c>
      <c r="D65" s="44">
        <v>60.339213152610085</v>
      </c>
      <c r="E65" s="45">
        <v>59.842440234359465</v>
      </c>
      <c r="F65" s="44">
        <v>68.59665174</v>
      </c>
      <c r="G65" s="44">
        <v>0</v>
      </c>
      <c r="H65" s="44">
        <v>0</v>
      </c>
      <c r="I65" s="44">
        <v>0</v>
      </c>
    </row>
    <row r="66" spans="1:9" ht="15">
      <c r="A66" s="87" t="str">
        <f>HLOOKUP(INDICE!$F$2,Nombres!$C$3:$D$636,35,FALSE)</f>
        <v>Resultados de operaciones financieras</v>
      </c>
      <c r="B66" s="44">
        <v>68.63073800321041</v>
      </c>
      <c r="C66" s="44">
        <v>33.96160826479766</v>
      </c>
      <c r="D66" s="44">
        <v>44.43349430811817</v>
      </c>
      <c r="E66" s="45">
        <v>60.22673833054132</v>
      </c>
      <c r="F66" s="44">
        <v>76.90762292</v>
      </c>
      <c r="G66" s="44">
        <v>0</v>
      </c>
      <c r="H66" s="44">
        <v>0</v>
      </c>
      <c r="I66" s="44">
        <v>0</v>
      </c>
    </row>
    <row r="67" spans="1:9" ht="15">
      <c r="A67" s="87" t="str">
        <f>HLOOKUP(INDICE!$F$2,Nombres!$C$3:$D$636,36,FALSE)</f>
        <v>Otros ingresos y cargas de explotación</v>
      </c>
      <c r="B67" s="44">
        <v>2.5271698973253263</v>
      </c>
      <c r="C67" s="44">
        <v>0.8664353111508166</v>
      </c>
      <c r="D67" s="44">
        <v>0.7231016579213841</v>
      </c>
      <c r="E67" s="45">
        <v>2.455552477516261</v>
      </c>
      <c r="F67" s="44">
        <v>0.8750368000000003</v>
      </c>
      <c r="G67" s="44">
        <v>0</v>
      </c>
      <c r="H67" s="44">
        <v>0</v>
      </c>
      <c r="I67" s="44">
        <v>0</v>
      </c>
    </row>
    <row r="68" spans="1:9" ht="15">
      <c r="A68" s="41" t="str">
        <f>HLOOKUP(INDICE!$F$2,Nombres!$C$3:$D$636,37,FALSE)</f>
        <v>Margen bruto</v>
      </c>
      <c r="B68" s="41">
        <f aca="true" t="shared" si="9" ref="B68:I68">+SUM(B64:B67)</f>
        <v>204.09431723234667</v>
      </c>
      <c r="C68" s="41">
        <f t="shared" si="9"/>
        <v>176.7072965186721</v>
      </c>
      <c r="D68" s="41">
        <f t="shared" si="9"/>
        <v>188.43762521356868</v>
      </c>
      <c r="E68" s="42">
        <f t="shared" si="9"/>
        <v>216.6816319811496</v>
      </c>
      <c r="F68" s="50">
        <f t="shared" si="9"/>
        <v>259.82013775999997</v>
      </c>
      <c r="G68" s="50">
        <f t="shared" si="9"/>
        <v>0</v>
      </c>
      <c r="H68" s="50">
        <f t="shared" si="9"/>
        <v>0</v>
      </c>
      <c r="I68" s="50">
        <f t="shared" si="9"/>
        <v>0</v>
      </c>
    </row>
    <row r="69" spans="1:9" ht="15">
      <c r="A69" s="87" t="str">
        <f>HLOOKUP(INDICE!$F$2,Nombres!$C$3:$D$636,38,FALSE)</f>
        <v>Gastos de explotación</v>
      </c>
      <c r="B69" s="44">
        <v>-116.16147699239205</v>
      </c>
      <c r="C69" s="44">
        <v>-116.27117328093095</v>
      </c>
      <c r="D69" s="44">
        <v>-126.14463736748985</v>
      </c>
      <c r="E69" s="45">
        <v>-152.12383385707423</v>
      </c>
      <c r="F69" s="44">
        <v>-137.88793054</v>
      </c>
      <c r="G69" s="44">
        <v>0</v>
      </c>
      <c r="H69" s="44">
        <v>0</v>
      </c>
      <c r="I69" s="44">
        <v>0</v>
      </c>
    </row>
    <row r="70" spans="1:9" ht="15">
      <c r="A70" s="87" t="str">
        <f>HLOOKUP(INDICE!$F$2,Nombres!$C$3:$D$636,39,FALSE)</f>
        <v>  Gastos de administración</v>
      </c>
      <c r="B70" s="44">
        <v>-110.84429557660161</v>
      </c>
      <c r="C70" s="44">
        <v>-110.71453413093752</v>
      </c>
      <c r="D70" s="44">
        <v>-119.86753521059508</v>
      </c>
      <c r="E70" s="45">
        <v>-146.53595012838065</v>
      </c>
      <c r="F70" s="44">
        <v>-131.95176544</v>
      </c>
      <c r="G70" s="44">
        <v>0</v>
      </c>
      <c r="H70" s="44">
        <v>0</v>
      </c>
      <c r="I70" s="44">
        <v>0</v>
      </c>
    </row>
    <row r="71" spans="1:9" ht="15">
      <c r="A71" s="88" t="str">
        <f>HLOOKUP(INDICE!$F$2,Nombres!$C$3:$D$636,40,FALSE)</f>
        <v>  Gastos de personal</v>
      </c>
      <c r="B71" s="44">
        <v>-62.117917783440745</v>
      </c>
      <c r="C71" s="44">
        <v>-58.18593422739954</v>
      </c>
      <c r="D71" s="44">
        <v>-67.31194970816586</v>
      </c>
      <c r="E71" s="45">
        <v>-77.44361244960541</v>
      </c>
      <c r="F71" s="44">
        <v>-69.73872700000001</v>
      </c>
      <c r="G71" s="44">
        <v>0</v>
      </c>
      <c r="H71" s="44">
        <v>0</v>
      </c>
      <c r="I71" s="44">
        <v>0</v>
      </c>
    </row>
    <row r="72" spans="1:9" ht="15">
      <c r="A72" s="88" t="str">
        <f>HLOOKUP(INDICE!$F$2,Nombres!$C$3:$D$636,41,FALSE)</f>
        <v>  Otros gastos de administración</v>
      </c>
      <c r="B72" s="44">
        <v>-48.726377793160886</v>
      </c>
      <c r="C72" s="44">
        <v>-52.52859990353799</v>
      </c>
      <c r="D72" s="44">
        <v>-52.55558550242923</v>
      </c>
      <c r="E72" s="45">
        <v>-69.09233767877521</v>
      </c>
      <c r="F72" s="44">
        <v>-62.21303843999999</v>
      </c>
      <c r="G72" s="44">
        <v>0</v>
      </c>
      <c r="H72" s="44">
        <v>0</v>
      </c>
      <c r="I72" s="44">
        <v>0</v>
      </c>
    </row>
    <row r="73" spans="1:9" ht="15">
      <c r="A73" s="87" t="str">
        <f>HLOOKUP(INDICE!$F$2,Nombres!$C$3:$D$636,42,FALSE)</f>
        <v>  Amortización</v>
      </c>
      <c r="B73" s="44">
        <v>-5.317181415790416</v>
      </c>
      <c r="C73" s="44">
        <v>-5.556639149993431</v>
      </c>
      <c r="D73" s="44">
        <v>-6.277102156894781</v>
      </c>
      <c r="E73" s="45">
        <v>-5.587883728693612</v>
      </c>
      <c r="F73" s="44">
        <v>-5.9361651</v>
      </c>
      <c r="G73" s="44">
        <v>0</v>
      </c>
      <c r="H73" s="44">
        <v>0</v>
      </c>
      <c r="I73" s="44">
        <v>0</v>
      </c>
    </row>
    <row r="74" spans="1:9" ht="15">
      <c r="A74" s="41" t="str">
        <f>HLOOKUP(INDICE!$F$2,Nombres!$C$3:$D$636,43,FALSE)</f>
        <v>Margen neto</v>
      </c>
      <c r="B74" s="41">
        <f aca="true" t="shared" si="10" ref="B74:I74">+B68+B69</f>
        <v>87.93284023995461</v>
      </c>
      <c r="C74" s="41">
        <f t="shared" si="10"/>
        <v>60.43612323774116</v>
      </c>
      <c r="D74" s="41">
        <f t="shared" si="10"/>
        <v>62.29298784607883</v>
      </c>
      <c r="E74" s="42">
        <f t="shared" si="10"/>
        <v>64.55779812407536</v>
      </c>
      <c r="F74" s="50">
        <f t="shared" si="10"/>
        <v>121.93220721999995</v>
      </c>
      <c r="G74" s="50">
        <f t="shared" si="10"/>
        <v>0</v>
      </c>
      <c r="H74" s="50">
        <f t="shared" si="10"/>
        <v>0</v>
      </c>
      <c r="I74" s="50">
        <f t="shared" si="10"/>
        <v>0</v>
      </c>
    </row>
    <row r="75" spans="1:9" ht="15">
      <c r="A75" s="87" t="str">
        <f>HLOOKUP(INDICE!$F$2,Nombres!$C$3:$D$636,44,FALSE)</f>
        <v>Deterioro de activos financieros no valorados a valor razonable con cambios en resultados</v>
      </c>
      <c r="B75" s="44">
        <v>7.4326248444970355</v>
      </c>
      <c r="C75" s="44">
        <v>-7.663462165047576</v>
      </c>
      <c r="D75" s="44">
        <v>-2.6383047985482158</v>
      </c>
      <c r="E75" s="45">
        <v>-10.262465490695192</v>
      </c>
      <c r="F75" s="44">
        <v>-18.47068316</v>
      </c>
      <c r="G75" s="44">
        <v>0</v>
      </c>
      <c r="H75" s="44">
        <v>0</v>
      </c>
      <c r="I75" s="44">
        <v>0</v>
      </c>
    </row>
    <row r="76" spans="1:9" ht="15">
      <c r="A76" s="87" t="str">
        <f>HLOOKUP(INDICE!$F$2,Nombres!$C$3:$D$636,45,FALSE)</f>
        <v>Provisiones o reversión de provisiones y otros resultados</v>
      </c>
      <c r="B76" s="44">
        <v>9.98866221461818</v>
      </c>
      <c r="C76" s="44">
        <v>1.8449257347636023</v>
      </c>
      <c r="D76" s="44">
        <v>1.87251202491428</v>
      </c>
      <c r="E76" s="45">
        <v>0.21940400225078205</v>
      </c>
      <c r="F76" s="44">
        <v>7.3875349900000025</v>
      </c>
      <c r="G76" s="44">
        <v>0</v>
      </c>
      <c r="H76" s="44">
        <v>0</v>
      </c>
      <c r="I76" s="44">
        <v>0</v>
      </c>
    </row>
    <row r="77" spans="1:9" ht="15">
      <c r="A77" s="89" t="str">
        <f>HLOOKUP(INDICE!$F$2,Nombres!$C$3:$D$636,46,FALSE)</f>
        <v>Resultado antes de impuestos</v>
      </c>
      <c r="B77" s="41">
        <f aca="true" t="shared" si="11" ref="B77:I77">+B74+B75+B76</f>
        <v>105.35412729906983</v>
      </c>
      <c r="C77" s="41">
        <f t="shared" si="11"/>
        <v>54.61758680745718</v>
      </c>
      <c r="D77" s="41">
        <f t="shared" si="11"/>
        <v>61.52719507244489</v>
      </c>
      <c r="E77" s="42">
        <f t="shared" si="11"/>
        <v>54.51473663563095</v>
      </c>
      <c r="F77" s="50">
        <f t="shared" si="11"/>
        <v>110.84905904999997</v>
      </c>
      <c r="G77" s="50">
        <f t="shared" si="11"/>
        <v>0</v>
      </c>
      <c r="H77" s="50">
        <f t="shared" si="11"/>
        <v>0</v>
      </c>
      <c r="I77" s="50">
        <f t="shared" si="11"/>
        <v>0</v>
      </c>
    </row>
    <row r="78" spans="1:9" ht="15">
      <c r="A78" s="43" t="str">
        <f>HLOOKUP(INDICE!$F$2,Nombres!$C$3:$D$636,47,FALSE)</f>
        <v>Impuesto sobre beneficios</v>
      </c>
      <c r="B78" s="44">
        <v>-23.262116475590467</v>
      </c>
      <c r="C78" s="44">
        <v>-10.582990037833106</v>
      </c>
      <c r="D78" s="44">
        <v>-11.125370242077581</v>
      </c>
      <c r="E78" s="45">
        <v>7.649847146978093</v>
      </c>
      <c r="F78" s="44">
        <v>-19.25269747</v>
      </c>
      <c r="G78" s="44">
        <v>0</v>
      </c>
      <c r="H78" s="44">
        <v>0</v>
      </c>
      <c r="I78" s="44">
        <v>0</v>
      </c>
    </row>
    <row r="79" spans="1:9" ht="15">
      <c r="A79" s="89" t="str">
        <f>HLOOKUP(INDICE!$F$2,Nombres!$C$3:$D$636,48,FALSE)</f>
        <v>Resultado del ejercicio</v>
      </c>
      <c r="B79" s="41">
        <f aca="true" t="shared" si="12" ref="B79:I79">+B77+B78</f>
        <v>82.09201082347937</v>
      </c>
      <c r="C79" s="41">
        <f t="shared" si="12"/>
        <v>44.03459676962407</v>
      </c>
      <c r="D79" s="41">
        <f t="shared" si="12"/>
        <v>50.40182483036731</v>
      </c>
      <c r="E79" s="42">
        <f t="shared" si="12"/>
        <v>62.16458378260904</v>
      </c>
      <c r="F79" s="50">
        <f t="shared" si="12"/>
        <v>91.59636157999996</v>
      </c>
      <c r="G79" s="50">
        <f t="shared" si="12"/>
        <v>0</v>
      </c>
      <c r="H79" s="50">
        <f t="shared" si="12"/>
        <v>0</v>
      </c>
      <c r="I79" s="50">
        <f t="shared" si="12"/>
        <v>0</v>
      </c>
    </row>
    <row r="80" spans="1:9" ht="15">
      <c r="A80" s="87" t="str">
        <f>HLOOKUP(INDICE!$F$2,Nombres!$C$3:$D$636,49,FALSE)</f>
        <v>Minoritarios</v>
      </c>
      <c r="B80" s="44">
        <v>0</v>
      </c>
      <c r="C80" s="44">
        <v>0</v>
      </c>
      <c r="D80" s="44">
        <v>0</v>
      </c>
      <c r="E80" s="45">
        <v>0</v>
      </c>
      <c r="F80" s="44">
        <v>0</v>
      </c>
      <c r="G80" s="44">
        <v>0</v>
      </c>
      <c r="H80" s="44">
        <v>0</v>
      </c>
      <c r="I80" s="44">
        <v>0</v>
      </c>
    </row>
    <row r="81" spans="1:9" ht="15">
      <c r="A81" s="90" t="str">
        <f>HLOOKUP(INDICE!$F$2,Nombres!$C$3:$D$636,50,FALSE)</f>
        <v>Resultado atribuido</v>
      </c>
      <c r="B81" s="47">
        <f aca="true" t="shared" si="13" ref="B81:I81">+B79+B80</f>
        <v>82.09201082347937</v>
      </c>
      <c r="C81" s="47">
        <f t="shared" si="13"/>
        <v>44.03459676962407</v>
      </c>
      <c r="D81" s="47">
        <f t="shared" si="13"/>
        <v>50.40182483036731</v>
      </c>
      <c r="E81" s="47">
        <f t="shared" si="13"/>
        <v>62.16458378260904</v>
      </c>
      <c r="F81" s="51">
        <f t="shared" si="13"/>
        <v>91.59636157999996</v>
      </c>
      <c r="G81" s="51">
        <f t="shared" si="13"/>
        <v>0</v>
      </c>
      <c r="H81" s="51">
        <f t="shared" si="13"/>
        <v>0</v>
      </c>
      <c r="I81" s="51">
        <f t="shared" si="13"/>
        <v>0</v>
      </c>
    </row>
    <row r="82" spans="1:9" ht="15">
      <c r="A82" s="91"/>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87" t="str">
        <f>HLOOKUP(INDICE!$F$2,Nombres!$C$3:$D$636,52,FALSE)</f>
        <v>Efectivo, saldos en efectivo en bancos centrales y otros depósitos a la vista</v>
      </c>
      <c r="B87" s="44">
        <v>3883.9778832102816</v>
      </c>
      <c r="C87" s="44">
        <v>4889.70952434823</v>
      </c>
      <c r="D87" s="44">
        <v>4430.7129160843415</v>
      </c>
      <c r="E87" s="45">
        <v>3942.3904809611313</v>
      </c>
      <c r="F87" s="44">
        <v>4135.12968</v>
      </c>
      <c r="G87" s="44">
        <v>0</v>
      </c>
      <c r="H87" s="44">
        <v>0</v>
      </c>
      <c r="I87" s="44">
        <v>0</v>
      </c>
    </row>
    <row r="88" spans="1:9" ht="15">
      <c r="A88" s="87" t="str">
        <f>HLOOKUP(INDICE!$F$2,Nombres!$C$3:$D$636,53,FALSE)</f>
        <v>Activos financieros a valor razonable</v>
      </c>
      <c r="B88" s="58">
        <v>8751.788672052337</v>
      </c>
      <c r="C88" s="58">
        <v>5484.287275483685</v>
      </c>
      <c r="D88" s="58">
        <v>3615.798641537276</v>
      </c>
      <c r="E88" s="64">
        <v>5003.059777010192</v>
      </c>
      <c r="F88" s="44">
        <v>6651.864088390001</v>
      </c>
      <c r="G88" s="44">
        <v>0</v>
      </c>
      <c r="H88" s="44">
        <v>0</v>
      </c>
      <c r="I88" s="44">
        <v>0</v>
      </c>
    </row>
    <row r="89" spans="1:9" ht="15">
      <c r="A89" s="43" t="str">
        <f>HLOOKUP(INDICE!$F$2,Nombres!$C$3:$D$636,54,FALSE)</f>
        <v>Activos financieros a coste amortizado</v>
      </c>
      <c r="B89" s="44">
        <v>34926.798013864885</v>
      </c>
      <c r="C89" s="44">
        <v>34580.0005092068</v>
      </c>
      <c r="D89" s="44">
        <v>36991.79433064392</v>
      </c>
      <c r="E89" s="45">
        <v>40199.66511364513</v>
      </c>
      <c r="F89" s="44">
        <v>39166.61628133</v>
      </c>
      <c r="G89" s="44">
        <v>0</v>
      </c>
      <c r="H89" s="44">
        <v>0</v>
      </c>
      <c r="I89" s="44">
        <v>0</v>
      </c>
    </row>
    <row r="90" spans="1:9" ht="15">
      <c r="A90" s="87" t="str">
        <f>HLOOKUP(INDICE!$F$2,Nombres!$C$3:$D$636,55,FALSE)</f>
        <v>    de los que préstamos y anticipos a la clientela</v>
      </c>
      <c r="B90" s="44">
        <v>31667.343472453933</v>
      </c>
      <c r="C90" s="44">
        <v>31784.28624917918</v>
      </c>
      <c r="D90" s="44">
        <v>34261.17478065954</v>
      </c>
      <c r="E90" s="45">
        <v>37165.86456090049</v>
      </c>
      <c r="F90" s="44">
        <v>35946.05568833</v>
      </c>
      <c r="G90" s="44">
        <v>0</v>
      </c>
      <c r="H90" s="44">
        <v>0</v>
      </c>
      <c r="I90" s="44">
        <v>0</v>
      </c>
    </row>
    <row r="91" spans="1:9" ht="15">
      <c r="A91" s="87"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79.67227500631725</v>
      </c>
      <c r="C92" s="44">
        <v>76.52519216254326</v>
      </c>
      <c r="D92" s="44">
        <v>79.17580636289841</v>
      </c>
      <c r="E92" s="45">
        <v>78.01306930064656</v>
      </c>
      <c r="F92" s="44">
        <v>74.864499</v>
      </c>
      <c r="G92" s="44">
        <v>0</v>
      </c>
      <c r="H92" s="44">
        <v>0</v>
      </c>
      <c r="I92" s="44">
        <v>0</v>
      </c>
    </row>
    <row r="93" spans="1:9" ht="15">
      <c r="A93" s="87" t="str">
        <f>HLOOKUP(INDICE!$F$2,Nombres!$C$3:$D$636,57,FALSE)</f>
        <v>Otros activos</v>
      </c>
      <c r="B93" s="58">
        <f>+B94-B92-B89-B88-B87-B91</f>
        <v>370.6203613516941</v>
      </c>
      <c r="C93" s="58">
        <f aca="true" t="shared" si="15" ref="C93:I93">+C94-C92-C89-C88-C87</f>
        <v>319.820832569083</v>
      </c>
      <c r="D93" s="58">
        <f t="shared" si="15"/>
        <v>426.94568300622814</v>
      </c>
      <c r="E93" s="64">
        <f t="shared" si="15"/>
        <v>339.5734567519021</v>
      </c>
      <c r="F93" s="44">
        <f t="shared" si="15"/>
        <v>378.8485239999991</v>
      </c>
      <c r="G93" s="44">
        <f t="shared" si="15"/>
        <v>0</v>
      </c>
      <c r="H93" s="44">
        <f t="shared" si="15"/>
        <v>0</v>
      </c>
      <c r="I93" s="44">
        <f t="shared" si="15"/>
        <v>0</v>
      </c>
    </row>
    <row r="94" spans="1:9" ht="15">
      <c r="A94" s="90" t="str">
        <f>HLOOKUP(INDICE!$F$2,Nombres!$C$3:$D$636,58,FALSE)</f>
        <v>Total activo / pasivo</v>
      </c>
      <c r="B94" s="47">
        <v>48012.85720548552</v>
      </c>
      <c r="C94" s="47">
        <v>45350.34333377035</v>
      </c>
      <c r="D94" s="47">
        <v>45544.42737763466</v>
      </c>
      <c r="E94" s="70">
        <v>49562.701897669</v>
      </c>
      <c r="F94" s="51">
        <v>50407.323072720006</v>
      </c>
      <c r="G94" s="51">
        <v>0</v>
      </c>
      <c r="H94" s="51">
        <v>0</v>
      </c>
      <c r="I94" s="51">
        <v>0</v>
      </c>
    </row>
    <row r="95" spans="1:9" ht="15">
      <c r="A95" s="87" t="str">
        <f>HLOOKUP(INDICE!$F$2,Nombres!$C$3:$D$636,59,FALSE)</f>
        <v>Pasivos financieros mantenidos para negociar y designados a valor razonable con cambios en resultados</v>
      </c>
      <c r="B95" s="58">
        <v>8077.024367863213</v>
      </c>
      <c r="C95" s="58">
        <v>4800.299129273184</v>
      </c>
      <c r="D95" s="58">
        <v>2938.7105539692157</v>
      </c>
      <c r="E95" s="64">
        <v>4313.309219539116</v>
      </c>
      <c r="F95" s="44">
        <v>5941.912052999999</v>
      </c>
      <c r="G95" s="44">
        <v>0</v>
      </c>
      <c r="H95" s="44">
        <v>0</v>
      </c>
      <c r="I95" s="44">
        <v>0</v>
      </c>
    </row>
    <row r="96" spans="1:9" ht="15">
      <c r="A96" s="87" t="str">
        <f>HLOOKUP(INDICE!$F$2,Nombres!$C$3:$D$636,60,FALSE)</f>
        <v>Depósitos de bancos centrales y entidades de crédito</v>
      </c>
      <c r="B96" s="58">
        <v>1860.3388319956487</v>
      </c>
      <c r="C96" s="58">
        <v>1786.5430553362667</v>
      </c>
      <c r="D96" s="58">
        <v>1784.733416394694</v>
      </c>
      <c r="E96" s="64">
        <v>2722.095163252481</v>
      </c>
      <c r="F96" s="44">
        <v>1776.660061</v>
      </c>
      <c r="G96" s="44">
        <v>0</v>
      </c>
      <c r="H96" s="44">
        <v>0</v>
      </c>
      <c r="I96" s="44">
        <v>0</v>
      </c>
    </row>
    <row r="97" spans="1:9" ht="15">
      <c r="A97" s="87" t="str">
        <f>HLOOKUP(INDICE!$F$2,Nombres!$C$3:$D$636,61,FALSE)</f>
        <v>Depósitos de la clientela</v>
      </c>
      <c r="B97" s="58">
        <v>6728.843986671873</v>
      </c>
      <c r="C97" s="58">
        <v>7585.899404767235</v>
      </c>
      <c r="D97" s="58">
        <v>8344.457572815969</v>
      </c>
      <c r="E97" s="64">
        <v>9758.502819779551</v>
      </c>
      <c r="F97" s="44">
        <v>10069.638223</v>
      </c>
      <c r="G97" s="44">
        <v>0</v>
      </c>
      <c r="H97" s="44">
        <v>0</v>
      </c>
      <c r="I97" s="44">
        <v>0</v>
      </c>
    </row>
    <row r="98" spans="1:9" ht="15">
      <c r="A98" s="43" t="str">
        <f>HLOOKUP(INDICE!$F$2,Nombres!$C$3:$D$636,62,FALSE)</f>
        <v>Valores representativos de deuda emitidos</v>
      </c>
      <c r="B98" s="44">
        <v>1357.213899984102</v>
      </c>
      <c r="C98" s="44">
        <v>1394.6107841533112</v>
      </c>
      <c r="D98" s="44">
        <v>1414.9228120698906</v>
      </c>
      <c r="E98" s="45">
        <v>1551.687598025591</v>
      </c>
      <c r="F98" s="44">
        <v>1453.3502919300001</v>
      </c>
      <c r="G98" s="44">
        <v>0</v>
      </c>
      <c r="H98" s="44">
        <v>0</v>
      </c>
      <c r="I98" s="44">
        <v>0</v>
      </c>
    </row>
    <row r="99" spans="1:9" ht="15">
      <c r="A99" s="87" t="str">
        <f>HLOOKUP(INDICE!$F$2,Nombres!$C$3:$D$636,122,FALSE)</f>
        <v>Posiciones inter-áreas pasivo</v>
      </c>
      <c r="B99" s="44">
        <v>25344.659495752625</v>
      </c>
      <c r="C99" s="44">
        <v>24833.419238607097</v>
      </c>
      <c r="D99" s="44">
        <v>25874.44247310191</v>
      </c>
      <c r="E99" s="45">
        <v>25891.495616274864</v>
      </c>
      <c r="F99" s="44">
        <v>25944.50101301001</v>
      </c>
      <c r="G99" s="44">
        <v>0</v>
      </c>
      <c r="H99" s="44">
        <v>0</v>
      </c>
      <c r="I99" s="44">
        <v>0</v>
      </c>
    </row>
    <row r="100" spans="1:9" ht="15">
      <c r="A100" s="43" t="str">
        <f>HLOOKUP(INDICE!$F$2,Nombres!$C$3:$D$636,63,FALSE)</f>
        <v>Otros pasivos</v>
      </c>
      <c r="B100" s="58">
        <f aca="true" t="shared" si="16" ref="B100:I100">+B94-B95-B96-B97-B98-B101-B99</f>
        <v>908.8607180310937</v>
      </c>
      <c r="C100" s="58">
        <f t="shared" si="16"/>
        <v>944.6593578302745</v>
      </c>
      <c r="D100" s="58">
        <f t="shared" si="16"/>
        <v>1019.9856126490195</v>
      </c>
      <c r="E100" s="64">
        <f t="shared" si="16"/>
        <v>1003.6310243093321</v>
      </c>
      <c r="F100" s="58">
        <f t="shared" si="16"/>
        <v>1039.3679199199942</v>
      </c>
      <c r="G100" s="58">
        <f t="shared" si="16"/>
        <v>0</v>
      </c>
      <c r="H100" s="58">
        <f t="shared" si="16"/>
        <v>0</v>
      </c>
      <c r="I100" s="58">
        <f t="shared" si="16"/>
        <v>0</v>
      </c>
    </row>
    <row r="101" spans="1:9" ht="15">
      <c r="A101" s="43" t="str">
        <f>HLOOKUP(INDICE!$F$2,Nombres!$C$3:$D$636,282,FALSE)</f>
        <v>Dotación de capital regulatorio</v>
      </c>
      <c r="B101" s="58">
        <v>3735.9159051869638</v>
      </c>
      <c r="C101" s="58">
        <v>4004.9123638029782</v>
      </c>
      <c r="D101" s="58">
        <v>4167.174936633963</v>
      </c>
      <c r="E101" s="64">
        <v>4321.980456488065</v>
      </c>
      <c r="F101" s="58">
        <v>4181.89351086</v>
      </c>
      <c r="G101" s="58">
        <v>0</v>
      </c>
      <c r="H101" s="58">
        <v>0</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87" t="str">
        <f>HLOOKUP(INDICE!$F$2,Nombres!$C$3:$D$636,66,FALSE)</f>
        <v>Préstamos y anticipos a la clientela bruto (*)</v>
      </c>
      <c r="B107" s="44">
        <v>31941.82582105218</v>
      </c>
      <c r="C107" s="44">
        <v>32069.930949391775</v>
      </c>
      <c r="D107" s="44">
        <v>34547.30814103232</v>
      </c>
      <c r="E107" s="45">
        <v>37403.94608608145</v>
      </c>
      <c r="F107" s="44">
        <v>36188.648453</v>
      </c>
      <c r="G107" s="44">
        <v>0</v>
      </c>
      <c r="H107" s="44">
        <v>0</v>
      </c>
      <c r="I107" s="44">
        <v>0</v>
      </c>
    </row>
    <row r="108" spans="1:9" ht="15">
      <c r="A108" s="87" t="str">
        <f>HLOOKUP(INDICE!$F$2,Nombres!$C$3:$D$636,67,FALSE)</f>
        <v>Depósitos de clientes en gestión (**)</v>
      </c>
      <c r="B108" s="44">
        <v>6728.843986671873</v>
      </c>
      <c r="C108" s="44">
        <v>7585.899404767235</v>
      </c>
      <c r="D108" s="44">
        <v>8344.457572815969</v>
      </c>
      <c r="E108" s="45">
        <v>9758.502819779551</v>
      </c>
      <c r="F108" s="44">
        <v>10069.638223</v>
      </c>
      <c r="G108" s="44">
        <v>0</v>
      </c>
      <c r="H108" s="44">
        <v>0</v>
      </c>
      <c r="I108" s="44">
        <v>0</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87" t="str">
        <f>HLOOKUP(INDICE!$F$2,Nombres!$C$3:$D$636,69,FALSE)</f>
        <v>Fondos de pensiones</v>
      </c>
      <c r="B110" s="44">
        <v>580.94406159</v>
      </c>
      <c r="C110" s="44">
        <v>522.57530376</v>
      </c>
      <c r="D110" s="44">
        <v>523.75088513</v>
      </c>
      <c r="E110" s="45">
        <v>520.1</v>
      </c>
      <c r="F110" s="44">
        <v>510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73" ht="15">
      <c r="J173" s="73"/>
    </row>
    <row r="174" ht="15">
      <c r="J174" s="73"/>
    </row>
    <row r="175" ht="15">
      <c r="J175" s="73"/>
    </row>
    <row r="176" ht="15">
      <c r="J176" s="73"/>
    </row>
    <row r="177" ht="15">
      <c r="J177" s="73"/>
    </row>
    <row r="178" ht="15">
      <c r="J178" s="73"/>
    </row>
    <row r="179" ht="15">
      <c r="J179" s="73"/>
    </row>
    <row r="180" ht="15">
      <c r="J180" s="73"/>
    </row>
    <row r="1000" ht="15">
      <c r="A1000" s="31" t="s">
        <v>391</v>
      </c>
    </row>
  </sheetData>
  <sheetProtection/>
  <mergeCells count="4">
    <mergeCell ref="B6:E6"/>
    <mergeCell ref="B62:E62"/>
    <mergeCell ref="F6:I6"/>
    <mergeCell ref="F62:I62"/>
  </mergeCells>
  <conditionalFormatting sqref="B26:I26">
    <cfRule type="cellIs" priority="2" dxfId="261" operator="notBetween">
      <formula>0.5</formula>
      <formula>-0.5</formula>
    </cfRule>
  </conditionalFormatting>
  <conditionalFormatting sqref="B82:I82">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3"/>
  <sheetViews>
    <sheetView showGridLines="0" zoomScalePageLayoutView="0" workbookViewId="0" topLeftCell="A1">
      <selection activeCell="A1" sqref="A1"/>
    </sheetView>
  </sheetViews>
  <sheetFormatPr defaultColWidth="11.421875" defaultRowHeight="15"/>
  <cols>
    <col min="1" max="1" width="63.7109375" style="31" customWidth="1"/>
    <col min="2" max="2" width="10.421875" style="31" customWidth="1"/>
    <col min="3" max="6" width="11.421875" style="31" customWidth="1"/>
    <col min="7" max="9" width="0" style="31" hidden="1" customWidth="1"/>
    <col min="10" max="16384" width="11.421875" style="31" customWidth="1"/>
  </cols>
  <sheetData>
    <row r="1" spans="1:9" ht="18">
      <c r="A1" s="82"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-37.44158863</v>
      </c>
      <c r="C8" s="41">
        <v>-26.304314039999994</v>
      </c>
      <c r="D8" s="41">
        <v>-33.65283639000001</v>
      </c>
      <c r="E8" s="42">
        <v>-11.980661919999985</v>
      </c>
      <c r="F8" s="50">
        <v>-60.19247545999997</v>
      </c>
      <c r="G8" s="50">
        <v>0</v>
      </c>
      <c r="H8" s="237">
        <v>0</v>
      </c>
      <c r="I8" s="237">
        <v>0</v>
      </c>
      <c r="K8" s="86"/>
      <c r="L8" s="86"/>
      <c r="M8" s="86"/>
      <c r="N8" s="86"/>
      <c r="O8" s="86"/>
    </row>
    <row r="9" spans="1:9" ht="15">
      <c r="A9" s="87" t="str">
        <f>HLOOKUP(INDICE!$F$2,Nombres!$C$3:$D$636,34,FALSE)</f>
        <v>Comisiones netas</v>
      </c>
      <c r="B9" s="44">
        <v>-4.108953000000003</v>
      </c>
      <c r="C9" s="44">
        <v>-15.899757689999994</v>
      </c>
      <c r="D9" s="44">
        <v>-5.189033879999994</v>
      </c>
      <c r="E9" s="45">
        <v>-6.292039130000012</v>
      </c>
      <c r="F9" s="44">
        <v>-4.1671913699999985</v>
      </c>
      <c r="G9" s="44">
        <v>0</v>
      </c>
      <c r="H9" s="44">
        <v>0</v>
      </c>
      <c r="I9" s="44">
        <v>0</v>
      </c>
    </row>
    <row r="10" spans="1:9" ht="15">
      <c r="A10" s="87" t="str">
        <f>HLOOKUP(INDICE!$F$2,Nombres!$C$3:$D$636,35,FALSE)</f>
        <v>Resultados de operaciones financieras</v>
      </c>
      <c r="B10" s="44">
        <v>-38.32611592999999</v>
      </c>
      <c r="C10" s="44">
        <v>-83.02728771000001</v>
      </c>
      <c r="D10" s="44">
        <v>41.07349616</v>
      </c>
      <c r="E10" s="45">
        <v>-213.27071101</v>
      </c>
      <c r="F10" s="44">
        <v>-258.0444603</v>
      </c>
      <c r="G10" s="44">
        <v>0</v>
      </c>
      <c r="H10" s="44">
        <v>0</v>
      </c>
      <c r="I10" s="44">
        <v>0</v>
      </c>
    </row>
    <row r="11" spans="1:9" ht="15">
      <c r="A11" s="87" t="str">
        <f>HLOOKUP(INDICE!$F$2,Nombres!$C$3:$D$636,36,FALSE)</f>
        <v>Otros ingresos y cargas de explotación</v>
      </c>
      <c r="B11" s="44">
        <v>0.7530593200000038</v>
      </c>
      <c r="C11" s="44">
        <v>57.714178360000034</v>
      </c>
      <c r="D11" s="44">
        <v>0.23982089000019524</v>
      </c>
      <c r="E11" s="45">
        <v>46.59438856000013</v>
      </c>
      <c r="F11" s="44">
        <v>11.420035000000077</v>
      </c>
      <c r="G11" s="44">
        <v>0</v>
      </c>
      <c r="H11" s="44">
        <v>0</v>
      </c>
      <c r="I11" s="44">
        <v>0</v>
      </c>
    </row>
    <row r="12" spans="1:9" ht="15">
      <c r="A12" s="41" t="str">
        <f>HLOOKUP(INDICE!$F$2,Nombres!$C$3:$D$636,37,FALSE)</f>
        <v>Margen bruto</v>
      </c>
      <c r="B12" s="41">
        <f aca="true" t="shared" si="0" ref="B12:I12">+SUM(B8:B11)</f>
        <v>-79.12359823999998</v>
      </c>
      <c r="C12" s="41">
        <f t="shared" si="0"/>
        <v>-67.51718107999997</v>
      </c>
      <c r="D12" s="41">
        <f t="shared" si="0"/>
        <v>2.4714467800001847</v>
      </c>
      <c r="E12" s="42">
        <f t="shared" si="0"/>
        <v>-184.9490234999999</v>
      </c>
      <c r="F12" s="50">
        <f t="shared" si="0"/>
        <v>-310.9840921299999</v>
      </c>
      <c r="G12" s="50">
        <f t="shared" si="0"/>
        <v>0</v>
      </c>
      <c r="H12" s="50">
        <f t="shared" si="0"/>
        <v>0</v>
      </c>
      <c r="I12" s="50">
        <f t="shared" si="0"/>
        <v>0</v>
      </c>
    </row>
    <row r="13" spans="1:9" ht="15">
      <c r="A13" s="87" t="str">
        <f>HLOOKUP(INDICE!$F$2,Nombres!$C$3:$D$636,38,FALSE)</f>
        <v>Gastos de explotación</v>
      </c>
      <c r="B13" s="44">
        <v>-187.23590084000006</v>
      </c>
      <c r="C13" s="44">
        <v>-204.66321264</v>
      </c>
      <c r="D13" s="44">
        <v>-201.3267019</v>
      </c>
      <c r="E13" s="45">
        <v>-259.01776479</v>
      </c>
      <c r="F13" s="44">
        <v>-205.34563378</v>
      </c>
      <c r="G13" s="44">
        <v>0</v>
      </c>
      <c r="H13" s="44">
        <v>0</v>
      </c>
      <c r="I13" s="44">
        <v>0</v>
      </c>
    </row>
    <row r="14" spans="1:9" ht="15">
      <c r="A14" s="87" t="str">
        <f>HLOOKUP(INDICE!$F$2,Nombres!$C$3:$D$636,39,FALSE)</f>
        <v>  Gastos de administración</v>
      </c>
      <c r="B14" s="44">
        <v>-139.01735248</v>
      </c>
      <c r="C14" s="44">
        <v>-154.64129988000002</v>
      </c>
      <c r="D14" s="44">
        <v>-150.35111654</v>
      </c>
      <c r="E14" s="45">
        <v>-202.69412842999998</v>
      </c>
      <c r="F14" s="44">
        <v>-155.08231451999998</v>
      </c>
      <c r="G14" s="44">
        <v>0</v>
      </c>
      <c r="H14" s="44">
        <v>0</v>
      </c>
      <c r="I14" s="44">
        <v>0</v>
      </c>
    </row>
    <row r="15" spans="1:9" ht="15">
      <c r="A15" s="88" t="str">
        <f>HLOOKUP(INDICE!$F$2,Nombres!$C$3:$D$636,40,FALSE)</f>
        <v>  Gastos de personal</v>
      </c>
      <c r="B15" s="44">
        <v>-130.48242359</v>
      </c>
      <c r="C15" s="44">
        <v>-141.20892501999998</v>
      </c>
      <c r="D15" s="44">
        <v>-143.46707383</v>
      </c>
      <c r="E15" s="45">
        <v>-205.83660245000002</v>
      </c>
      <c r="F15" s="44">
        <v>-151.16689345999998</v>
      </c>
      <c r="G15" s="44">
        <v>0</v>
      </c>
      <c r="H15" s="44">
        <v>0</v>
      </c>
      <c r="I15" s="44">
        <v>0</v>
      </c>
    </row>
    <row r="16" spans="1:9" ht="15">
      <c r="A16" s="88" t="str">
        <f>HLOOKUP(INDICE!$F$2,Nombres!$C$3:$D$636,41,FALSE)</f>
        <v>  Otros gastos de administración</v>
      </c>
      <c r="B16" s="44">
        <v>-8.534928890000026</v>
      </c>
      <c r="C16" s="44">
        <v>-13.43237486</v>
      </c>
      <c r="D16" s="44">
        <v>-6.88404271000001</v>
      </c>
      <c r="E16" s="45">
        <v>3.1424740200000256</v>
      </c>
      <c r="F16" s="44">
        <v>-3.915421059999998</v>
      </c>
      <c r="G16" s="44">
        <v>0</v>
      </c>
      <c r="H16" s="44">
        <v>0</v>
      </c>
      <c r="I16" s="44">
        <v>0</v>
      </c>
    </row>
    <row r="17" spans="1:9" ht="15">
      <c r="A17" s="87" t="str">
        <f>HLOOKUP(INDICE!$F$2,Nombres!$C$3:$D$636,42,FALSE)</f>
        <v>  Amortización</v>
      </c>
      <c r="B17" s="44">
        <v>-48.21854836</v>
      </c>
      <c r="C17" s="44">
        <v>-50.021912760000006</v>
      </c>
      <c r="D17" s="44">
        <v>-50.975585360000004</v>
      </c>
      <c r="E17" s="45">
        <v>-56.32363636</v>
      </c>
      <c r="F17" s="44">
        <v>-50.26331926</v>
      </c>
      <c r="G17" s="44">
        <v>0</v>
      </c>
      <c r="H17" s="44">
        <v>0</v>
      </c>
      <c r="I17" s="44">
        <v>0</v>
      </c>
    </row>
    <row r="18" spans="1:9" ht="15">
      <c r="A18" s="41" t="str">
        <f>HLOOKUP(INDICE!$F$2,Nombres!$C$3:$D$636,43,FALSE)</f>
        <v>Margen neto</v>
      </c>
      <c r="B18" s="41">
        <f aca="true" t="shared" si="1" ref="B18:I18">+B12+B13</f>
        <v>-266.35949908000003</v>
      </c>
      <c r="C18" s="41">
        <f t="shared" si="1"/>
        <v>-272.18039372</v>
      </c>
      <c r="D18" s="41">
        <f t="shared" si="1"/>
        <v>-198.8552551199998</v>
      </c>
      <c r="E18" s="42">
        <f t="shared" si="1"/>
        <v>-443.9667882899999</v>
      </c>
      <c r="F18" s="50">
        <f t="shared" si="1"/>
        <v>-516.3297259099999</v>
      </c>
      <c r="G18" s="50">
        <f t="shared" si="1"/>
        <v>0</v>
      </c>
      <c r="H18" s="50">
        <f t="shared" si="1"/>
        <v>0</v>
      </c>
      <c r="I18" s="50">
        <f t="shared" si="1"/>
        <v>0</v>
      </c>
    </row>
    <row r="19" spans="1:9" ht="15">
      <c r="A19" s="87" t="str">
        <f>HLOOKUP(INDICE!$F$2,Nombres!$C$3:$D$636,44,FALSE)</f>
        <v>Deterioro de activos financieros no valorados a valor razonable con cambios en resultados</v>
      </c>
      <c r="B19" s="44">
        <v>0.74508293</v>
      </c>
      <c r="C19" s="44">
        <v>0.28673723999999995</v>
      </c>
      <c r="D19" s="44">
        <v>-2.07908389</v>
      </c>
      <c r="E19" s="45">
        <v>-0.67203052</v>
      </c>
      <c r="F19" s="44">
        <v>0.1412139699999996</v>
      </c>
      <c r="G19" s="44">
        <v>0</v>
      </c>
      <c r="H19" s="44">
        <v>0</v>
      </c>
      <c r="I19" s="44">
        <v>0</v>
      </c>
    </row>
    <row r="20" spans="1:9" ht="15">
      <c r="A20" s="87" t="str">
        <f>HLOOKUP(INDICE!$F$2,Nombres!$C$3:$D$636,45,FALSE)</f>
        <v>Provisiones o reversión de provisiones y otros resultados</v>
      </c>
      <c r="B20" s="44">
        <v>10.601681679999999</v>
      </c>
      <c r="C20" s="44">
        <v>-5.445596379999988</v>
      </c>
      <c r="D20" s="44">
        <v>-8.048661459999902</v>
      </c>
      <c r="E20" s="45">
        <v>11.297974309999859</v>
      </c>
      <c r="F20" s="44">
        <v>-2.6892537799999974</v>
      </c>
      <c r="G20" s="44">
        <v>0</v>
      </c>
      <c r="H20" s="44">
        <v>0</v>
      </c>
      <c r="I20" s="44">
        <v>0</v>
      </c>
    </row>
    <row r="21" spans="1:9" ht="15">
      <c r="A21" s="89" t="str">
        <f>HLOOKUP(INDICE!$F$2,Nombres!$C$3:$D$636,46,FALSE)</f>
        <v>Resultado antes de impuestos</v>
      </c>
      <c r="B21" s="41">
        <f aca="true" t="shared" si="2" ref="B21:I21">+B18+B19+B20</f>
        <v>-255.01273447</v>
      </c>
      <c r="C21" s="41">
        <f t="shared" si="2"/>
        <v>-277.33925286</v>
      </c>
      <c r="D21" s="41">
        <f t="shared" si="2"/>
        <v>-208.9830004699997</v>
      </c>
      <c r="E21" s="42">
        <f t="shared" si="2"/>
        <v>-433.34084450000006</v>
      </c>
      <c r="F21" s="50">
        <f t="shared" si="2"/>
        <v>-518.8777657199998</v>
      </c>
      <c r="G21" s="50">
        <f t="shared" si="2"/>
        <v>0</v>
      </c>
      <c r="H21" s="50">
        <f t="shared" si="2"/>
        <v>0</v>
      </c>
      <c r="I21" s="50">
        <f t="shared" si="2"/>
        <v>0</v>
      </c>
    </row>
    <row r="22" spans="1:9" ht="15">
      <c r="A22" s="43" t="str">
        <f>HLOOKUP(INDICE!$F$2,Nombres!$C$3:$D$636,47,FALSE)</f>
        <v>Impuesto sobre beneficios</v>
      </c>
      <c r="B22" s="44">
        <v>46.16326183000002</v>
      </c>
      <c r="C22" s="44">
        <v>247.97867906</v>
      </c>
      <c r="D22" s="44">
        <v>-126.40814309999999</v>
      </c>
      <c r="E22" s="45">
        <v>109.23608410999998</v>
      </c>
      <c r="F22" s="44">
        <v>-9.039560230000006</v>
      </c>
      <c r="G22" s="44">
        <v>0</v>
      </c>
      <c r="H22" s="44">
        <v>0</v>
      </c>
      <c r="I22" s="44">
        <v>0</v>
      </c>
    </row>
    <row r="23" spans="1:9" ht="15">
      <c r="A23" s="41" t="str">
        <f>HLOOKUP(INDICE!$F$2,Nombres!$C$3:$D$636,48,FALSE)</f>
        <v>Resultado del ejercicio</v>
      </c>
      <c r="B23" s="41">
        <f aca="true" t="shared" si="3" ref="B23:I23">+B21+B22</f>
        <v>-208.84947264</v>
      </c>
      <c r="C23" s="41">
        <f t="shared" si="3"/>
        <v>-29.360573799999997</v>
      </c>
      <c r="D23" s="41">
        <f t="shared" si="3"/>
        <v>-335.3911435699997</v>
      </c>
      <c r="E23" s="42">
        <f t="shared" si="3"/>
        <v>-324.1047603900001</v>
      </c>
      <c r="F23" s="50">
        <f t="shared" si="3"/>
        <v>-527.9173259499998</v>
      </c>
      <c r="G23" s="50">
        <f t="shared" si="3"/>
        <v>0</v>
      </c>
      <c r="H23" s="50">
        <f t="shared" si="3"/>
        <v>0</v>
      </c>
      <c r="I23" s="50">
        <f t="shared" si="3"/>
        <v>0</v>
      </c>
    </row>
    <row r="24" spans="1:9" ht="15">
      <c r="A24" s="43" t="str">
        <f>HLOOKUP(INDICE!$F$2,Nombres!$C$3:$D$636,49,FALSE)</f>
        <v>Minoritarios</v>
      </c>
      <c r="B24" s="44">
        <v>-6.266600769999999</v>
      </c>
      <c r="C24" s="44">
        <v>14.166734980000003</v>
      </c>
      <c r="D24" s="44">
        <v>-0.42464304</v>
      </c>
      <c r="E24" s="45">
        <v>-32.16901922</v>
      </c>
      <c r="F24" s="44">
        <v>-3.49760337</v>
      </c>
      <c r="G24" s="44">
        <v>0</v>
      </c>
      <c r="H24" s="44">
        <v>0</v>
      </c>
      <c r="I24" s="44">
        <v>0</v>
      </c>
    </row>
    <row r="25" spans="1:9" ht="15">
      <c r="A25" s="47" t="str">
        <f>HLOOKUP(INDICE!$F$2,Nombres!$C$3:$D$636,50,FALSE)</f>
        <v>Resultado atribuido</v>
      </c>
      <c r="B25" s="47">
        <f>+B23+B24</f>
        <v>-215.11607340999998</v>
      </c>
      <c r="C25" s="47">
        <f aca="true" t="shared" si="4" ref="C25:I25">+C23+C24</f>
        <v>-15.193838819999995</v>
      </c>
      <c r="D25" s="47">
        <f t="shared" si="4"/>
        <v>-335.8157866099997</v>
      </c>
      <c r="E25" s="47">
        <f t="shared" si="4"/>
        <v>-356.2737796100001</v>
      </c>
      <c r="F25" s="47">
        <f t="shared" si="4"/>
        <v>-531.4149293199998</v>
      </c>
      <c r="G25" s="47">
        <f t="shared" si="4"/>
        <v>0</v>
      </c>
      <c r="H25" s="47">
        <f t="shared" si="4"/>
        <v>0</v>
      </c>
      <c r="I25" s="47">
        <f t="shared" si="4"/>
        <v>0</v>
      </c>
    </row>
    <row r="26" spans="1:9" ht="15">
      <c r="A26" s="294" t="s">
        <v>545</v>
      </c>
      <c r="B26" s="44"/>
      <c r="C26" s="44"/>
      <c r="D26" s="44"/>
      <c r="E26" s="44"/>
      <c r="F26" s="44"/>
      <c r="G26" s="44"/>
      <c r="H26" s="44"/>
      <c r="I26" s="44"/>
    </row>
    <row r="27" spans="1:9" ht="15">
      <c r="A27" s="297"/>
      <c r="B27" s="297"/>
      <c r="C27" s="297"/>
      <c r="D27" s="297"/>
      <c r="E27" s="297"/>
      <c r="F27" s="297"/>
      <c r="G27" s="297"/>
      <c r="H27" s="297"/>
      <c r="I27" s="297"/>
    </row>
    <row r="28" spans="1:9" ht="15">
      <c r="A28" s="297"/>
      <c r="B28" s="297"/>
      <c r="C28" s="297"/>
      <c r="D28" s="297"/>
      <c r="E28" s="297"/>
      <c r="F28" s="297"/>
      <c r="G28" s="297"/>
      <c r="H28" s="297"/>
      <c r="I28" s="297"/>
    </row>
    <row r="29" spans="1:9" ht="15">
      <c r="A29" s="41"/>
      <c r="B29" s="63" t="e">
        <v>#REF!</v>
      </c>
      <c r="C29" s="63" t="e">
        <v>#REF!</v>
      </c>
      <c r="D29" s="63" t="e">
        <v>#REF!</v>
      </c>
      <c r="E29" s="63" t="e">
        <v>#REF!</v>
      </c>
      <c r="F29" s="63" t="e">
        <v>#REF!</v>
      </c>
      <c r="G29" s="63" t="e">
        <v>#REF!</v>
      </c>
      <c r="H29" s="63" t="e">
        <v>#REF!</v>
      </c>
      <c r="I29" s="63" t="e">
        <v>#REF!</v>
      </c>
    </row>
    <row r="30" spans="1:9" ht="15">
      <c r="A30" s="41"/>
      <c r="B30" s="41"/>
      <c r="C30" s="41"/>
      <c r="D30" s="41"/>
      <c r="E30" s="41"/>
      <c r="F30" s="41"/>
      <c r="G30" s="41"/>
      <c r="H30" s="41"/>
      <c r="I30" s="41"/>
    </row>
    <row r="31" spans="1:9" ht="15" customHeight="1">
      <c r="A31" s="92" t="str">
        <f>HLOOKUP(INDICE!$F$2,Nombres!$C$3:$D$636,51,FALSE)</f>
        <v>Balances</v>
      </c>
      <c r="B31" s="34"/>
      <c r="C31" s="34"/>
      <c r="D31" s="34"/>
      <c r="E31" s="34"/>
      <c r="F31" s="80"/>
      <c r="G31" s="80"/>
      <c r="H31" s="80"/>
      <c r="I31" s="80"/>
    </row>
    <row r="32" spans="1:9" ht="14.25" customHeight="1">
      <c r="A32" s="83" t="str">
        <f>HLOOKUP(INDICE!$F$2,Nombres!$C$3:$D$636,32,FALSE)</f>
        <v>(Millones de euros)</v>
      </c>
      <c r="B32" s="30"/>
      <c r="C32" s="52"/>
      <c r="D32" s="52"/>
      <c r="E32" s="52"/>
      <c r="F32" s="78"/>
      <c r="G32" s="76"/>
      <c r="H32" s="76"/>
      <c r="I32" s="76"/>
    </row>
    <row r="33" spans="1:9" ht="14.25" customHeight="1">
      <c r="A33" s="30"/>
      <c r="B33" s="53">
        <f>+España!B32</f>
        <v>44651</v>
      </c>
      <c r="C33" s="53">
        <f>+España!C32</f>
        <v>44742</v>
      </c>
      <c r="D33" s="53">
        <f>+España!D32</f>
        <v>44834</v>
      </c>
      <c r="E33" s="67">
        <f>+España!E32</f>
        <v>44926</v>
      </c>
      <c r="F33" s="53">
        <f>+España!F32</f>
        <v>45016</v>
      </c>
      <c r="G33" s="53">
        <f>+España!G32</f>
        <v>45107</v>
      </c>
      <c r="H33" s="53">
        <f>+España!H32</f>
        <v>45199</v>
      </c>
      <c r="I33" s="53">
        <f>+España!I32</f>
        <v>45291</v>
      </c>
    </row>
    <row r="34" spans="1:9" ht="15">
      <c r="A34" s="87" t="str">
        <f>HLOOKUP(INDICE!$F$2,Nombres!$C$3:$D$636,52,FALSE)</f>
        <v>Efectivo, saldos en efectivo en bancos centrales y otros depósitos a la vista</v>
      </c>
      <c r="B34" s="44">
        <v>8607.665282</v>
      </c>
      <c r="C34" s="44">
        <v>6308.679373</v>
      </c>
      <c r="D34" s="44">
        <v>876.1439949999999</v>
      </c>
      <c r="E34" s="45">
        <v>855.682995</v>
      </c>
      <c r="F34" s="44">
        <v>565.938993</v>
      </c>
      <c r="G34" s="44">
        <v>0</v>
      </c>
      <c r="H34" s="44">
        <v>0</v>
      </c>
      <c r="I34" s="44">
        <v>0</v>
      </c>
    </row>
    <row r="35" spans="1:9" ht="15">
      <c r="A35" s="87" t="str">
        <f>HLOOKUP(INDICE!$F$2,Nombres!$C$3:$D$636,53,FALSE)</f>
        <v>Activos financieros a valor razonable</v>
      </c>
      <c r="B35" s="58">
        <v>2680.3512664500004</v>
      </c>
      <c r="C35" s="58">
        <v>2810.71222701</v>
      </c>
      <c r="D35" s="58">
        <v>2590.5027934299997</v>
      </c>
      <c r="E35" s="64">
        <v>2390.43420718</v>
      </c>
      <c r="F35" s="58">
        <v>2427.10285544</v>
      </c>
      <c r="G35" s="58">
        <v>0</v>
      </c>
      <c r="H35" s="58">
        <v>0</v>
      </c>
      <c r="I35" s="58">
        <v>0</v>
      </c>
    </row>
    <row r="36" spans="1:9" ht="15">
      <c r="A36" s="43" t="str">
        <f>HLOOKUP(INDICE!$F$2,Nombres!$C$3:$D$636,54,FALSE)</f>
        <v>Activos financieros a coste amortizado</v>
      </c>
      <c r="B36" s="44">
        <v>1331.3924940000002</v>
      </c>
      <c r="C36" s="44">
        <v>1044.3898189999998</v>
      </c>
      <c r="D36" s="44">
        <v>2160.458094</v>
      </c>
      <c r="E36" s="45">
        <v>3261.53742368</v>
      </c>
      <c r="F36" s="44">
        <v>3742.0746883599995</v>
      </c>
      <c r="G36" s="44">
        <v>0</v>
      </c>
      <c r="H36" s="44">
        <v>0</v>
      </c>
      <c r="I36" s="44">
        <v>0</v>
      </c>
    </row>
    <row r="37" spans="1:9" ht="15">
      <c r="A37" s="87" t="str">
        <f>HLOOKUP(INDICE!$F$2,Nombres!$C$3:$D$636,55,FALSE)</f>
        <v>    de los que préstamos y anticipos a la clientela</v>
      </c>
      <c r="B37" s="44">
        <v>500.66907799999996</v>
      </c>
      <c r="C37" s="44">
        <v>343.35233900000003</v>
      </c>
      <c r="D37" s="44">
        <v>160.81775499999995</v>
      </c>
      <c r="E37" s="45">
        <v>277.87614967999997</v>
      </c>
      <c r="F37" s="44">
        <v>402.21734835999996</v>
      </c>
      <c r="G37" s="44">
        <v>0</v>
      </c>
      <c r="H37" s="44">
        <v>0</v>
      </c>
      <c r="I37" s="44">
        <v>0</v>
      </c>
    </row>
    <row r="38" spans="1:9" ht="15">
      <c r="A38" s="87" t="str">
        <f>HLOOKUP(INDICE!$F$2,Nombres!$C$3:$D$636,121,FALSE)</f>
        <v>Posiciones inter-áreas activo</v>
      </c>
      <c r="B38" s="44">
        <v>-0.002000100001168903</v>
      </c>
      <c r="C38" s="44">
        <v>-0.0030062300065765157</v>
      </c>
      <c r="D38" s="44">
        <v>-0.00013718999980483204</v>
      </c>
      <c r="E38" s="45">
        <v>0</v>
      </c>
      <c r="F38" s="44">
        <v>0</v>
      </c>
      <c r="G38" s="44">
        <v>0</v>
      </c>
      <c r="H38" s="44">
        <v>0</v>
      </c>
      <c r="I38" s="44">
        <v>0</v>
      </c>
    </row>
    <row r="39" spans="1:9" ht="15">
      <c r="A39" s="43" t="str">
        <f>HLOOKUP(INDICE!$F$2,Nombres!$C$3:$D$636,56,FALSE)</f>
        <v>Activos tangibles</v>
      </c>
      <c r="B39" s="44">
        <v>1914.414337</v>
      </c>
      <c r="C39" s="44">
        <v>1898.168142</v>
      </c>
      <c r="D39" s="44">
        <v>1888.460861</v>
      </c>
      <c r="E39" s="45">
        <v>1862.5588940000002</v>
      </c>
      <c r="F39" s="44">
        <v>1753.782907</v>
      </c>
      <c r="G39" s="44">
        <v>0</v>
      </c>
      <c r="H39" s="44">
        <v>0</v>
      </c>
      <c r="I39" s="44">
        <v>0</v>
      </c>
    </row>
    <row r="40" spans="1:9" ht="15">
      <c r="A40" s="87" t="str">
        <f>HLOOKUP(INDICE!$F$2,Nombres!$C$3:$D$636,57,FALSE)</f>
        <v>Otros activos</v>
      </c>
      <c r="B40" s="44">
        <v>14769.27883025</v>
      </c>
      <c r="C40" s="44">
        <v>14039.35487528</v>
      </c>
      <c r="D40" s="44">
        <v>13992.462844140002</v>
      </c>
      <c r="E40" s="45">
        <v>14348.672601119997</v>
      </c>
      <c r="F40" s="44">
        <v>13906.70530885</v>
      </c>
      <c r="G40" s="44">
        <v>0</v>
      </c>
      <c r="H40" s="44">
        <v>0</v>
      </c>
      <c r="I40" s="44">
        <v>0</v>
      </c>
    </row>
    <row r="41" spans="1:9" ht="15">
      <c r="A41" s="90" t="str">
        <f>HLOOKUP(INDICE!$F$2,Nombres!$C$3:$D$636,58,FALSE)</f>
        <v>Total activo / pasivo</v>
      </c>
      <c r="B41" s="51">
        <f aca="true" t="shared" si="5" ref="B41:I41">+B34+B35+B36+B38+B39+B40</f>
        <v>29303.100209599997</v>
      </c>
      <c r="C41" s="51">
        <f t="shared" si="5"/>
        <v>26101.301430059993</v>
      </c>
      <c r="D41" s="51">
        <f t="shared" si="5"/>
        <v>21508.02845038</v>
      </c>
      <c r="E41" s="79">
        <f t="shared" si="5"/>
        <v>22718.886120979998</v>
      </c>
      <c r="F41" s="51">
        <f t="shared" si="5"/>
        <v>22395.604752649997</v>
      </c>
      <c r="G41" s="51">
        <f t="shared" si="5"/>
        <v>0</v>
      </c>
      <c r="H41" s="51">
        <f t="shared" si="5"/>
        <v>0</v>
      </c>
      <c r="I41" s="51">
        <f t="shared" si="5"/>
        <v>0</v>
      </c>
    </row>
    <row r="42" spans="1:9" ht="15">
      <c r="A42" s="87" t="str">
        <f>HLOOKUP(INDICE!$F$2,Nombres!$C$3:$D$636,59,FALSE)</f>
        <v>Pasivos financieros mantenidos para negociar y designados a valor razonable con cambios en resultados</v>
      </c>
      <c r="B42" s="44">
        <v>136.732597</v>
      </c>
      <c r="C42" s="44">
        <v>187.53462199999998</v>
      </c>
      <c r="D42" s="44">
        <v>251.74170099999998</v>
      </c>
      <c r="E42" s="45">
        <v>108.30249</v>
      </c>
      <c r="F42" s="44">
        <v>305.38960000000003</v>
      </c>
      <c r="G42" s="44">
        <v>0</v>
      </c>
      <c r="H42" s="44">
        <v>0</v>
      </c>
      <c r="I42" s="44">
        <v>0</v>
      </c>
    </row>
    <row r="43" spans="1:9" ht="15">
      <c r="A43" s="87" t="str">
        <f>HLOOKUP(INDICE!$F$2,Nombres!$C$3:$D$636,60,FALSE)</f>
        <v>Depósitos de bancos centrales y entidades de crédito</v>
      </c>
      <c r="B43" s="44">
        <v>762.66485</v>
      </c>
      <c r="C43" s="44">
        <v>778.6539009999999</v>
      </c>
      <c r="D43" s="44">
        <v>838.344961</v>
      </c>
      <c r="E43" s="45">
        <v>682.0508799999999</v>
      </c>
      <c r="F43" s="44">
        <v>698.46282</v>
      </c>
      <c r="G43" s="44">
        <v>0</v>
      </c>
      <c r="H43" s="44">
        <v>0</v>
      </c>
      <c r="I43" s="44">
        <v>0</v>
      </c>
    </row>
    <row r="44" spans="1:9" ht="15.75" customHeight="1">
      <c r="A44" s="87" t="str">
        <f>HLOOKUP(INDICE!$F$2,Nombres!$C$3:$D$636,61,FALSE)</f>
        <v>Depósitos de la clientela</v>
      </c>
      <c r="B44" s="44">
        <v>181.94271200000003</v>
      </c>
      <c r="C44" s="44">
        <v>191.02843900000002</v>
      </c>
      <c r="D44" s="44">
        <v>185.217965</v>
      </c>
      <c r="E44" s="45">
        <v>186.723229</v>
      </c>
      <c r="F44" s="44">
        <v>186.29189599999998</v>
      </c>
      <c r="G44" s="44">
        <v>0</v>
      </c>
      <c r="H44" s="44">
        <v>0</v>
      </c>
      <c r="I44" s="44">
        <v>0</v>
      </c>
    </row>
    <row r="45" spans="1:9" ht="15">
      <c r="A45" s="43" t="str">
        <f>HLOOKUP(INDICE!$F$2,Nombres!$C$3:$D$636,62,FALSE)</f>
        <v>Valores representativos de deuda emitidos</v>
      </c>
      <c r="B45" s="44">
        <v>946.7578466500006</v>
      </c>
      <c r="C45" s="44">
        <v>-530.5565864599987</v>
      </c>
      <c r="D45" s="44">
        <v>-791.7168418800004</v>
      </c>
      <c r="E45" s="45">
        <v>-863.0435753099995</v>
      </c>
      <c r="F45" s="44">
        <v>-2057.209237410001</v>
      </c>
      <c r="G45" s="44">
        <v>0</v>
      </c>
      <c r="H45" s="44">
        <v>0</v>
      </c>
      <c r="I45" s="44">
        <v>0</v>
      </c>
    </row>
    <row r="46" spans="1:9" ht="15">
      <c r="A46" s="87" t="str">
        <f>HLOOKUP(INDICE!$F$2,Nombres!$C$3:$D$636,122,FALSE)</f>
        <v>Posiciones inter-áreas pasivo</v>
      </c>
      <c r="B46" s="44">
        <v>9398.808465749997</v>
      </c>
      <c r="C46" s="44">
        <v>12084.000611639993</v>
      </c>
      <c r="D46" s="44">
        <v>7414.871566570002</v>
      </c>
      <c r="E46" s="45">
        <v>7963.45796353</v>
      </c>
      <c r="F46" s="44">
        <v>6785.9280819699925</v>
      </c>
      <c r="G46" s="44">
        <v>0</v>
      </c>
      <c r="H46" s="44">
        <v>0</v>
      </c>
      <c r="I46" s="44">
        <v>0</v>
      </c>
    </row>
    <row r="47" spans="1:9" ht="15">
      <c r="A47" s="43" t="str">
        <f>HLOOKUP(INDICE!$F$2,Nombres!$C$3:$D$636,63,FALSE)</f>
        <v>Otros pasivos</v>
      </c>
      <c r="B47" s="44">
        <f aca="true" t="shared" si="6" ref="B47:I47">+B41-B42-B43-B44-B45-B46-B49-B48</f>
        <v>6929.594503310003</v>
      </c>
      <c r="C47" s="44">
        <f t="shared" si="6"/>
        <v>5013.285594719986</v>
      </c>
      <c r="D47" s="44">
        <f t="shared" si="6"/>
        <v>4546.093360820007</v>
      </c>
      <c r="E47" s="45">
        <f t="shared" si="6"/>
        <v>4011.4971352000066</v>
      </c>
      <c r="F47" s="44">
        <f t="shared" si="6"/>
        <v>5918.073660059999</v>
      </c>
      <c r="G47" s="44">
        <f t="shared" si="6"/>
        <v>0</v>
      </c>
      <c r="H47" s="44">
        <f t="shared" si="6"/>
        <v>0</v>
      </c>
      <c r="I47" s="44">
        <f t="shared" si="6"/>
        <v>0</v>
      </c>
    </row>
    <row r="48" spans="1:9" ht="15">
      <c r="A48" s="43" t="str">
        <f>HLOOKUP(INDICE!$F$2,Nombres!$C$3:$D$636,282,FALSE)</f>
        <v>Dotación de capital regulatorio</v>
      </c>
      <c r="B48" s="44">
        <f>-España!B47-Mexico!B45-Turquia!B45-AdS!B45-'Resto de Negocios'!B45</f>
        <v>-37900.75133455</v>
      </c>
      <c r="C48" s="44">
        <f>-España!C47-Mexico!C45-Turquia!C45-AdS!C45-'Resto de Negocios'!C45</f>
        <v>-40379.34771914</v>
      </c>
      <c r="D48" s="44">
        <f>-España!D47-Mexico!D45-Turquia!D45-AdS!D45-'Resto de Negocios'!D45</f>
        <v>-40769.42884406</v>
      </c>
      <c r="E48" s="45">
        <f>-España!E47-Mexico!E45-Turquia!E45-AdS!E45-'Resto de Negocios'!E45</f>
        <v>-39886.99657867</v>
      </c>
      <c r="F48" s="44">
        <f>-España!F47-Mexico!F45-Turquia!F45-AdS!F45-'Resto de Negocios'!F45</f>
        <v>-40912.61305891</v>
      </c>
      <c r="G48" s="44">
        <f>-España!G47-Mexico!G45-Turquia!G45-AdS!G45-'Resto de Negocios'!G45</f>
        <v>0</v>
      </c>
      <c r="H48" s="44">
        <f>-España!H47-Mexico!H45-Turquia!H45-AdS!H45-'Resto de Negocios'!H45</f>
        <v>0</v>
      </c>
      <c r="I48" s="44">
        <f>-España!I47-Mexico!I45-Turquia!I45-AdS!I45-'Resto de Negocios'!I45</f>
        <v>0</v>
      </c>
    </row>
    <row r="49" spans="1:9" ht="15">
      <c r="A49" s="87" t="str">
        <f>HLOOKUP(INDICE!$F$2,Nombres!$C$3:$D$636,150,FALSE)</f>
        <v>Patrimonio neto</v>
      </c>
      <c r="B49" s="44">
        <v>48847.350569439994</v>
      </c>
      <c r="C49" s="44">
        <v>48756.70256730001</v>
      </c>
      <c r="D49" s="44">
        <v>49832.90458192999</v>
      </c>
      <c r="E49" s="45">
        <v>50516.89457722999</v>
      </c>
      <c r="F49" s="44">
        <v>51471.28099094001</v>
      </c>
      <c r="G49" s="44">
        <v>0</v>
      </c>
      <c r="H49" s="44">
        <v>0</v>
      </c>
      <c r="I49" s="44">
        <v>0</v>
      </c>
    </row>
    <row r="50" spans="1:9" ht="15">
      <c r="A50" s="43"/>
      <c r="B50" s="58"/>
      <c r="C50" s="58"/>
      <c r="D50" s="58"/>
      <c r="E50" s="58"/>
      <c r="F50" s="58"/>
      <c r="G50" s="58"/>
      <c r="H50" s="58"/>
      <c r="I50" s="58"/>
    </row>
    <row r="51" spans="1:9" ht="15">
      <c r="A51" s="43"/>
      <c r="B51" s="58"/>
      <c r="C51" s="58"/>
      <c r="D51" s="58"/>
      <c r="E51" s="58"/>
      <c r="F51" s="58"/>
      <c r="G51" s="58"/>
      <c r="H51" s="58"/>
      <c r="I51" s="58"/>
    </row>
    <row r="52" spans="1:9" ht="15">
      <c r="A52" s="43"/>
      <c r="B52" s="58"/>
      <c r="C52" s="58"/>
      <c r="D52" s="58"/>
      <c r="E52" s="58"/>
      <c r="F52" s="44"/>
      <c r="G52" s="44"/>
      <c r="H52" s="44"/>
      <c r="I52" s="44"/>
    </row>
    <row r="53" spans="1:9" ht="15">
      <c r="A53" s="43"/>
      <c r="B53" s="30"/>
      <c r="C53" s="295"/>
      <c r="D53" s="30"/>
      <c r="E53" s="30"/>
      <c r="F53" s="69"/>
      <c r="G53" s="44"/>
      <c r="H53" s="44"/>
      <c r="I53" s="44"/>
    </row>
    <row r="54" spans="1:9" ht="15.75">
      <c r="A54" s="43"/>
      <c r="B54" s="30"/>
      <c r="C54" s="53"/>
      <c r="D54" s="53"/>
      <c r="E54" s="53"/>
      <c r="F54" s="53"/>
      <c r="G54" s="53"/>
      <c r="H54" s="53"/>
      <c r="I54" s="53"/>
    </row>
    <row r="55" spans="1:9" ht="15">
      <c r="A55" s="43"/>
      <c r="B55" s="44"/>
      <c r="C55" s="44"/>
      <c r="D55" s="44"/>
      <c r="E55" s="44"/>
      <c r="F55" s="44"/>
      <c r="G55" s="44"/>
      <c r="H55" s="44"/>
      <c r="I55" s="44"/>
    </row>
    <row r="56" spans="1:9" ht="15">
      <c r="A56" s="41"/>
      <c r="B56" s="44"/>
      <c r="C56" s="44"/>
      <c r="D56" s="44"/>
      <c r="E56" s="44"/>
      <c r="F56" s="44"/>
      <c r="G56" s="44"/>
      <c r="H56" s="44"/>
      <c r="I56" s="44"/>
    </row>
    <row r="57" spans="1:9" ht="15">
      <c r="A57" s="43"/>
      <c r="B57" s="44"/>
      <c r="C57" s="44"/>
      <c r="D57" s="44"/>
      <c r="E57" s="44"/>
      <c r="F57" s="44"/>
      <c r="G57" s="44"/>
      <c r="H57" s="44"/>
      <c r="I57" s="44"/>
    </row>
    <row r="58" spans="1:9" ht="15">
      <c r="A58" s="43"/>
      <c r="B58" s="44"/>
      <c r="D58" s="44"/>
      <c r="E58" s="44"/>
      <c r="F58" s="44"/>
      <c r="G58" s="44"/>
      <c r="H58" s="44"/>
      <c r="I58" s="44"/>
    </row>
    <row r="59" spans="1:9" ht="15">
      <c r="A59" s="43"/>
      <c r="B59" s="44"/>
      <c r="D59" s="44"/>
      <c r="E59" s="44"/>
      <c r="F59" s="44"/>
      <c r="G59" s="44"/>
      <c r="H59" s="44"/>
      <c r="I59" s="44"/>
    </row>
    <row r="60" spans="1:9" ht="15">
      <c r="A60" s="62"/>
      <c r="B60" s="58"/>
      <c r="D60" s="58"/>
      <c r="E60" s="58"/>
      <c r="F60" s="44"/>
      <c r="G60" s="44"/>
      <c r="H60" s="44"/>
      <c r="I60" s="44"/>
    </row>
    <row r="61" spans="1:9" ht="15">
      <c r="A61" s="62"/>
      <c r="B61" s="58"/>
      <c r="D61" s="30"/>
      <c r="E61" s="30"/>
      <c r="F61" s="69"/>
      <c r="G61" s="69"/>
      <c r="H61" s="69"/>
      <c r="I61" s="69"/>
    </row>
    <row r="62" spans="1:9" ht="15">
      <c r="A62" s="62"/>
      <c r="B62" s="58"/>
      <c r="D62" s="30"/>
      <c r="E62" s="30"/>
      <c r="F62" s="69"/>
      <c r="G62" s="69"/>
      <c r="H62" s="69"/>
      <c r="I62" s="69"/>
    </row>
    <row r="63" spans="2:9" ht="15">
      <c r="B63" s="54"/>
      <c r="C63" s="54"/>
      <c r="D63" s="54"/>
      <c r="E63" s="73"/>
      <c r="F63" s="296"/>
      <c r="G63" s="81"/>
      <c r="H63" s="81"/>
      <c r="I63" s="81"/>
    </row>
    <row r="64" spans="2:9" ht="15">
      <c r="B64" s="54"/>
      <c r="F64" s="81"/>
      <c r="G64" s="81"/>
      <c r="H64" s="81"/>
      <c r="I64" s="81"/>
    </row>
    <row r="65" spans="2:9" ht="15">
      <c r="B65" s="54"/>
      <c r="F65" s="81"/>
      <c r="G65" s="81"/>
      <c r="H65" s="81"/>
      <c r="I65" s="81"/>
    </row>
    <row r="66" spans="2:9" ht="15">
      <c r="B66" s="54"/>
      <c r="F66" s="81"/>
      <c r="G66" s="81"/>
      <c r="H66" s="81"/>
      <c r="I66" s="81"/>
    </row>
    <row r="67" spans="2:9" ht="15">
      <c r="B67" s="54"/>
      <c r="F67" s="81"/>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6:9" ht="15">
      <c r="F71" s="81"/>
      <c r="G71" s="81"/>
      <c r="H71" s="81"/>
      <c r="I71" s="81"/>
    </row>
    <row r="72" spans="6:9" ht="15">
      <c r="F72" s="81"/>
      <c r="G72" s="81"/>
      <c r="H72" s="81"/>
      <c r="I72" s="81"/>
    </row>
    <row r="73" spans="6:9" ht="15">
      <c r="F73" s="81"/>
      <c r="G73" s="81"/>
      <c r="H73" s="81"/>
      <c r="I73" s="81"/>
    </row>
    <row r="74" spans="6:9" ht="15">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17" spans="6:9" ht="15">
      <c r="F117" s="81"/>
      <c r="G117" s="81"/>
      <c r="H117" s="81"/>
      <c r="I117" s="81"/>
    </row>
    <row r="118" spans="6:9" ht="15">
      <c r="F118" s="81"/>
      <c r="G118" s="81"/>
      <c r="H118" s="81"/>
      <c r="I118" s="81"/>
    </row>
    <row r="119" spans="6:9" ht="15">
      <c r="F119" s="81"/>
      <c r="G119" s="81"/>
      <c r="H119" s="81"/>
      <c r="I119" s="81"/>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sheetData>
  <sheetProtection/>
  <mergeCells count="4">
    <mergeCell ref="B6:E6"/>
    <mergeCell ref="F6:I6"/>
    <mergeCell ref="A27:I27"/>
    <mergeCell ref="A28:I28"/>
  </mergeCells>
  <conditionalFormatting sqref="B29:I29">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1" sqref="A1"/>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297"/>
      <c r="B2" s="297"/>
      <c r="C2" s="297"/>
      <c r="D2" s="297"/>
      <c r="E2" s="297"/>
      <c r="F2" s="297"/>
      <c r="G2" s="297"/>
      <c r="H2" s="297"/>
      <c r="I2" s="297"/>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462.74926301999994</v>
      </c>
      <c r="C8" s="41">
        <v>482.50293709000005</v>
      </c>
      <c r="D8" s="41">
        <v>525.45749795</v>
      </c>
      <c r="E8" s="42">
        <v>481.15489633000016</v>
      </c>
      <c r="F8" s="50">
        <v>516.2199621699999</v>
      </c>
      <c r="G8" s="50">
        <v>0</v>
      </c>
      <c r="H8" s="50">
        <v>0</v>
      </c>
      <c r="I8" s="50">
        <v>0</v>
      </c>
    </row>
    <row r="9" spans="1:9" ht="15">
      <c r="A9" s="43" t="str">
        <f>HLOOKUP(INDICE!$F$2,Nombres!$C$3:$D$636,34,FALSE)</f>
        <v>Comisiones netas</v>
      </c>
      <c r="B9" s="44">
        <v>198.18392376000003</v>
      </c>
      <c r="C9" s="44">
        <v>235.24674769999996</v>
      </c>
      <c r="D9" s="44">
        <v>243.41433367000002</v>
      </c>
      <c r="E9" s="45">
        <v>236.75725657999996</v>
      </c>
      <c r="F9" s="44">
        <v>276.13034073000006</v>
      </c>
      <c r="G9" s="44">
        <v>0</v>
      </c>
      <c r="H9" s="44">
        <v>0</v>
      </c>
      <c r="I9" s="44">
        <v>0</v>
      </c>
    </row>
    <row r="10" spans="1:9" ht="15">
      <c r="A10" s="43" t="str">
        <f>HLOOKUP(INDICE!$F$2,Nombres!$C$3:$D$636,35,FALSE)</f>
        <v>Resultados de operaciones financieras</v>
      </c>
      <c r="B10" s="44">
        <v>343.98138677000003</v>
      </c>
      <c r="C10" s="44">
        <v>278.81458497</v>
      </c>
      <c r="D10" s="44">
        <v>278.80443419</v>
      </c>
      <c r="E10" s="45">
        <v>225.93336499000003</v>
      </c>
      <c r="F10" s="44">
        <v>430.89754324</v>
      </c>
      <c r="G10" s="44">
        <v>0</v>
      </c>
      <c r="H10" s="44">
        <v>0</v>
      </c>
      <c r="I10" s="44">
        <v>0</v>
      </c>
    </row>
    <row r="11" spans="1:9" ht="15">
      <c r="A11" s="43" t="str">
        <f>HLOOKUP(INDICE!$F$2,Nombres!$C$3:$D$636,36,FALSE)</f>
        <v>Otros ingresos y cargas de explotación</v>
      </c>
      <c r="B11" s="44">
        <v>-7.9789008400000005</v>
      </c>
      <c r="C11" s="44">
        <v>-7.5561983</v>
      </c>
      <c r="D11" s="44">
        <v>-14.136408559999994</v>
      </c>
      <c r="E11" s="45">
        <v>-13.010762160000004</v>
      </c>
      <c r="F11" s="44">
        <v>-27.92221348</v>
      </c>
      <c r="G11" s="44">
        <v>0</v>
      </c>
      <c r="H11" s="44">
        <v>0</v>
      </c>
      <c r="I11" s="44">
        <v>0</v>
      </c>
    </row>
    <row r="12" spans="1:9" ht="15">
      <c r="A12" s="41" t="str">
        <f>HLOOKUP(INDICE!$F$2,Nombres!$C$3:$D$636,37,FALSE)</f>
        <v>Margen bruto</v>
      </c>
      <c r="B12" s="41">
        <f>+SUM(B8:B11)</f>
        <v>996.9356727099998</v>
      </c>
      <c r="C12" s="41">
        <f aca="true" t="shared" si="0" ref="C12:I12">+SUM(C8:C11)</f>
        <v>989.0080714599999</v>
      </c>
      <c r="D12" s="41">
        <f t="shared" si="0"/>
        <v>1033.5398572499998</v>
      </c>
      <c r="E12" s="42">
        <f t="shared" si="0"/>
        <v>930.8347557400002</v>
      </c>
      <c r="F12" s="50">
        <f t="shared" si="0"/>
        <v>1195.32563266</v>
      </c>
      <c r="G12" s="50">
        <f t="shared" si="0"/>
        <v>0</v>
      </c>
      <c r="H12" s="50">
        <f t="shared" si="0"/>
        <v>0</v>
      </c>
      <c r="I12" s="50">
        <f t="shared" si="0"/>
        <v>0</v>
      </c>
    </row>
    <row r="13" spans="1:9" ht="15">
      <c r="A13" s="43" t="str">
        <f>HLOOKUP(INDICE!$F$2,Nombres!$C$3:$D$636,38,FALSE)</f>
        <v>Gastos de explotación</v>
      </c>
      <c r="B13" s="44">
        <v>-258.18826376000004</v>
      </c>
      <c r="C13" s="44">
        <v>-267.00462776</v>
      </c>
      <c r="D13" s="44">
        <v>-297.73679367</v>
      </c>
      <c r="E13" s="45">
        <v>-302.54249079</v>
      </c>
      <c r="F13" s="44">
        <v>-304.38242811</v>
      </c>
      <c r="G13" s="44">
        <v>0</v>
      </c>
      <c r="H13" s="44">
        <v>0</v>
      </c>
      <c r="I13" s="44">
        <v>0</v>
      </c>
    </row>
    <row r="14" spans="1:9" ht="15">
      <c r="A14" s="43" t="str">
        <f>HLOOKUP(INDICE!$F$2,Nombres!$C$3:$D$636,39,FALSE)</f>
        <v>  Gastos de administración</v>
      </c>
      <c r="B14" s="44">
        <v>-232.64717588999997</v>
      </c>
      <c r="C14" s="44">
        <v>-240.30857023</v>
      </c>
      <c r="D14" s="44">
        <v>-270.47383131000004</v>
      </c>
      <c r="E14" s="45">
        <v>-277.03084312000004</v>
      </c>
      <c r="F14" s="44">
        <v>-278.85128488</v>
      </c>
      <c r="G14" s="44">
        <v>0</v>
      </c>
      <c r="H14" s="44">
        <v>0</v>
      </c>
      <c r="I14" s="44">
        <v>0</v>
      </c>
    </row>
    <row r="15" spans="1:9" ht="15">
      <c r="A15" s="46" t="str">
        <f>HLOOKUP(INDICE!$F$2,Nombres!$C$3:$D$636,40,FALSE)</f>
        <v>  Gastos de personal</v>
      </c>
      <c r="B15" s="44">
        <v>-119.90747105</v>
      </c>
      <c r="C15" s="44">
        <v>-118.70269120999998</v>
      </c>
      <c r="D15" s="44">
        <v>-140.54468759</v>
      </c>
      <c r="E15" s="45">
        <v>-160.3843295</v>
      </c>
      <c r="F15" s="44">
        <v>-143.16699493000002</v>
      </c>
      <c r="G15" s="44">
        <v>0</v>
      </c>
      <c r="H15" s="44">
        <v>0</v>
      </c>
      <c r="I15" s="44">
        <v>0</v>
      </c>
    </row>
    <row r="16" spans="1:9" ht="15">
      <c r="A16" s="46" t="str">
        <f>HLOOKUP(INDICE!$F$2,Nombres!$C$3:$D$636,41,FALSE)</f>
        <v>  Otros gastos de administración</v>
      </c>
      <c r="B16" s="44">
        <v>-112.73970484</v>
      </c>
      <c r="C16" s="44">
        <v>-121.60587902000003</v>
      </c>
      <c r="D16" s="44">
        <v>-129.92914372</v>
      </c>
      <c r="E16" s="45">
        <v>-116.64651362</v>
      </c>
      <c r="F16" s="44">
        <v>-135.68428995</v>
      </c>
      <c r="G16" s="44">
        <v>0</v>
      </c>
      <c r="H16" s="44">
        <v>0</v>
      </c>
      <c r="I16" s="44">
        <v>0</v>
      </c>
    </row>
    <row r="17" spans="1:9" ht="15">
      <c r="A17" s="43" t="str">
        <f>HLOOKUP(INDICE!$F$2,Nombres!$C$3:$D$636,42,FALSE)</f>
        <v>  Amortización</v>
      </c>
      <c r="B17" s="44">
        <v>-25.54108787</v>
      </c>
      <c r="C17" s="44">
        <v>-26.696057530000004</v>
      </c>
      <c r="D17" s="44">
        <v>-27.262962359999992</v>
      </c>
      <c r="E17" s="45">
        <v>-25.511647669999995</v>
      </c>
      <c r="F17" s="44">
        <v>-25.531143229999998</v>
      </c>
      <c r="G17" s="44">
        <v>0</v>
      </c>
      <c r="H17" s="44">
        <v>0</v>
      </c>
      <c r="I17" s="44">
        <v>0</v>
      </c>
    </row>
    <row r="18" spans="1:9" ht="15">
      <c r="A18" s="41" t="str">
        <f>HLOOKUP(INDICE!$F$2,Nombres!$C$3:$D$636,43,FALSE)</f>
        <v>Margen neto</v>
      </c>
      <c r="B18" s="41">
        <f>+B12+B13</f>
        <v>738.7474089499998</v>
      </c>
      <c r="C18" s="41">
        <f aca="true" t="shared" si="1" ref="C18:I18">+C12+C13</f>
        <v>722.0034436999999</v>
      </c>
      <c r="D18" s="41">
        <f t="shared" si="1"/>
        <v>735.8030635799998</v>
      </c>
      <c r="E18" s="42">
        <f t="shared" si="1"/>
        <v>628.2922649500002</v>
      </c>
      <c r="F18" s="50">
        <f t="shared" si="1"/>
        <v>890.9432045500001</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-20.469335249999993</v>
      </c>
      <c r="C19" s="44">
        <v>25.179875769999995</v>
      </c>
      <c r="D19" s="44">
        <v>-70.10668663000001</v>
      </c>
      <c r="E19" s="45">
        <v>-38.28453413000001</v>
      </c>
      <c r="F19" s="44">
        <v>-43.74577735</v>
      </c>
      <c r="G19" s="44">
        <v>0</v>
      </c>
      <c r="H19" s="44">
        <v>0</v>
      </c>
      <c r="I19" s="44">
        <v>0</v>
      </c>
    </row>
    <row r="20" spans="1:9" ht="15">
      <c r="A20" s="43" t="str">
        <f>HLOOKUP(INDICE!$F$2,Nombres!$C$3:$D$636,45,FALSE)</f>
        <v>Provisiones o reversión de provisiones y otros resultados</v>
      </c>
      <c r="B20" s="44">
        <v>18.642876789999995</v>
      </c>
      <c r="C20" s="44">
        <v>-9.439837359999999</v>
      </c>
      <c r="D20" s="44">
        <v>0.05253734999999948</v>
      </c>
      <c r="E20" s="45">
        <v>-21.06648912</v>
      </c>
      <c r="F20" s="44">
        <v>14.97313925</v>
      </c>
      <c r="G20" s="44">
        <v>0</v>
      </c>
      <c r="H20" s="44">
        <v>0</v>
      </c>
      <c r="I20" s="44">
        <v>0</v>
      </c>
    </row>
    <row r="21" spans="1:9" ht="15">
      <c r="A21" s="41" t="str">
        <f>HLOOKUP(INDICE!$F$2,Nombres!$C$3:$D$636,46,FALSE)</f>
        <v>Resultado antes de impuestos</v>
      </c>
      <c r="B21" s="41">
        <f>+B18+B19+B20</f>
        <v>736.9209504899998</v>
      </c>
      <c r="C21" s="41">
        <f aca="true" t="shared" si="2" ref="C21:I21">+C18+C19+C20</f>
        <v>737.74348211</v>
      </c>
      <c r="D21" s="41">
        <f t="shared" si="2"/>
        <v>665.7489142999998</v>
      </c>
      <c r="E21" s="42">
        <f t="shared" si="2"/>
        <v>568.9412417000002</v>
      </c>
      <c r="F21" s="50">
        <f t="shared" si="2"/>
        <v>862.1705664500001</v>
      </c>
      <c r="G21" s="50">
        <f t="shared" si="2"/>
        <v>0</v>
      </c>
      <c r="H21" s="50">
        <f t="shared" si="2"/>
        <v>0</v>
      </c>
      <c r="I21" s="50">
        <f t="shared" si="2"/>
        <v>0</v>
      </c>
    </row>
    <row r="22" spans="1:9" ht="15">
      <c r="A22" s="43" t="str">
        <f>HLOOKUP(INDICE!$F$2,Nombres!$C$3:$D$636,47,FALSE)</f>
        <v>Impuesto sobre beneficios</v>
      </c>
      <c r="B22" s="44">
        <v>-208.47496916</v>
      </c>
      <c r="C22" s="44">
        <v>-207.32364473</v>
      </c>
      <c r="D22" s="44">
        <v>-193.48001018999997</v>
      </c>
      <c r="E22" s="45">
        <v>-155.10314764999998</v>
      </c>
      <c r="F22" s="44">
        <v>-239.42358255</v>
      </c>
      <c r="G22" s="44">
        <v>0</v>
      </c>
      <c r="H22" s="44">
        <v>0</v>
      </c>
      <c r="I22" s="44">
        <v>0</v>
      </c>
    </row>
    <row r="23" spans="1:9" ht="15">
      <c r="A23" s="41" t="str">
        <f>HLOOKUP(INDICE!$F$2,Nombres!$C$3:$D$636,48,FALSE)</f>
        <v>Resultado del ejercicio</v>
      </c>
      <c r="B23" s="41">
        <f>+B21+B22</f>
        <v>528.4459813299998</v>
      </c>
      <c r="C23" s="41">
        <f aca="true" t="shared" si="3" ref="C23:I23">+C21+C22</f>
        <v>530.41983738</v>
      </c>
      <c r="D23" s="41">
        <f t="shared" si="3"/>
        <v>472.2689041099998</v>
      </c>
      <c r="E23" s="42">
        <f t="shared" si="3"/>
        <v>413.8380940500002</v>
      </c>
      <c r="F23" s="50">
        <f t="shared" si="3"/>
        <v>622.7469839000001</v>
      </c>
      <c r="G23" s="50">
        <f t="shared" si="3"/>
        <v>0</v>
      </c>
      <c r="H23" s="50">
        <f t="shared" si="3"/>
        <v>0</v>
      </c>
      <c r="I23" s="50">
        <f t="shared" si="3"/>
        <v>0</v>
      </c>
    </row>
    <row r="24" spans="1:9" ht="15">
      <c r="A24" s="43" t="str">
        <f>HLOOKUP(INDICE!$F$2,Nombres!$C$3:$D$636,49,FALSE)</f>
        <v>Minoritarios</v>
      </c>
      <c r="B24" s="44">
        <v>-93.60098075</v>
      </c>
      <c r="C24" s="44">
        <v>-75.17068490000001</v>
      </c>
      <c r="D24" s="44">
        <v>-34.56164978</v>
      </c>
      <c r="E24" s="45">
        <v>-37.81120514999999</v>
      </c>
      <c r="F24" s="44">
        <v>-73.15521224</v>
      </c>
      <c r="G24" s="44">
        <v>0</v>
      </c>
      <c r="H24" s="44">
        <v>0</v>
      </c>
      <c r="I24" s="44">
        <v>0</v>
      </c>
    </row>
    <row r="25" spans="1:9" ht="15">
      <c r="A25" s="47" t="str">
        <f>HLOOKUP(INDICE!$F$2,Nombres!$C$3:$D$636,50,FALSE)</f>
        <v>Resultado atribuido</v>
      </c>
      <c r="B25" s="47">
        <f>+B23+B24</f>
        <v>434.84500057999975</v>
      </c>
      <c r="C25" s="47">
        <f aca="true" t="shared" si="4" ref="C25:I25">+C23+C24</f>
        <v>455.24915247999996</v>
      </c>
      <c r="D25" s="47">
        <f t="shared" si="4"/>
        <v>437.70725432999984</v>
      </c>
      <c r="E25" s="47">
        <f t="shared" si="4"/>
        <v>376.02688890000024</v>
      </c>
      <c r="F25" s="51">
        <f t="shared" si="4"/>
        <v>549.5917716600002</v>
      </c>
      <c r="G25" s="51">
        <f t="shared" si="4"/>
        <v>0</v>
      </c>
      <c r="H25" s="51">
        <f t="shared" si="4"/>
        <v>0</v>
      </c>
      <c r="I25" s="51">
        <f t="shared" si="4"/>
        <v>0</v>
      </c>
    </row>
    <row r="26" spans="1:9" ht="15">
      <c r="A26" s="278"/>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13" ht="15">
      <c r="A31" s="43" t="str">
        <f>HLOOKUP(INDICE!$F$2,Nombres!$C$3:$D$636,52,FALSE)</f>
        <v>Efectivo, saldos en efectivo en bancos centrales y otros depósitos a la vista</v>
      </c>
      <c r="B31" s="44">
        <v>6617.88308999</v>
      </c>
      <c r="C31" s="44">
        <v>8194.673499019998</v>
      </c>
      <c r="D31" s="44">
        <v>7133.68711934</v>
      </c>
      <c r="E31" s="45">
        <v>5524.28790709</v>
      </c>
      <c r="F31" s="44">
        <v>4820.0400665900015</v>
      </c>
      <c r="G31" s="44">
        <v>0</v>
      </c>
      <c r="H31" s="44">
        <v>0</v>
      </c>
      <c r="I31" s="44">
        <v>0</v>
      </c>
      <c r="L31" s="54"/>
      <c r="M31" s="54"/>
    </row>
    <row r="32" spans="1:13" ht="15">
      <c r="A32" s="43" t="str">
        <f>HLOOKUP(INDICE!$F$2,Nombres!$C$3:$D$636,53,FALSE)</f>
        <v>Activos financieros a valor razonable</v>
      </c>
      <c r="B32" s="58">
        <v>121981.77695218001</v>
      </c>
      <c r="C32" s="58">
        <v>127392.39282094</v>
      </c>
      <c r="D32" s="58">
        <v>124527.60585172998</v>
      </c>
      <c r="E32" s="64">
        <v>117958.38155486001</v>
      </c>
      <c r="F32" s="44">
        <v>130791.77267574001</v>
      </c>
      <c r="G32" s="44">
        <v>0</v>
      </c>
      <c r="H32" s="44">
        <v>0</v>
      </c>
      <c r="I32" s="44">
        <v>0</v>
      </c>
      <c r="L32" s="54"/>
      <c r="M32" s="54"/>
    </row>
    <row r="33" spans="1:13" ht="15">
      <c r="A33" s="43" t="str">
        <f>HLOOKUP(INDICE!$F$2,Nombres!$C$3:$D$636,54,FALSE)</f>
        <v>Activos financieros a coste amortizado</v>
      </c>
      <c r="B33" s="44">
        <v>80208.43022048</v>
      </c>
      <c r="C33" s="44">
        <v>84299.83718764</v>
      </c>
      <c r="D33" s="44">
        <v>91927.44914808</v>
      </c>
      <c r="E33" s="45">
        <v>89439.80892107</v>
      </c>
      <c r="F33" s="44">
        <v>90374.98171305</v>
      </c>
      <c r="G33" s="44">
        <v>0</v>
      </c>
      <c r="H33" s="44">
        <v>0</v>
      </c>
      <c r="I33" s="44">
        <v>0</v>
      </c>
      <c r="L33" s="54"/>
      <c r="M33" s="54"/>
    </row>
    <row r="34" spans="1:13" ht="15">
      <c r="A34" s="43" t="str">
        <f>HLOOKUP(INDICE!$F$2,Nombres!$C$3:$D$636,55,FALSE)</f>
        <v>    de los que préstamos y anticipos a la clientela</v>
      </c>
      <c r="B34" s="44">
        <v>70185.3358502</v>
      </c>
      <c r="C34" s="44">
        <v>72966.28573526</v>
      </c>
      <c r="D34" s="44">
        <v>78837.01051302999</v>
      </c>
      <c r="E34" s="45">
        <v>77208.18119451999</v>
      </c>
      <c r="F34" s="44">
        <v>76858.58369323998</v>
      </c>
      <c r="G34" s="44">
        <v>0</v>
      </c>
      <c r="H34" s="44">
        <v>0</v>
      </c>
      <c r="I34" s="44">
        <v>0</v>
      </c>
      <c r="L34" s="54"/>
      <c r="M34" s="54"/>
    </row>
    <row r="35" spans="1:13" ht="15">
      <c r="A35" s="43" t="str">
        <f>HLOOKUP(INDICE!$F$2,Nombres!$C$3:$D$636,121,FALSE)</f>
        <v>Posiciones inter-áreas activo</v>
      </c>
      <c r="B35" s="44">
        <v>0</v>
      </c>
      <c r="C35" s="44">
        <v>0</v>
      </c>
      <c r="D35" s="44">
        <v>0</v>
      </c>
      <c r="E35" s="45">
        <v>0</v>
      </c>
      <c r="F35" s="44">
        <v>0</v>
      </c>
      <c r="G35" s="44">
        <v>0</v>
      </c>
      <c r="H35" s="44">
        <v>0</v>
      </c>
      <c r="I35" s="44">
        <v>0</v>
      </c>
      <c r="L35" s="54"/>
      <c r="M35" s="54"/>
    </row>
    <row r="36" spans="1:13" ht="15">
      <c r="A36" s="43" t="str">
        <f>HLOOKUP(INDICE!$F$2,Nombres!$C$3:$D$636,56,FALSE)</f>
        <v>Activos tangibles</v>
      </c>
      <c r="B36" s="44">
        <v>53.56197830000001</v>
      </c>
      <c r="C36" s="44">
        <v>51.33084720000001</v>
      </c>
      <c r="D36" s="44">
        <v>52.22272284</v>
      </c>
      <c r="E36" s="45">
        <v>51.8198562</v>
      </c>
      <c r="F36" s="44">
        <v>54.321216390000004</v>
      </c>
      <c r="G36" s="44">
        <v>0</v>
      </c>
      <c r="H36" s="44">
        <v>0</v>
      </c>
      <c r="I36" s="44">
        <v>0</v>
      </c>
      <c r="L36" s="54"/>
      <c r="M36" s="54"/>
    </row>
    <row r="37" spans="1:13" ht="15">
      <c r="A37" s="43" t="str">
        <f>HLOOKUP(INDICE!$F$2,Nombres!$C$3:$D$636,57,FALSE)</f>
        <v>Otros activos</v>
      </c>
      <c r="B37" s="58">
        <f>+B38-B36-B33-B32-B31-B35</f>
        <v>1061.4247578000122</v>
      </c>
      <c r="C37" s="58">
        <f aca="true" t="shared" si="5" ref="C37:I37">+C38-C36-C33-C32-C31-C35</f>
        <v>2000.7447091799622</v>
      </c>
      <c r="D37" s="58">
        <f t="shared" si="5"/>
        <v>1916.458863309992</v>
      </c>
      <c r="E37" s="64">
        <f t="shared" si="5"/>
        <v>862.0035505499927</v>
      </c>
      <c r="F37" s="58">
        <f t="shared" si="5"/>
        <v>1918.8750588799667</v>
      </c>
      <c r="G37" s="58">
        <f t="shared" si="5"/>
        <v>0</v>
      </c>
      <c r="H37" s="58">
        <f t="shared" si="5"/>
        <v>0</v>
      </c>
      <c r="I37" s="58">
        <f t="shared" si="5"/>
        <v>0</v>
      </c>
      <c r="L37" s="54"/>
      <c r="M37" s="54"/>
    </row>
    <row r="38" spans="1:13" ht="15">
      <c r="A38" s="47" t="str">
        <f>HLOOKUP(INDICE!$F$2,Nombres!$C$3:$D$636,58,FALSE)</f>
        <v>Total activo / pasivo</v>
      </c>
      <c r="B38" s="47">
        <v>209923.07699875</v>
      </c>
      <c r="C38" s="47">
        <v>221938.97906398</v>
      </c>
      <c r="D38" s="47">
        <v>225557.4237053</v>
      </c>
      <c r="E38" s="70">
        <v>213836.30178977</v>
      </c>
      <c r="F38" s="51">
        <v>227959.99073064997</v>
      </c>
      <c r="G38" s="51">
        <v>0</v>
      </c>
      <c r="H38" s="51">
        <v>0</v>
      </c>
      <c r="I38" s="51">
        <v>0</v>
      </c>
      <c r="L38" s="54"/>
      <c r="M38" s="54"/>
    </row>
    <row r="39" spans="1:13" ht="15">
      <c r="A39" s="43" t="str">
        <f>HLOOKUP(INDICE!$F$2,Nombres!$C$3:$D$636,59,FALSE)</f>
        <v>Pasivos financieros mantenidos para negociar y designados a valor razonable con cambios en resultados</v>
      </c>
      <c r="B39" s="58">
        <v>92173.41449375001</v>
      </c>
      <c r="C39" s="58">
        <v>104489.15465049002</v>
      </c>
      <c r="D39" s="58">
        <v>104536.04972563002</v>
      </c>
      <c r="E39" s="64">
        <v>98790.4568289</v>
      </c>
      <c r="F39" s="44">
        <v>105432.10004579001</v>
      </c>
      <c r="G39" s="44">
        <v>0</v>
      </c>
      <c r="H39" s="44">
        <v>0</v>
      </c>
      <c r="I39" s="44">
        <v>0</v>
      </c>
      <c r="L39" s="54"/>
      <c r="M39" s="54"/>
    </row>
    <row r="40" spans="1:13" ht="15">
      <c r="A40" s="43" t="str">
        <f>HLOOKUP(INDICE!$F$2,Nombres!$C$3:$D$636,60,FALSE)</f>
        <v>Depósitos de bancos centrales y entidades de crédito</v>
      </c>
      <c r="B40" s="58">
        <v>16254.94732625</v>
      </c>
      <c r="C40" s="58">
        <v>21020.248880389998</v>
      </c>
      <c r="D40" s="58">
        <v>22493.47156409</v>
      </c>
      <c r="E40" s="64">
        <v>20986.56820075</v>
      </c>
      <c r="F40" s="44">
        <v>25157.55073206</v>
      </c>
      <c r="G40" s="44">
        <v>0</v>
      </c>
      <c r="H40" s="44">
        <v>0</v>
      </c>
      <c r="I40" s="44">
        <v>0</v>
      </c>
      <c r="L40" s="54"/>
      <c r="M40" s="54"/>
    </row>
    <row r="41" spans="1:13" ht="15.75" customHeight="1">
      <c r="A41" s="43" t="str">
        <f>HLOOKUP(INDICE!$F$2,Nombres!$C$3:$D$636,61,FALSE)</f>
        <v>Depósitos de la clientela</v>
      </c>
      <c r="B41" s="58">
        <v>39177.47035036999</v>
      </c>
      <c r="C41" s="58">
        <v>40542.38192001</v>
      </c>
      <c r="D41" s="58">
        <v>45078.277311000005</v>
      </c>
      <c r="E41" s="64">
        <v>48179.72645381</v>
      </c>
      <c r="F41" s="44">
        <v>53257.92021816</v>
      </c>
      <c r="G41" s="44">
        <v>0</v>
      </c>
      <c r="H41" s="44">
        <v>0</v>
      </c>
      <c r="I41" s="44">
        <v>0</v>
      </c>
      <c r="L41" s="54"/>
      <c r="M41" s="54"/>
    </row>
    <row r="42" spans="1:13" ht="15">
      <c r="A42" s="43" t="str">
        <f>HLOOKUP(INDICE!$F$2,Nombres!$C$3:$D$636,62,FALSE)</f>
        <v>Valores representativos de deuda emitidos</v>
      </c>
      <c r="B42" s="44">
        <v>4278.92715128</v>
      </c>
      <c r="C42" s="44">
        <v>5004.723124300001</v>
      </c>
      <c r="D42" s="44">
        <v>5358.37177386</v>
      </c>
      <c r="E42" s="45">
        <v>5291.61079523</v>
      </c>
      <c r="F42" s="44">
        <v>5831.453145240001</v>
      </c>
      <c r="G42" s="44">
        <v>0</v>
      </c>
      <c r="H42" s="44">
        <v>0</v>
      </c>
      <c r="I42" s="44">
        <v>0</v>
      </c>
      <c r="L42" s="54"/>
      <c r="M42" s="54"/>
    </row>
    <row r="43" spans="1:13" ht="15">
      <c r="A43" s="43" t="str">
        <f>HLOOKUP(INDICE!$F$2,Nombres!$C$3:$D$636,122,FALSE)</f>
        <v>Posiciones inter-áreas pasivo</v>
      </c>
      <c r="B43" s="44">
        <v>45114.954974860375</v>
      </c>
      <c r="C43" s="44">
        <v>35366.83038949719</v>
      </c>
      <c r="D43" s="44">
        <v>31683.326060743166</v>
      </c>
      <c r="E43" s="45">
        <v>25608.59960364637</v>
      </c>
      <c r="F43" s="44">
        <v>21979.46986942435</v>
      </c>
      <c r="G43" s="44">
        <v>0</v>
      </c>
      <c r="H43" s="44">
        <v>0</v>
      </c>
      <c r="I43" s="44">
        <v>0</v>
      </c>
      <c r="L43" s="54"/>
      <c r="M43" s="54"/>
    </row>
    <row r="44" spans="1:13" ht="15">
      <c r="A44" s="43" t="str">
        <f>HLOOKUP(INDICE!$F$2,Nombres!$C$3:$D$636,63,FALSE)</f>
        <v>Otros pasivos</v>
      </c>
      <c r="B44" s="44">
        <f aca="true" t="shared" si="6" ref="B44:I44">+B38-B39-B40-B41-B42-B45-B43</f>
        <v>2617.0919252988388</v>
      </c>
      <c r="C44" s="44">
        <f t="shared" si="6"/>
        <v>4254.766695967977</v>
      </c>
      <c r="D44" s="44">
        <f t="shared" si="6"/>
        <v>4725.552398668413</v>
      </c>
      <c r="E44" s="45">
        <f t="shared" si="6"/>
        <v>4124.28128332362</v>
      </c>
      <c r="F44" s="44">
        <f t="shared" si="6"/>
        <v>5539.100285378416</v>
      </c>
      <c r="G44" s="44">
        <f t="shared" si="6"/>
        <v>0</v>
      </c>
      <c r="H44" s="44">
        <f t="shared" si="6"/>
        <v>0</v>
      </c>
      <c r="I44" s="44">
        <f t="shared" si="6"/>
        <v>0</v>
      </c>
      <c r="L44" s="54"/>
      <c r="M44" s="54"/>
    </row>
    <row r="45" spans="1:13" ht="15">
      <c r="A45" s="43" t="str">
        <f>HLOOKUP(INDICE!$F$2,Nombres!$C$3:$D$636,282,FALSE)</f>
        <v>Dotación de capital regulatorio</v>
      </c>
      <c r="B45" s="44">
        <v>10306.270776940797</v>
      </c>
      <c r="C45" s="44">
        <v>11260.8734033248</v>
      </c>
      <c r="D45" s="44">
        <v>11682.374871308399</v>
      </c>
      <c r="E45" s="45">
        <v>10855.058624109999</v>
      </c>
      <c r="F45" s="44">
        <v>10762.3964345972</v>
      </c>
      <c r="G45" s="44">
        <v>0</v>
      </c>
      <c r="H45" s="44">
        <v>0</v>
      </c>
      <c r="I45" s="44">
        <v>0</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44651</v>
      </c>
      <c r="C50" s="53">
        <f t="shared" si="7"/>
        <v>44742</v>
      </c>
      <c r="D50" s="53">
        <f t="shared" si="7"/>
        <v>44834</v>
      </c>
      <c r="E50" s="67">
        <f t="shared" si="7"/>
        <v>44926</v>
      </c>
      <c r="F50" s="75">
        <f t="shared" si="7"/>
        <v>45016</v>
      </c>
      <c r="G50" s="75">
        <f t="shared" si="7"/>
        <v>45107</v>
      </c>
      <c r="H50" s="75">
        <f t="shared" si="7"/>
        <v>45199</v>
      </c>
      <c r="I50" s="75">
        <f t="shared" si="7"/>
        <v>45291</v>
      </c>
    </row>
    <row r="51" spans="1:9" ht="15" customHeight="1">
      <c r="A51" s="43" t="str">
        <f>HLOOKUP(INDICE!$F$2,Nombres!$C$3:$D$636,66,FALSE)</f>
        <v>Préstamos y anticipos a la clientela bruto (*)</v>
      </c>
      <c r="B51" s="44">
        <v>70929.88365952</v>
      </c>
      <c r="C51" s="44">
        <v>73777.1976775</v>
      </c>
      <c r="D51" s="44">
        <v>79606.05511275001</v>
      </c>
      <c r="E51" s="45">
        <v>77942.33784392002</v>
      </c>
      <c r="F51" s="44">
        <v>77601.90779597</v>
      </c>
      <c r="G51" s="44">
        <v>0</v>
      </c>
      <c r="H51" s="44">
        <v>0</v>
      </c>
      <c r="I51" s="44">
        <v>0</v>
      </c>
    </row>
    <row r="52" spans="1:9" ht="15">
      <c r="A52" s="43" t="str">
        <f>HLOOKUP(INDICE!$F$2,Nombres!$C$3:$D$636,67,FALSE)</f>
        <v>Depósitos de clientes en gestión (**)</v>
      </c>
      <c r="B52" s="44">
        <v>38615.852138350005</v>
      </c>
      <c r="C52" s="44">
        <v>39976.654460180005</v>
      </c>
      <c r="D52" s="44">
        <v>44417.12598849999</v>
      </c>
      <c r="E52" s="45">
        <v>47270.100984740006</v>
      </c>
      <c r="F52" s="44">
        <v>48068.8924121</v>
      </c>
      <c r="G52" s="44">
        <v>0</v>
      </c>
      <c r="H52" s="44">
        <v>0</v>
      </c>
      <c r="I52" s="44">
        <v>0</v>
      </c>
    </row>
    <row r="53" spans="1:9" ht="15">
      <c r="A53" s="43" t="str">
        <f>HLOOKUP(INDICE!$F$2,Nombres!$C$3:$D$636,68,FALSE)</f>
        <v>Fondos de inversión y carteras gestionadas</v>
      </c>
      <c r="B53" s="44">
        <v>1364.1225290099999</v>
      </c>
      <c r="C53" s="44">
        <v>1268.3651473</v>
      </c>
      <c r="D53" s="44">
        <v>1482.83569009</v>
      </c>
      <c r="E53" s="45">
        <v>1591.3759187399999</v>
      </c>
      <c r="F53" s="44">
        <v>2617.7691830500003</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135.55139111</v>
      </c>
      <c r="C55" s="44">
        <v>355.16733027</v>
      </c>
      <c r="D55" s="44">
        <v>308.93988207</v>
      </c>
      <c r="E55" s="45">
        <v>158.91382959</v>
      </c>
      <c r="F55" s="44">
        <v>390.86549346</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456.22252658743577</v>
      </c>
      <c r="C64" s="41">
        <v>457.64296925004817</v>
      </c>
      <c r="D64" s="41">
        <v>498.0758351948869</v>
      </c>
      <c r="E64" s="42">
        <v>524.451475106007</v>
      </c>
      <c r="F64" s="50">
        <v>516.2199621699999</v>
      </c>
      <c r="G64" s="50">
        <v>0</v>
      </c>
      <c r="H64" s="50">
        <v>0</v>
      </c>
      <c r="I64" s="50">
        <v>0</v>
      </c>
    </row>
    <row r="65" spans="1:9" ht="15">
      <c r="A65" s="43" t="str">
        <f>HLOOKUP(INDICE!$F$2,Nombres!$C$3:$D$636,34,FALSE)</f>
        <v>Comisiones netas</v>
      </c>
      <c r="B65" s="44">
        <v>196.71398112245816</v>
      </c>
      <c r="C65" s="44">
        <v>229.29062845943633</v>
      </c>
      <c r="D65" s="44">
        <v>233.72792240163687</v>
      </c>
      <c r="E65" s="45">
        <v>251.04164179664397</v>
      </c>
      <c r="F65" s="44">
        <v>276.13034073</v>
      </c>
      <c r="G65" s="44">
        <v>0</v>
      </c>
      <c r="H65" s="44">
        <v>0</v>
      </c>
      <c r="I65" s="44">
        <v>0</v>
      </c>
    </row>
    <row r="66" spans="1:9" ht="15">
      <c r="A66" s="43" t="str">
        <f>HLOOKUP(INDICE!$F$2,Nombres!$C$3:$D$636,35,FALSE)</f>
        <v>Resultados de operaciones financieras</v>
      </c>
      <c r="B66" s="44">
        <v>320.5338515109693</v>
      </c>
      <c r="C66" s="44">
        <v>269.0626183480599</v>
      </c>
      <c r="D66" s="44">
        <v>255.00448751590625</v>
      </c>
      <c r="E66" s="45">
        <v>252.45734232214622</v>
      </c>
      <c r="F66" s="44">
        <v>430.89754324</v>
      </c>
      <c r="G66" s="44">
        <v>0</v>
      </c>
      <c r="H66" s="44">
        <v>0</v>
      </c>
      <c r="I66" s="44">
        <v>0</v>
      </c>
    </row>
    <row r="67" spans="1:9" ht="15">
      <c r="A67" s="43" t="str">
        <f>HLOOKUP(INDICE!$F$2,Nombres!$C$3:$D$636,36,FALSE)</f>
        <v>Otros ingresos y cargas de explotación</v>
      </c>
      <c r="B67" s="44">
        <v>-8.07402465438739</v>
      </c>
      <c r="C67" s="44">
        <v>-7.883569109634983</v>
      </c>
      <c r="D67" s="44">
        <v>-13.736778745300166</v>
      </c>
      <c r="E67" s="45">
        <v>-13.46962903529679</v>
      </c>
      <c r="F67" s="44">
        <v>-27.922213480000003</v>
      </c>
      <c r="G67" s="44">
        <v>0</v>
      </c>
      <c r="H67" s="44">
        <v>0</v>
      </c>
      <c r="I67" s="44">
        <v>0</v>
      </c>
    </row>
    <row r="68" spans="1:9" ht="15">
      <c r="A68" s="41" t="str">
        <f>HLOOKUP(INDICE!$F$2,Nombres!$C$3:$D$636,37,FALSE)</f>
        <v>Margen bruto</v>
      </c>
      <c r="B68" s="41">
        <f>+SUM(B64:B67)</f>
        <v>965.3963345664758</v>
      </c>
      <c r="C68" s="41">
        <f aca="true" t="shared" si="9" ref="C68:I68">+SUM(C64:C67)</f>
        <v>948.1126469479094</v>
      </c>
      <c r="D68" s="41">
        <f t="shared" si="9"/>
        <v>973.0714663671299</v>
      </c>
      <c r="E68" s="42">
        <f t="shared" si="9"/>
        <v>1014.4808301895005</v>
      </c>
      <c r="F68" s="50">
        <f t="shared" si="9"/>
        <v>1195.3256326599999</v>
      </c>
      <c r="G68" s="50">
        <f t="shared" si="9"/>
        <v>0</v>
      </c>
      <c r="H68" s="50">
        <f t="shared" si="9"/>
        <v>0</v>
      </c>
      <c r="I68" s="50">
        <f t="shared" si="9"/>
        <v>0</v>
      </c>
    </row>
    <row r="69" spans="1:9" ht="15">
      <c r="A69" s="43" t="str">
        <f>HLOOKUP(INDICE!$F$2,Nombres!$C$3:$D$636,38,FALSE)</f>
        <v>Gastos de explotación</v>
      </c>
      <c r="B69" s="44">
        <v>-255.83810585195246</v>
      </c>
      <c r="C69" s="44">
        <v>-258.4364762115855</v>
      </c>
      <c r="D69" s="44">
        <v>-285.6262987104593</v>
      </c>
      <c r="E69" s="45">
        <v>-319.1690752459557</v>
      </c>
      <c r="F69" s="44">
        <v>-304.38242811</v>
      </c>
      <c r="G69" s="44">
        <v>0</v>
      </c>
      <c r="H69" s="44">
        <v>0</v>
      </c>
      <c r="I69" s="44">
        <v>0</v>
      </c>
    </row>
    <row r="70" spans="1:9" ht="15">
      <c r="A70" s="43" t="str">
        <f>HLOOKUP(INDICE!$F$2,Nombres!$C$3:$D$636,39,FALSE)</f>
        <v>  Gastos de administración</v>
      </c>
      <c r="B70" s="44">
        <v>-229.82815065995516</v>
      </c>
      <c r="C70" s="44">
        <v>-231.61276527106293</v>
      </c>
      <c r="D70" s="44">
        <v>-258.4891008984205</v>
      </c>
      <c r="E70" s="45">
        <v>-293.4274176394384</v>
      </c>
      <c r="F70" s="44">
        <v>-278.85128488</v>
      </c>
      <c r="G70" s="44">
        <v>0</v>
      </c>
      <c r="H70" s="44">
        <v>0</v>
      </c>
      <c r="I70" s="44">
        <v>0</v>
      </c>
    </row>
    <row r="71" spans="1:9" ht="15">
      <c r="A71" s="46" t="str">
        <f>HLOOKUP(INDICE!$F$2,Nombres!$C$3:$D$636,40,FALSE)</f>
        <v>  Gastos de personal</v>
      </c>
      <c r="B71" s="44">
        <v>-119.99682312413819</v>
      </c>
      <c r="C71" s="44">
        <v>-115.91046682943468</v>
      </c>
      <c r="D71" s="44">
        <v>-135.19168244915022</v>
      </c>
      <c r="E71" s="45">
        <v>-166.5045440319885</v>
      </c>
      <c r="F71" s="44">
        <v>-143.16699493</v>
      </c>
      <c r="G71" s="44">
        <v>0</v>
      </c>
      <c r="H71" s="44">
        <v>0</v>
      </c>
      <c r="I71" s="44">
        <v>0</v>
      </c>
    </row>
    <row r="72" spans="1:9" ht="15">
      <c r="A72" s="46" t="str">
        <f>HLOOKUP(INDICE!$F$2,Nombres!$C$3:$D$636,41,FALSE)</f>
        <v>  Otros gastos de administración</v>
      </c>
      <c r="B72" s="44">
        <v>-109.83132753581698</v>
      </c>
      <c r="C72" s="44">
        <v>-115.70229844162822</v>
      </c>
      <c r="D72" s="44">
        <v>-123.29741844927024</v>
      </c>
      <c r="E72" s="45">
        <v>-126.92287360744989</v>
      </c>
      <c r="F72" s="44">
        <v>-135.68428995000002</v>
      </c>
      <c r="G72" s="44">
        <v>0</v>
      </c>
      <c r="H72" s="44">
        <v>0</v>
      </c>
      <c r="I72" s="44">
        <v>0</v>
      </c>
    </row>
    <row r="73" spans="1:9" ht="15">
      <c r="A73" s="43" t="str">
        <f>HLOOKUP(INDICE!$F$2,Nombres!$C$3:$D$636,42,FALSE)</f>
        <v>  Amortización</v>
      </c>
      <c r="B73" s="44">
        <v>-26.009955191997292</v>
      </c>
      <c r="C73" s="44">
        <v>-26.823710940522613</v>
      </c>
      <c r="D73" s="44">
        <v>-27.137197812038874</v>
      </c>
      <c r="E73" s="45">
        <v>-25.741657606517315</v>
      </c>
      <c r="F73" s="44">
        <v>-25.531143229999998</v>
      </c>
      <c r="G73" s="44">
        <v>0</v>
      </c>
      <c r="H73" s="44">
        <v>0</v>
      </c>
      <c r="I73" s="44">
        <v>0</v>
      </c>
    </row>
    <row r="74" spans="1:9" ht="15">
      <c r="A74" s="41" t="str">
        <f>HLOOKUP(INDICE!$F$2,Nombres!$C$3:$D$636,43,FALSE)</f>
        <v>Margen neto</v>
      </c>
      <c r="B74" s="41">
        <f>+B68+B69</f>
        <v>709.5582287145234</v>
      </c>
      <c r="C74" s="41">
        <f aca="true" t="shared" si="10" ref="C74:I74">+C68+C69</f>
        <v>689.6761707363239</v>
      </c>
      <c r="D74" s="41">
        <f t="shared" si="10"/>
        <v>687.4451676566706</v>
      </c>
      <c r="E74" s="42">
        <f t="shared" si="10"/>
        <v>695.3117549435448</v>
      </c>
      <c r="F74" s="50">
        <f t="shared" si="10"/>
        <v>890.9432045499999</v>
      </c>
      <c r="G74" s="50">
        <f t="shared" si="10"/>
        <v>0</v>
      </c>
      <c r="H74" s="50">
        <f t="shared" si="10"/>
        <v>0</v>
      </c>
      <c r="I74" s="50">
        <f t="shared" si="10"/>
        <v>0</v>
      </c>
    </row>
    <row r="75" spans="1:9" ht="15">
      <c r="A75" s="43" t="str">
        <f>HLOOKUP(INDICE!$F$2,Nombres!$C$3:$D$636,44,FALSE)</f>
        <v>Deterioro de activos financieros no valorados a valor razonable con cambios en resultados</v>
      </c>
      <c r="B75" s="44">
        <v>-21.93313410766712</v>
      </c>
      <c r="C75" s="44">
        <v>19.008951134653167</v>
      </c>
      <c r="D75" s="44">
        <v>-52.02839690702908</v>
      </c>
      <c r="E75" s="45">
        <v>-43.66147669496364</v>
      </c>
      <c r="F75" s="44">
        <v>-43.74577735000001</v>
      </c>
      <c r="G75" s="44">
        <v>0</v>
      </c>
      <c r="H75" s="44">
        <v>0</v>
      </c>
      <c r="I75" s="44">
        <v>0</v>
      </c>
    </row>
    <row r="76" spans="1:9" ht="15">
      <c r="A76" s="43" t="str">
        <f>HLOOKUP(INDICE!$F$2,Nombres!$C$3:$D$636,45,FALSE)</f>
        <v>Provisiones o reversión de provisiones y otros resultados</v>
      </c>
      <c r="B76" s="44">
        <v>18.658476340033673</v>
      </c>
      <c r="C76" s="44">
        <v>-10.456872241692022</v>
      </c>
      <c r="D76" s="44">
        <v>-0.9944775919876851</v>
      </c>
      <c r="E76" s="45">
        <v>-19.319767903040002</v>
      </c>
      <c r="F76" s="44">
        <v>14.97313925</v>
      </c>
      <c r="G76" s="44">
        <v>0</v>
      </c>
      <c r="H76" s="44">
        <v>0</v>
      </c>
      <c r="I76" s="44">
        <v>0</v>
      </c>
    </row>
    <row r="77" spans="1:9" ht="15">
      <c r="A77" s="41" t="str">
        <f>HLOOKUP(INDICE!$F$2,Nombres!$C$3:$D$636,46,FALSE)</f>
        <v>Resultado antes de impuestos</v>
      </c>
      <c r="B77" s="41">
        <f>+B74+B75+B76</f>
        <v>706.2835709468899</v>
      </c>
      <c r="C77" s="41">
        <f aca="true" t="shared" si="11" ref="C77:I77">+C74+C75+C76</f>
        <v>698.2282496292851</v>
      </c>
      <c r="D77" s="41">
        <f t="shared" si="11"/>
        <v>634.4222931576538</v>
      </c>
      <c r="E77" s="42">
        <f t="shared" si="11"/>
        <v>632.3305103455411</v>
      </c>
      <c r="F77" s="50">
        <f t="shared" si="11"/>
        <v>862.1705664499999</v>
      </c>
      <c r="G77" s="50">
        <f t="shared" si="11"/>
        <v>0</v>
      </c>
      <c r="H77" s="50">
        <f t="shared" si="11"/>
        <v>0</v>
      </c>
      <c r="I77" s="50">
        <f t="shared" si="11"/>
        <v>0</v>
      </c>
    </row>
    <row r="78" spans="1:9" ht="15">
      <c r="A78" s="43" t="str">
        <f>HLOOKUP(INDICE!$F$2,Nombres!$C$3:$D$636,47,FALSE)</f>
        <v>Impuesto sobre beneficios</v>
      </c>
      <c r="B78" s="44">
        <v>-199.52293181586435</v>
      </c>
      <c r="C78" s="44">
        <v>-195.83197586564194</v>
      </c>
      <c r="D78" s="44">
        <v>-183.59965214736252</v>
      </c>
      <c r="E78" s="45">
        <v>-173.49769336865276</v>
      </c>
      <c r="F78" s="44">
        <v>-239.42358255000005</v>
      </c>
      <c r="G78" s="44">
        <v>0</v>
      </c>
      <c r="H78" s="44">
        <v>0</v>
      </c>
      <c r="I78" s="44">
        <v>0</v>
      </c>
    </row>
    <row r="79" spans="1:9" ht="15">
      <c r="A79" s="41" t="str">
        <f>HLOOKUP(INDICE!$F$2,Nombres!$C$3:$D$636,48,FALSE)</f>
        <v>Resultado del ejercicio</v>
      </c>
      <c r="B79" s="41">
        <f>+B77+B78</f>
        <v>506.7606391310255</v>
      </c>
      <c r="C79" s="41">
        <f aca="true" t="shared" si="12" ref="C79:I79">+C77+C78</f>
        <v>502.39627376364314</v>
      </c>
      <c r="D79" s="41">
        <f t="shared" si="12"/>
        <v>450.8226410102913</v>
      </c>
      <c r="E79" s="42">
        <f t="shared" si="12"/>
        <v>458.83281697688835</v>
      </c>
      <c r="F79" s="50">
        <f t="shared" si="12"/>
        <v>622.7469838999998</v>
      </c>
      <c r="G79" s="50">
        <f t="shared" si="12"/>
        <v>0</v>
      </c>
      <c r="H79" s="50">
        <f t="shared" si="12"/>
        <v>0</v>
      </c>
      <c r="I79" s="50">
        <f t="shared" si="12"/>
        <v>0</v>
      </c>
    </row>
    <row r="80" spans="1:9" ht="15">
      <c r="A80" s="43" t="str">
        <f>HLOOKUP(INDICE!$F$2,Nombres!$C$3:$D$636,49,FALSE)</f>
        <v>Minoritarios</v>
      </c>
      <c r="B80" s="44">
        <v>-77.73416682746614</v>
      </c>
      <c r="C80" s="44">
        <v>-67.27259364276502</v>
      </c>
      <c r="D80" s="44">
        <v>-33.54767345746798</v>
      </c>
      <c r="E80" s="45">
        <v>-50.12453823583054</v>
      </c>
      <c r="F80" s="44">
        <v>-73.15521224000001</v>
      </c>
      <c r="G80" s="44">
        <v>0</v>
      </c>
      <c r="H80" s="44">
        <v>0</v>
      </c>
      <c r="I80" s="44">
        <v>0</v>
      </c>
    </row>
    <row r="81" spans="1:9" ht="15">
      <c r="A81" s="47" t="str">
        <f>HLOOKUP(INDICE!$F$2,Nombres!$C$3:$D$636,50,FALSE)</f>
        <v>Resultado atribuido</v>
      </c>
      <c r="B81" s="47">
        <f>+B79+B80</f>
        <v>429.0264723035594</v>
      </c>
      <c r="C81" s="47">
        <f aca="true" t="shared" si="13" ref="C81:I81">+C79+C80</f>
        <v>435.12368012087813</v>
      </c>
      <c r="D81" s="47">
        <f t="shared" si="13"/>
        <v>417.27496755282334</v>
      </c>
      <c r="E81" s="47">
        <f t="shared" si="13"/>
        <v>408.7082787410578</v>
      </c>
      <c r="F81" s="51">
        <f t="shared" si="13"/>
        <v>549.5917716599998</v>
      </c>
      <c r="G81" s="51">
        <f t="shared" si="13"/>
        <v>0</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6522.786902650897</v>
      </c>
      <c r="C87" s="44">
        <v>7689.008453580639</v>
      </c>
      <c r="D87" s="44">
        <v>6393.385202689733</v>
      </c>
      <c r="E87" s="45">
        <v>5469.689916714083</v>
      </c>
      <c r="F87" s="44">
        <v>4820.0400665900015</v>
      </c>
      <c r="G87" s="44">
        <v>0</v>
      </c>
      <c r="H87" s="44">
        <v>0</v>
      </c>
      <c r="I87" s="44">
        <v>0</v>
      </c>
    </row>
    <row r="88" spans="1:9" ht="15">
      <c r="A88" s="43" t="str">
        <f>HLOOKUP(INDICE!$F$2,Nombres!$C$3:$D$636,53,FALSE)</f>
        <v>Activos financieros a valor razonable</v>
      </c>
      <c r="B88" s="58">
        <v>123150.03017794146</v>
      </c>
      <c r="C88" s="58">
        <v>127443.6069018635</v>
      </c>
      <c r="D88" s="58">
        <v>123739.11161355904</v>
      </c>
      <c r="E88" s="64">
        <v>118616.9244502888</v>
      </c>
      <c r="F88" s="44">
        <v>130791.77267574001</v>
      </c>
      <c r="G88" s="44">
        <v>0</v>
      </c>
      <c r="H88" s="44">
        <v>0</v>
      </c>
      <c r="I88" s="44">
        <v>0</v>
      </c>
    </row>
    <row r="89" spans="1:9" ht="15">
      <c r="A89" s="43" t="str">
        <f>HLOOKUP(INDICE!$F$2,Nombres!$C$3:$D$636,54,FALSE)</f>
        <v>Activos financieros a coste amortizado</v>
      </c>
      <c r="B89" s="44">
        <v>79755.269983515</v>
      </c>
      <c r="C89" s="44">
        <v>82843.42285382363</v>
      </c>
      <c r="D89" s="44">
        <v>89093.67394359244</v>
      </c>
      <c r="E89" s="45">
        <v>89781.32047623456</v>
      </c>
      <c r="F89" s="44">
        <v>90374.98171305</v>
      </c>
      <c r="G89" s="44">
        <v>0</v>
      </c>
      <c r="H89" s="44">
        <v>0</v>
      </c>
      <c r="I89" s="44">
        <v>0</v>
      </c>
    </row>
    <row r="90" spans="1:9" ht="15">
      <c r="A90" s="43" t="str">
        <f>HLOOKUP(INDICE!$F$2,Nombres!$C$3:$D$636,55,FALSE)</f>
        <v>    de los que préstamos y anticipos a la clientela</v>
      </c>
      <c r="B90" s="44">
        <v>69686.54763700512</v>
      </c>
      <c r="C90" s="44">
        <v>71565.01807327139</v>
      </c>
      <c r="D90" s="44">
        <v>76193.5035098579</v>
      </c>
      <c r="E90" s="45">
        <v>77451.56413740818</v>
      </c>
      <c r="F90" s="44">
        <v>76858.58369323998</v>
      </c>
      <c r="G90" s="44">
        <v>0</v>
      </c>
      <c r="H90" s="44">
        <v>0</v>
      </c>
      <c r="I90" s="44">
        <v>0</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54.04081259929995</v>
      </c>
      <c r="C92" s="44">
        <v>50.957320657694595</v>
      </c>
      <c r="D92" s="44">
        <v>51.00811784414337</v>
      </c>
      <c r="E92" s="45">
        <v>52.25784653306134</v>
      </c>
      <c r="F92" s="44">
        <v>54.321216390000004</v>
      </c>
      <c r="G92" s="44">
        <v>0</v>
      </c>
      <c r="H92" s="44">
        <v>0</v>
      </c>
      <c r="I92" s="44">
        <v>0</v>
      </c>
    </row>
    <row r="93" spans="1:9" ht="15">
      <c r="A93" s="43" t="str">
        <f>HLOOKUP(INDICE!$F$2,Nombres!$C$3:$D$636,57,FALSE)</f>
        <v>Otros activos</v>
      </c>
      <c r="B93" s="58">
        <f>+B94-B92-B89-B88-B87-B91</f>
        <v>891.5903952554245</v>
      </c>
      <c r="C93" s="58">
        <f aca="true" t="shared" si="15" ref="C93:I93">+C94-C92-C89-C88-C87-C91</f>
        <v>1800.3261829038665</v>
      </c>
      <c r="D93" s="58">
        <f t="shared" si="15"/>
        <v>1731.3154528080813</v>
      </c>
      <c r="E93" s="64">
        <f t="shared" si="15"/>
        <v>744.4485715739838</v>
      </c>
      <c r="F93" s="58">
        <f t="shared" si="15"/>
        <v>1918.8750588799667</v>
      </c>
      <c r="G93" s="58">
        <f t="shared" si="15"/>
        <v>0</v>
      </c>
      <c r="H93" s="58">
        <f t="shared" si="15"/>
        <v>0</v>
      </c>
      <c r="I93" s="58">
        <f t="shared" si="15"/>
        <v>0</v>
      </c>
    </row>
    <row r="94" spans="1:9" ht="15">
      <c r="A94" s="47" t="str">
        <f>HLOOKUP(INDICE!$F$2,Nombres!$C$3:$D$636,58,FALSE)</f>
        <v>Total activo / pasivo</v>
      </c>
      <c r="B94" s="47">
        <v>210373.71827196208</v>
      </c>
      <c r="C94" s="47">
        <v>219827.32171282935</v>
      </c>
      <c r="D94" s="47">
        <v>221008.49433049344</v>
      </c>
      <c r="E94" s="70">
        <v>214664.64126134448</v>
      </c>
      <c r="F94" s="51">
        <v>227959.99073064997</v>
      </c>
      <c r="G94" s="51">
        <v>0</v>
      </c>
      <c r="H94" s="51">
        <v>0</v>
      </c>
      <c r="I94" s="51">
        <v>0</v>
      </c>
    </row>
    <row r="95" spans="1:9" ht="15">
      <c r="A95" s="43" t="str">
        <f>HLOOKUP(INDICE!$F$2,Nombres!$C$3:$D$636,59,FALSE)</f>
        <v>Pasivos financieros mantenidos para negociar y designados a valor razonable con cambios en resultados</v>
      </c>
      <c r="B95" s="58">
        <v>93254.80337171482</v>
      </c>
      <c r="C95" s="58">
        <v>104872.31550154749</v>
      </c>
      <c r="D95" s="58">
        <v>104126.01477629239</v>
      </c>
      <c r="E95" s="64">
        <v>99265.5322829169</v>
      </c>
      <c r="F95" s="44">
        <v>105432.10004579001</v>
      </c>
      <c r="G95" s="44">
        <v>0</v>
      </c>
      <c r="H95" s="44">
        <v>0</v>
      </c>
      <c r="I95" s="44">
        <v>0</v>
      </c>
    </row>
    <row r="96" spans="1:9" ht="15">
      <c r="A96" s="43" t="str">
        <f>HLOOKUP(INDICE!$F$2,Nombres!$C$3:$D$636,60,FALSE)</f>
        <v>Depósitos de bancos centrales y entidades de crédito</v>
      </c>
      <c r="B96" s="58">
        <v>16301.543043583875</v>
      </c>
      <c r="C96" s="58">
        <v>20989.07423415538</v>
      </c>
      <c r="D96" s="58">
        <v>22328.368001548497</v>
      </c>
      <c r="E96" s="64">
        <v>21026.165086199613</v>
      </c>
      <c r="F96" s="44">
        <v>25157.55073206</v>
      </c>
      <c r="G96" s="44">
        <v>0</v>
      </c>
      <c r="H96" s="44">
        <v>0</v>
      </c>
      <c r="I96" s="44">
        <v>0</v>
      </c>
    </row>
    <row r="97" spans="1:9" ht="15">
      <c r="A97" s="43" t="str">
        <f>HLOOKUP(INDICE!$F$2,Nombres!$C$3:$D$636,61,FALSE)</f>
        <v>Depósitos de la clientela</v>
      </c>
      <c r="B97" s="58">
        <v>38783.22418576205</v>
      </c>
      <c r="C97" s="58">
        <v>39389.82085627624</v>
      </c>
      <c r="D97" s="58">
        <v>43130.69632822034</v>
      </c>
      <c r="E97" s="64">
        <v>48422.67587132679</v>
      </c>
      <c r="F97" s="44">
        <v>53257.92021816</v>
      </c>
      <c r="G97" s="44">
        <v>0</v>
      </c>
      <c r="H97" s="44">
        <v>0</v>
      </c>
      <c r="I97" s="44">
        <v>0</v>
      </c>
    </row>
    <row r="98" spans="1:9" ht="15">
      <c r="A98" s="43" t="str">
        <f>HLOOKUP(INDICE!$F$2,Nombres!$C$3:$D$636,62,FALSE)</f>
        <v>Valores representativos de deuda emitidos</v>
      </c>
      <c r="B98" s="44">
        <v>4371.257132091362</v>
      </c>
      <c r="C98" s="44">
        <v>5062.589653799942</v>
      </c>
      <c r="D98" s="44">
        <v>5347.810933760723</v>
      </c>
      <c r="E98" s="45">
        <v>5324.56013992191</v>
      </c>
      <c r="F98" s="44">
        <v>5831.453145240001</v>
      </c>
      <c r="G98" s="44">
        <v>0</v>
      </c>
      <c r="H98" s="44">
        <v>0</v>
      </c>
      <c r="I98" s="44">
        <v>0</v>
      </c>
    </row>
    <row r="99" spans="1:9" ht="15">
      <c r="A99" s="43" t="str">
        <f>HLOOKUP(INDICE!$F$2,Nombres!$C$3:$D$636,122,FALSE)</f>
        <v>Posiciones inter-áreas pasivo</v>
      </c>
      <c r="B99" s="44">
        <v>44933.38887300176</v>
      </c>
      <c r="C99" s="44">
        <v>34437.6110598407</v>
      </c>
      <c r="D99" s="44">
        <v>30382.77757635721</v>
      </c>
      <c r="E99" s="45">
        <v>25681.82113247645</v>
      </c>
      <c r="F99" s="44">
        <v>21979.46986942435</v>
      </c>
      <c r="G99" s="44">
        <v>0</v>
      </c>
      <c r="H99" s="44">
        <v>0</v>
      </c>
      <c r="I99" s="44">
        <v>0</v>
      </c>
    </row>
    <row r="100" spans="1:9" ht="15">
      <c r="A100" s="43" t="str">
        <f>HLOOKUP(INDICE!$F$2,Nombres!$C$3:$D$636,63,FALSE)</f>
        <v>Otros pasivos</v>
      </c>
      <c r="B100" s="44">
        <f aca="true" t="shared" si="16" ref="B100:I100">+B94-B95-B96-B97-B98-B101-B99</f>
        <v>2477.4623305590576</v>
      </c>
      <c r="C100" s="44">
        <f t="shared" si="16"/>
        <v>4052.430273797494</v>
      </c>
      <c r="D100" s="44">
        <f t="shared" si="16"/>
        <v>4375.943264268197</v>
      </c>
      <c r="E100" s="45">
        <f t="shared" si="16"/>
        <v>4243.303241225545</v>
      </c>
      <c r="F100" s="44">
        <f t="shared" si="16"/>
        <v>5539.100285378416</v>
      </c>
      <c r="G100" s="44">
        <f t="shared" si="16"/>
        <v>0</v>
      </c>
      <c r="H100" s="44">
        <f t="shared" si="16"/>
        <v>0</v>
      </c>
      <c r="I100" s="44">
        <f t="shared" si="16"/>
        <v>0</v>
      </c>
    </row>
    <row r="101" spans="1:9" ht="15">
      <c r="A101" s="43" t="str">
        <f>HLOOKUP(INDICE!$F$2,Nombres!$C$3:$D$636,282,FALSE)</f>
        <v>Dotación de capital regulatorio</v>
      </c>
      <c r="B101" s="44">
        <v>10252.03933524915</v>
      </c>
      <c r="C101" s="44">
        <v>11023.480133412093</v>
      </c>
      <c r="D101" s="44">
        <v>11316.883450046083</v>
      </c>
      <c r="E101" s="45">
        <v>10700.583507277272</v>
      </c>
      <c r="F101" s="44">
        <v>10762.3964345972</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70314.46941046763</v>
      </c>
      <c r="C107" s="44">
        <v>72295.84636205735</v>
      </c>
      <c r="D107" s="44">
        <v>76882.39522556531</v>
      </c>
      <c r="E107" s="45">
        <v>78165.82033004344</v>
      </c>
      <c r="F107" s="44">
        <v>77601.90779597</v>
      </c>
      <c r="G107" s="44">
        <v>0</v>
      </c>
      <c r="H107" s="44">
        <v>0</v>
      </c>
      <c r="I107" s="44">
        <v>0</v>
      </c>
    </row>
    <row r="108" spans="1:9" ht="15">
      <c r="A108" s="43" t="str">
        <f>HLOOKUP(INDICE!$F$2,Nombres!$C$3:$D$636,67,FALSE)</f>
        <v>Depósitos de clientes en gestión (**)</v>
      </c>
      <c r="B108" s="44">
        <v>38228.078616896564</v>
      </c>
      <c r="C108" s="44">
        <v>38823.62240011687</v>
      </c>
      <c r="D108" s="44">
        <v>42470.40150979116</v>
      </c>
      <c r="E108" s="45">
        <v>47512.46317910542</v>
      </c>
      <c r="F108" s="44">
        <v>48068.8924121</v>
      </c>
      <c r="G108" s="44">
        <v>0</v>
      </c>
      <c r="H108" s="44">
        <v>0</v>
      </c>
      <c r="I108" s="44">
        <v>0</v>
      </c>
    </row>
    <row r="109" spans="1:9" ht="15">
      <c r="A109" s="43" t="str">
        <f>HLOOKUP(INDICE!$F$2,Nombres!$C$3:$D$636,68,FALSE)</f>
        <v>Fondos de inversión y carteras gestionadas</v>
      </c>
      <c r="B109" s="44">
        <v>977.9421326648035</v>
      </c>
      <c r="C109" s="44">
        <v>955.2445709003155</v>
      </c>
      <c r="D109" s="44">
        <v>1123.9090707636249</v>
      </c>
      <c r="E109" s="45">
        <v>1466.7721029644556</v>
      </c>
      <c r="F109" s="44">
        <v>2617.7691830500003</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152.4690870832453</v>
      </c>
      <c r="C111" s="44">
        <v>379.1276339432599</v>
      </c>
      <c r="D111" s="44">
        <v>308.9414551491444</v>
      </c>
      <c r="E111" s="45">
        <v>168.75976770498409</v>
      </c>
      <c r="F111" s="44">
        <v>390.86549346</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391</v>
      </c>
    </row>
  </sheetData>
  <sheetProtection/>
  <mergeCells count="5">
    <mergeCell ref="B6:E6"/>
    <mergeCell ref="B62:E62"/>
    <mergeCell ref="F6:I6"/>
    <mergeCell ref="F62:I62"/>
    <mergeCell ref="A2:I2"/>
  </mergeCells>
  <conditionalFormatting sqref="C82:I82">
    <cfRule type="cellIs" priority="3" dxfId="261" operator="notBetween">
      <formula>0.5</formula>
      <formula>-0.5</formula>
    </cfRule>
  </conditionalFormatting>
  <conditionalFormatting sqref="B26:I26">
    <cfRule type="cellIs" priority="2" dxfId="261" operator="notBetween">
      <formula>0.5</formula>
      <formula>-0.5</formula>
    </cfRule>
  </conditionalFormatting>
  <conditionalFormatting sqref="B82:I82">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5" customWidth="1"/>
    <col min="2" max="6" width="10.00390625" style="95" customWidth="1"/>
    <col min="7" max="9" width="10.00390625" style="95" hidden="1" customWidth="1"/>
    <col min="10" max="255" width="12.57421875" style="95" customWidth="1"/>
  </cols>
  <sheetData>
    <row r="1" spans="1:9" ht="18">
      <c r="A1" s="93" t="str">
        <f>HLOOKUP(INDICE!$F$2,Nombres!$C$3:$D$636,82,FALSE)</f>
        <v>Eficiencia (*)</v>
      </c>
      <c r="B1" s="94"/>
      <c r="C1" s="94"/>
      <c r="D1" s="94"/>
      <c r="E1" s="94"/>
      <c r="F1" s="94"/>
      <c r="G1" s="94"/>
      <c r="H1" s="94"/>
      <c r="I1" s="94"/>
    </row>
    <row r="2" spans="1:9" ht="15">
      <c r="A2" s="96" t="str">
        <f>HLOOKUP(INDICE!$F$2,Nombres!$C$3:$D$636,84,FALSE)</f>
        <v>(Porcentaje)</v>
      </c>
      <c r="B2" s="97"/>
      <c r="C2" s="97"/>
      <c r="D2" s="97"/>
      <c r="E2" s="97"/>
      <c r="F2" s="97"/>
      <c r="G2" s="97"/>
      <c r="H2" s="97"/>
      <c r="I2" s="97"/>
    </row>
    <row r="3" spans="1:9" ht="15.75">
      <c r="A3" s="98"/>
      <c r="B3" s="99">
        <f>+España!B32</f>
        <v>44651</v>
      </c>
      <c r="C3" s="99">
        <f>+España!C32</f>
        <v>44742</v>
      </c>
      <c r="D3" s="99">
        <f>+España!D32</f>
        <v>44834</v>
      </c>
      <c r="E3" s="99">
        <f>+España!E32</f>
        <v>44926</v>
      </c>
      <c r="F3" s="99">
        <f>+España!F32</f>
        <v>45016</v>
      </c>
      <c r="G3" s="99">
        <f>+España!G32</f>
        <v>45107</v>
      </c>
      <c r="H3" s="99">
        <f>+España!H32</f>
        <v>45199</v>
      </c>
      <c r="I3" s="99">
        <f>+España!I32</f>
        <v>45291</v>
      </c>
    </row>
    <row r="4" spans="1:9" ht="15">
      <c r="A4" s="97"/>
      <c r="B4" s="100"/>
      <c r="C4" s="100"/>
      <c r="D4" s="100"/>
      <c r="E4" s="101"/>
      <c r="F4" s="100"/>
      <c r="G4" s="100"/>
      <c r="H4" s="97"/>
      <c r="I4" s="97"/>
    </row>
    <row r="5" spans="1:255" ht="15">
      <c r="A5" s="102" t="str">
        <f>HLOOKUP(INDICE!$F$2,Nombres!$C$3:$D$636,276,FALSE)</f>
        <v>Grupo BBVA  (**)</v>
      </c>
      <c r="B5" s="103">
        <v>44.59259388451612</v>
      </c>
      <c r="C5" s="103">
        <v>44.001841508908576</v>
      </c>
      <c r="D5" s="103">
        <v>42.87307214250945</v>
      </c>
      <c r="E5" s="104">
        <v>43.24923969786968</v>
      </c>
      <c r="F5" s="241">
        <v>43.34636941003954</v>
      </c>
      <c r="G5" s="241">
        <v>0</v>
      </c>
      <c r="H5" s="241">
        <v>0</v>
      </c>
      <c r="I5" s="241">
        <v>0</v>
      </c>
      <c r="J5" s="105"/>
      <c r="K5" s="10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7"/>
      <c r="B6" s="106"/>
      <c r="C6" s="106"/>
      <c r="D6" s="106"/>
      <c r="E6" s="107"/>
      <c r="F6" s="106"/>
      <c r="G6" s="106"/>
      <c r="H6" s="106"/>
      <c r="I6" s="106"/>
      <c r="J6" s="108"/>
      <c r="K6" s="108"/>
      <c r="L6" s="108"/>
    </row>
    <row r="7" spans="1:255" ht="15">
      <c r="A7" s="59" t="str">
        <f>HLOOKUP(INDICE!$F$2,Nombres!$C$3:$D$636,7,FALSE)</f>
        <v>España</v>
      </c>
      <c r="B7" s="109">
        <v>42.84039281030648</v>
      </c>
      <c r="C7" s="109">
        <v>46.732030343016795</v>
      </c>
      <c r="D7" s="109">
        <v>46.398640970219155</v>
      </c>
      <c r="E7" s="110">
        <v>47.4718216877395</v>
      </c>
      <c r="F7" s="111">
        <v>43.60589696318787</v>
      </c>
      <c r="G7" s="111">
        <v>0</v>
      </c>
      <c r="H7" s="111">
        <v>0</v>
      </c>
      <c r="I7" s="111">
        <v>0</v>
      </c>
      <c r="J7" s="105"/>
      <c r="K7" s="10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7"/>
      <c r="B8" s="106"/>
      <c r="C8" s="106"/>
      <c r="D8" s="106"/>
      <c r="E8" s="107"/>
      <c r="F8" s="106"/>
      <c r="G8" s="106"/>
      <c r="H8" s="106"/>
      <c r="I8" s="106"/>
      <c r="J8" s="112"/>
      <c r="K8" s="108"/>
      <c r="L8" s="108"/>
    </row>
    <row r="9" spans="1:255" ht="15">
      <c r="A9" s="59" t="str">
        <f>HLOOKUP(INDICE!$F$2,Nombres!$C$3:$D$636,11,FALSE)</f>
        <v>México</v>
      </c>
      <c r="B9" s="109">
        <v>33.351765505321424</v>
      </c>
      <c r="C9" s="109">
        <v>32.267805009091255</v>
      </c>
      <c r="D9" s="109">
        <v>31.88609209794172</v>
      </c>
      <c r="E9" s="110">
        <v>31.650687790582488</v>
      </c>
      <c r="F9" s="111">
        <v>29.887358001877363</v>
      </c>
      <c r="G9" s="111">
        <v>0</v>
      </c>
      <c r="H9" s="111">
        <v>0</v>
      </c>
      <c r="I9" s="111">
        <v>0</v>
      </c>
      <c r="J9" s="112"/>
      <c r="K9" s="108"/>
      <c r="L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7"/>
      <c r="B10" s="106"/>
      <c r="C10" s="106"/>
      <c r="D10" s="106"/>
      <c r="E10" s="107"/>
      <c r="F10" s="106"/>
      <c r="G10" s="106"/>
      <c r="H10" s="106"/>
      <c r="I10" s="106"/>
      <c r="J10" s="112"/>
      <c r="K10" s="108"/>
      <c r="L10" s="108"/>
    </row>
    <row r="11" spans="1:13" ht="15">
      <c r="A11" s="59" t="str">
        <f>HLOOKUP(INDICE!$F$2,Nombres!$C$3:$D$636,12,FALSE)</f>
        <v>Turquía </v>
      </c>
      <c r="B11" s="109">
        <v>47.56928900345278</v>
      </c>
      <c r="C11" s="109">
        <v>37.21537766908219</v>
      </c>
      <c r="D11" s="109">
        <v>33.491743665047736</v>
      </c>
      <c r="E11" s="110">
        <v>33.45406875665871</v>
      </c>
      <c r="F11" s="111">
        <v>49.73030491184325</v>
      </c>
      <c r="G11" s="111">
        <v>0</v>
      </c>
      <c r="H11" s="111">
        <v>0</v>
      </c>
      <c r="I11" s="111">
        <v>0</v>
      </c>
      <c r="J11" s="105"/>
      <c r="K11" s="105"/>
      <c r="L11"/>
      <c r="M11"/>
    </row>
    <row r="12" spans="1:12" ht="15">
      <c r="A12" s="97"/>
      <c r="B12" s="106"/>
      <c r="C12" s="106"/>
      <c r="D12" s="106"/>
      <c r="E12" s="107"/>
      <c r="F12" s="106"/>
      <c r="G12" s="106"/>
      <c r="H12" s="106"/>
      <c r="I12" s="106"/>
      <c r="J12" s="108"/>
      <c r="K12" s="108"/>
      <c r="L12" s="108"/>
    </row>
    <row r="13" spans="1:255" ht="15">
      <c r="A13" s="59" t="str">
        <f>HLOOKUP(INDICE!$F$2,Nombres!$C$3:$D$636,13,FALSE)</f>
        <v>América del Sur </v>
      </c>
      <c r="B13" s="109">
        <v>46.60627601368955</v>
      </c>
      <c r="C13" s="109">
        <v>46.57188905657827</v>
      </c>
      <c r="D13" s="109">
        <v>46.865560964657014</v>
      </c>
      <c r="E13" s="110">
        <v>46.32062689063764</v>
      </c>
      <c r="F13" s="111">
        <v>45.384538107713304</v>
      </c>
      <c r="G13" s="111">
        <v>0</v>
      </c>
      <c r="H13" s="111">
        <v>0</v>
      </c>
      <c r="I13" s="111">
        <v>0</v>
      </c>
      <c r="J13" s="105"/>
      <c r="K13" s="10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7"/>
      <c r="B14" s="106"/>
      <c r="C14" s="106"/>
      <c r="D14" s="106"/>
      <c r="E14" s="107"/>
      <c r="F14" s="106"/>
      <c r="G14" s="106"/>
      <c r="H14" s="106"/>
      <c r="I14" s="106"/>
      <c r="J14" s="108"/>
      <c r="K14" s="108"/>
      <c r="L14" s="108"/>
    </row>
    <row r="15" spans="1:255" ht="15">
      <c r="A15" s="59" t="str">
        <f>HLOOKUP(INDICE!$F$2,Nombres!$C$3:$D$636,263,FALSE)</f>
        <v>Resto de Negocios</v>
      </c>
      <c r="B15" s="109">
        <v>56.77350472560222</v>
      </c>
      <c r="C15" s="109">
        <v>60.87352469325814</v>
      </c>
      <c r="D15" s="109">
        <v>62.8656313590521</v>
      </c>
      <c r="E15" s="110">
        <v>65.034255143379</v>
      </c>
      <c r="F15" s="111">
        <v>53.07053245709896</v>
      </c>
      <c r="G15" s="111">
        <v>0</v>
      </c>
      <c r="H15" s="111">
        <v>0</v>
      </c>
      <c r="I15" s="111">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7"/>
      <c r="B16" s="113"/>
      <c r="C16" s="113"/>
      <c r="D16" s="113"/>
      <c r="E16" s="113"/>
      <c r="F16" s="113"/>
      <c r="G16" s="113"/>
      <c r="H16" s="97"/>
      <c r="I16" s="264"/>
      <c r="J16" s="108"/>
      <c r="K16" s="108"/>
      <c r="L16" s="108"/>
    </row>
    <row r="17" spans="1:12" ht="15">
      <c r="A17" s="114" t="str">
        <f>HLOOKUP(INDICE!$F$2,Nombres!$C$3:$D$636,83,FALSE)</f>
        <v>(*) Gastos de explotación / Margen bruto. Incluye amortizaciones</v>
      </c>
      <c r="B17" s="97"/>
      <c r="C17" s="97"/>
      <c r="D17" s="97"/>
      <c r="E17" s="97"/>
      <c r="F17" s="97"/>
      <c r="G17" s="97"/>
      <c r="H17" s="97"/>
      <c r="I17" s="264"/>
      <c r="J17" s="108"/>
      <c r="K17" s="108"/>
      <c r="L17" s="108"/>
    </row>
    <row r="18" spans="1:12" ht="15">
      <c r="A18" s="115"/>
      <c r="B18" s="115"/>
      <c r="C18" s="115"/>
      <c r="D18" s="115"/>
      <c r="E18" s="115"/>
      <c r="F18" s="115"/>
      <c r="G18" s="115"/>
      <c r="H18" s="115"/>
      <c r="I18" s="265"/>
      <c r="J18" s="108"/>
      <c r="K18" s="108"/>
      <c r="L18" s="108"/>
    </row>
    <row r="19" spans="1:9" ht="15">
      <c r="A19" s="114"/>
      <c r="B19" s="115"/>
      <c r="C19" s="115"/>
      <c r="D19" s="115"/>
      <c r="E19" s="115"/>
      <c r="F19" s="115"/>
      <c r="G19" s="115"/>
      <c r="H19" s="115"/>
      <c r="I19" s="115"/>
    </row>
    <row r="998" ht="15">
      <c r="A998" s="95" t="s">
        <v>391</v>
      </c>
    </row>
  </sheetData>
  <sheetProtection/>
  <conditionalFormatting sqref="C82:I82">
    <cfRule type="cellIs" priority="3" dxfId="261" operator="notBetween">
      <formula>0.5</formula>
      <formula>-0.5</formula>
    </cfRule>
  </conditionalFormatting>
  <conditionalFormatting sqref="B26:I26">
    <cfRule type="cellIs" priority="2" dxfId="261" operator="notBetween">
      <formula>0.5</formula>
      <formula>-0.5</formula>
    </cfRule>
  </conditionalFormatting>
  <conditionalFormatting sqref="B82:I82">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1" customWidth="1"/>
    <col min="2" max="6" width="10.8515625" style="95" customWidth="1" collapsed="1"/>
    <col min="7" max="7" width="10.8515625" style="95" hidden="1" customWidth="1"/>
    <col min="8" max="9" width="10.8515625" style="117" hidden="1" customWidth="1"/>
    <col min="10" max="11" width="9.57421875" style="117" customWidth="1"/>
    <col min="12" max="255" width="12.57421875" style="117" customWidth="1"/>
  </cols>
  <sheetData>
    <row r="1" spans="1:9" ht="19.5">
      <c r="A1" s="93" t="str">
        <f>HLOOKUP(INDICE!$F$2,Nombres!$C$3:$D$636,85,FALSE)</f>
        <v>Tasa de mora</v>
      </c>
      <c r="B1" s="116"/>
      <c r="C1" s="116"/>
      <c r="D1" s="116"/>
      <c r="E1" s="116"/>
      <c r="F1" s="116"/>
      <c r="G1" s="94"/>
      <c r="H1" s="94"/>
      <c r="I1" s="94"/>
    </row>
    <row r="2" spans="1:9" ht="15">
      <c r="A2" s="96" t="str">
        <f>HLOOKUP(INDICE!$F$2,Nombres!$C$3:$D$636,84,FALSE)</f>
        <v>(Porcentaje)</v>
      </c>
      <c r="B2" s="97"/>
      <c r="C2" s="97"/>
      <c r="D2" s="97"/>
      <c r="E2" s="97"/>
      <c r="F2" s="97"/>
      <c r="G2" s="97"/>
      <c r="H2" s="97"/>
      <c r="I2" s="97"/>
    </row>
    <row r="3" spans="1:9" ht="15.75">
      <c r="A3" s="97"/>
      <c r="B3" s="118">
        <f>+España!B$32</f>
        <v>44651</v>
      </c>
      <c r="C3" s="118">
        <f>+España!C$32</f>
        <v>44742</v>
      </c>
      <c r="D3" s="118">
        <f>+España!D$32</f>
        <v>44834</v>
      </c>
      <c r="E3" s="118">
        <f>+España!E$32</f>
        <v>44926</v>
      </c>
      <c r="F3" s="118">
        <f>+España!F$32</f>
        <v>45016</v>
      </c>
      <c r="G3" s="118">
        <f>+España!G$32</f>
        <v>45107</v>
      </c>
      <c r="H3" s="118">
        <f>+España!H$32</f>
        <v>45199</v>
      </c>
      <c r="I3" s="118">
        <f>+España!I$32</f>
        <v>45291</v>
      </c>
    </row>
    <row r="4" spans="1:9" ht="15">
      <c r="A4" s="97"/>
      <c r="B4" s="100"/>
      <c r="C4" s="100"/>
      <c r="D4" s="97"/>
      <c r="E4" s="119"/>
      <c r="F4" s="100"/>
      <c r="G4" s="100"/>
      <c r="H4" s="97"/>
      <c r="I4" s="97"/>
    </row>
    <row r="5" spans="1:255" ht="15">
      <c r="A5" s="102" t="str">
        <f>HLOOKUP(INDICE!$F$2,Nombres!$C$3:$D$636,275,FALSE)</f>
        <v>Grupo BBVA  (*)</v>
      </c>
      <c r="B5" s="103">
        <v>3.953917482020503</v>
      </c>
      <c r="C5" s="103">
        <v>3.747477826871732</v>
      </c>
      <c r="D5" s="103">
        <v>3.541900415322738</v>
      </c>
      <c r="E5" s="104">
        <v>3.4137052001922643</v>
      </c>
      <c r="F5" s="103">
        <v>3.300749736577279</v>
      </c>
      <c r="G5" s="287">
        <v>0</v>
      </c>
      <c r="H5" s="287">
        <v>0</v>
      </c>
      <c r="I5" s="287">
        <v>0</v>
      </c>
      <c r="J5" s="120"/>
      <c r="K5" s="12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7"/>
      <c r="B6" s="106"/>
      <c r="C6" s="106"/>
      <c r="D6" s="106"/>
      <c r="E6" s="107"/>
      <c r="F6" s="106"/>
      <c r="G6" s="106"/>
      <c r="H6" s="106"/>
      <c r="I6" s="106"/>
      <c r="J6" s="120"/>
      <c r="K6" s="121"/>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row>
    <row r="7" spans="1:255" ht="15">
      <c r="A7" s="59" t="str">
        <f>HLOOKUP(INDICE!$F$2,Nombres!$C$3:$D$636,7,FALSE)</f>
        <v>España</v>
      </c>
      <c r="B7" s="109">
        <v>4.178077818615378</v>
      </c>
      <c r="C7" s="109">
        <v>4.0379924217929295</v>
      </c>
      <c r="D7" s="109">
        <v>3.909175765111224</v>
      </c>
      <c r="E7" s="110">
        <v>3.938966283453662</v>
      </c>
      <c r="F7" s="109">
        <v>3.8913902636108206</v>
      </c>
      <c r="G7" s="111">
        <v>0</v>
      </c>
      <c r="H7" s="111">
        <v>0</v>
      </c>
      <c r="I7" s="111">
        <v>0</v>
      </c>
      <c r="J7" s="120"/>
      <c r="K7" s="1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7"/>
      <c r="B8" s="106"/>
      <c r="C8" s="106"/>
      <c r="D8" s="106"/>
      <c r="E8" s="107"/>
      <c r="F8" s="106"/>
      <c r="G8" s="106"/>
      <c r="H8" s="106"/>
      <c r="I8" s="106"/>
      <c r="J8" s="120"/>
      <c r="K8" s="123"/>
    </row>
    <row r="9" spans="1:255" ht="15">
      <c r="A9" s="59" t="str">
        <f>HLOOKUP(INDICE!$F$2,Nombres!$C$3:$D$636,11,FALSE)</f>
        <v>México</v>
      </c>
      <c r="B9" s="109">
        <v>2.9742155731406323</v>
      </c>
      <c r="C9" s="109">
        <v>2.8285712072663385</v>
      </c>
      <c r="D9" s="109">
        <v>2.541893659021946</v>
      </c>
      <c r="E9" s="110">
        <v>2.5107924596677957</v>
      </c>
      <c r="F9" s="109">
        <v>2.3333530903875235</v>
      </c>
      <c r="G9" s="111">
        <v>0</v>
      </c>
      <c r="H9" s="111">
        <v>0</v>
      </c>
      <c r="I9" s="111">
        <v>0</v>
      </c>
      <c r="J9" s="120"/>
      <c r="K9" s="12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7"/>
      <c r="B10" s="106"/>
      <c r="C10" s="106"/>
      <c r="D10" s="106"/>
      <c r="E10" s="107"/>
      <c r="F10" s="106"/>
      <c r="G10" s="106"/>
      <c r="H10" s="106"/>
      <c r="I10" s="106"/>
      <c r="J10" s="120"/>
      <c r="K10" s="123"/>
    </row>
    <row r="11" spans="1:13" ht="15">
      <c r="A11" s="59" t="str">
        <f>HLOOKUP(INDICE!$F$2,Nombres!$C$3:$D$636,12,FALSE)</f>
        <v>Turquía </v>
      </c>
      <c r="B11" s="109">
        <v>6.698800791801732</v>
      </c>
      <c r="C11" s="109">
        <v>5.919127384056333</v>
      </c>
      <c r="D11" s="109">
        <v>5.599938647841903</v>
      </c>
      <c r="E11" s="110">
        <v>5.08234793442285</v>
      </c>
      <c r="F11" s="109">
        <v>4.309474416942526</v>
      </c>
      <c r="G11" s="111">
        <v>0</v>
      </c>
      <c r="H11" s="111">
        <v>0</v>
      </c>
      <c r="I11" s="111">
        <v>0</v>
      </c>
      <c r="J11" s="120"/>
      <c r="K11"/>
      <c r="L11"/>
      <c r="M11"/>
    </row>
    <row r="12" spans="1:11" ht="15">
      <c r="A12" s="97"/>
      <c r="B12" s="106"/>
      <c r="C12" s="106"/>
      <c r="D12" s="106"/>
      <c r="E12" s="107"/>
      <c r="F12" s="106"/>
      <c r="G12" s="106"/>
      <c r="H12" s="106"/>
      <c r="I12" s="106"/>
      <c r="J12" s="120"/>
      <c r="K12" s="123"/>
    </row>
    <row r="13" spans="1:255" ht="15">
      <c r="A13" s="59" t="str">
        <f>HLOOKUP(INDICE!$F$2,Nombres!$C$3:$D$636,13,FALSE)</f>
        <v>América del Sur </v>
      </c>
      <c r="B13" s="109">
        <v>4.284321593196776</v>
      </c>
      <c r="C13" s="109">
        <v>4.158127481179529</v>
      </c>
      <c r="D13" s="109">
        <v>4.121804637551528</v>
      </c>
      <c r="E13" s="110">
        <v>4.102382240738093</v>
      </c>
      <c r="F13" s="109">
        <v>4.25658640482325</v>
      </c>
      <c r="G13" s="111">
        <v>0</v>
      </c>
      <c r="H13" s="111">
        <v>0</v>
      </c>
      <c r="I13" s="111">
        <v>0</v>
      </c>
      <c r="J13" s="12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7"/>
      <c r="B14" s="124"/>
      <c r="C14" s="124"/>
      <c r="D14" s="124"/>
      <c r="E14" s="288"/>
      <c r="F14" s="124"/>
      <c r="G14" s="289"/>
      <c r="H14" s="289"/>
      <c r="I14" s="289"/>
      <c r="J14" s="120"/>
      <c r="K14" s="123"/>
      <c r="L14" s="122"/>
      <c r="M14" s="122"/>
    </row>
    <row r="15" spans="1:255" ht="15">
      <c r="A15" s="59" t="str">
        <f>HLOOKUP(INDICE!$F$2,Nombres!$C$3:$D$636,263,FALSE)</f>
        <v>Resto de Negocios</v>
      </c>
      <c r="B15" s="109">
        <v>0.5653319412795116</v>
      </c>
      <c r="C15" s="109">
        <v>0.5487597965212433</v>
      </c>
      <c r="D15" s="109">
        <v>0.38241011703822275</v>
      </c>
      <c r="E15" s="110">
        <v>0.37083506306028896</v>
      </c>
      <c r="F15" s="109">
        <v>0.5009380645660598</v>
      </c>
      <c r="G15" s="111">
        <v>0</v>
      </c>
      <c r="H15" s="111">
        <v>0</v>
      </c>
      <c r="I15" s="111">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5"/>
      <c r="B16" s="124"/>
      <c r="C16" s="124"/>
      <c r="D16" s="290"/>
      <c r="E16" s="290"/>
      <c r="F16" s="124"/>
      <c r="G16" s="124"/>
      <c r="H16" s="290"/>
      <c r="I16" s="290"/>
      <c r="J16" s="123"/>
      <c r="K16" s="123"/>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row>
    <row r="17" spans="1:11" ht="15">
      <c r="A17" s="97"/>
      <c r="B17" s="124"/>
      <c r="C17" s="124"/>
      <c r="D17" s="126"/>
      <c r="E17" s="126"/>
      <c r="F17" s="124"/>
      <c r="G17" s="124"/>
      <c r="H17" s="126"/>
      <c r="I17" s="126"/>
      <c r="J17" s="123"/>
      <c r="K17" s="123"/>
    </row>
    <row r="18" spans="1:255" ht="18">
      <c r="A18" s="93" t="str">
        <f>HLOOKUP(INDICE!$F$2,Nombres!$C$3:$D$636,86,FALSE)</f>
        <v>Tasa de cobertura</v>
      </c>
      <c r="B18" s="127"/>
      <c r="C18" s="127"/>
      <c r="D18" s="128"/>
      <c r="E18" s="128"/>
      <c r="F18" s="127"/>
      <c r="G18" s="127"/>
      <c r="H18" s="128"/>
      <c r="I18" s="128"/>
      <c r="J18" s="123"/>
      <c r="K18" s="123"/>
      <c r="L18" s="129"/>
      <c r="M18" s="129"/>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row>
    <row r="19" spans="1:11" ht="15">
      <c r="A19" s="96" t="str">
        <f>HLOOKUP(INDICE!$F$2,Nombres!$C$3:$D$636,84,FALSE)</f>
        <v>(Porcentaje)</v>
      </c>
      <c r="B19" s="113"/>
      <c r="C19" s="113"/>
      <c r="D19" s="126"/>
      <c r="E19" s="126"/>
      <c r="F19" s="113"/>
      <c r="G19" s="113"/>
      <c r="H19" s="126"/>
      <c r="I19" s="126"/>
      <c r="J19" s="123"/>
      <c r="K19" s="123"/>
    </row>
    <row r="20" spans="1:255" ht="15.75">
      <c r="A20" s="97"/>
      <c r="B20" s="118">
        <f>+B$3</f>
        <v>44651</v>
      </c>
      <c r="C20" s="118">
        <f aca="true" t="shared" si="0" ref="C20:I20">+C$3</f>
        <v>44742</v>
      </c>
      <c r="D20" s="118">
        <f t="shared" si="0"/>
        <v>44834</v>
      </c>
      <c r="E20" s="118">
        <f t="shared" si="0"/>
        <v>44926</v>
      </c>
      <c r="F20" s="118">
        <f t="shared" si="0"/>
        <v>45016</v>
      </c>
      <c r="G20" s="118">
        <f t="shared" si="0"/>
        <v>45107</v>
      </c>
      <c r="H20" s="118">
        <f t="shared" si="0"/>
        <v>45199</v>
      </c>
      <c r="I20" s="118">
        <f t="shared" si="0"/>
        <v>45291</v>
      </c>
      <c r="J20" s="123"/>
      <c r="K20" s="123"/>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row>
    <row r="21" spans="1:11" ht="15">
      <c r="A21" s="97"/>
      <c r="B21" s="130"/>
      <c r="C21" s="130"/>
      <c r="D21" s="126"/>
      <c r="E21" s="126"/>
      <c r="F21" s="130"/>
      <c r="G21" s="130"/>
      <c r="H21" s="126"/>
      <c r="I21" s="126"/>
      <c r="J21" s="123"/>
      <c r="K21" s="123"/>
    </row>
    <row r="22" spans="1:13" ht="15">
      <c r="A22" s="102" t="str">
        <f>HLOOKUP(INDICE!$F$2,Nombres!$C$3:$D$636,275,FALSE)</f>
        <v>Grupo BBVA  (*)</v>
      </c>
      <c r="B22" s="131">
        <v>75.90959260579432</v>
      </c>
      <c r="C22" s="131">
        <v>78.44317836158264</v>
      </c>
      <c r="D22" s="131">
        <v>82.90490483475553</v>
      </c>
      <c r="E22" s="132">
        <v>81.34031740533463</v>
      </c>
      <c r="F22" s="131">
        <v>82.46398208703984</v>
      </c>
      <c r="G22" s="238">
        <v>0</v>
      </c>
      <c r="H22" s="238">
        <v>0</v>
      </c>
      <c r="I22" s="238">
        <v>0</v>
      </c>
      <c r="J22" s="133"/>
      <c r="K22"/>
      <c r="L22"/>
      <c r="M22"/>
    </row>
    <row r="23" spans="1:13" ht="15">
      <c r="A23" s="97"/>
      <c r="B23" s="134"/>
      <c r="C23" s="134"/>
      <c r="D23" s="134"/>
      <c r="E23" s="135"/>
      <c r="F23" s="134"/>
      <c r="G23" s="134"/>
      <c r="H23" s="134"/>
      <c r="I23" s="134"/>
      <c r="J23" s="133"/>
      <c r="K23" s="123"/>
      <c r="L23" s="122"/>
      <c r="M23" s="122"/>
    </row>
    <row r="24" spans="1:255" ht="15">
      <c r="A24" s="59" t="str">
        <f>HLOOKUP(INDICE!$F$2,Nombres!$C$3:$D$636,7,FALSE)</f>
        <v>España</v>
      </c>
      <c r="B24" s="136">
        <v>61.43107082733417</v>
      </c>
      <c r="C24" s="136">
        <v>61.47458778999283</v>
      </c>
      <c r="D24" s="136">
        <v>64.02578141219166</v>
      </c>
      <c r="E24" s="137">
        <v>60.932596217374446</v>
      </c>
      <c r="F24" s="136">
        <v>58.65475746024477</v>
      </c>
      <c r="G24" s="239">
        <v>0</v>
      </c>
      <c r="H24" s="239">
        <v>0</v>
      </c>
      <c r="I24" s="239">
        <v>0</v>
      </c>
      <c r="J24" s="133"/>
      <c r="K24" s="138"/>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7"/>
      <c r="B25" s="134"/>
      <c r="C25" s="134"/>
      <c r="D25" s="134"/>
      <c r="E25" s="135"/>
      <c r="F25" s="134"/>
      <c r="G25" s="134"/>
      <c r="H25" s="134"/>
      <c r="I25" s="134"/>
      <c r="J25" s="133"/>
      <c r="K25" s="123"/>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row>
    <row r="26" spans="1:255" ht="15">
      <c r="A26" s="59" t="str">
        <f>HLOOKUP(INDICE!$F$2,Nombres!$C$3:$D$636,11,FALSE)</f>
        <v>México</v>
      </c>
      <c r="B26" s="136">
        <v>115.32998289468945</v>
      </c>
      <c r="C26" s="136">
        <v>118.86552892861486</v>
      </c>
      <c r="D26" s="136">
        <v>133.31832481070737</v>
      </c>
      <c r="E26" s="137">
        <v>128.8645225885075</v>
      </c>
      <c r="F26" s="136">
        <v>137.06742757462104</v>
      </c>
      <c r="G26" s="239">
        <v>0</v>
      </c>
      <c r="H26" s="239">
        <v>0</v>
      </c>
      <c r="I26" s="239">
        <v>0</v>
      </c>
      <c r="J26" s="13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7"/>
      <c r="B27" s="134"/>
      <c r="C27" s="134"/>
      <c r="D27" s="134"/>
      <c r="E27" s="135"/>
      <c r="F27" s="134"/>
      <c r="G27" s="134"/>
      <c r="H27" s="134"/>
      <c r="I27" s="134"/>
      <c r="J27" s="133"/>
      <c r="K27"/>
      <c r="L27"/>
      <c r="M27"/>
    </row>
    <row r="28" spans="1:255" ht="15">
      <c r="A28" s="59" t="str">
        <f>HLOOKUP(INDICE!$F$2,Nombres!$C$3:$D$636,12,FALSE)</f>
        <v>Turquía </v>
      </c>
      <c r="B28" s="136">
        <v>74.76965437494731</v>
      </c>
      <c r="C28" s="136">
        <v>82.60315255904412</v>
      </c>
      <c r="D28" s="136">
        <v>86.05853473922438</v>
      </c>
      <c r="E28" s="137">
        <v>90.42479667675309</v>
      </c>
      <c r="F28" s="136">
        <v>98.55999197638175</v>
      </c>
      <c r="G28" s="239">
        <v>0</v>
      </c>
      <c r="H28" s="239">
        <v>0</v>
      </c>
      <c r="I28" s="239">
        <v>0</v>
      </c>
      <c r="J28" s="133"/>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7"/>
      <c r="B29" s="134"/>
      <c r="C29" s="134"/>
      <c r="D29" s="134"/>
      <c r="E29" s="135"/>
      <c r="F29" s="134"/>
      <c r="G29" s="134"/>
      <c r="H29" s="134"/>
      <c r="I29" s="134"/>
      <c r="J29" s="133"/>
      <c r="K29" s="123"/>
    </row>
    <row r="30" spans="1:255" ht="15">
      <c r="A30" s="59" t="str">
        <f>HLOOKUP(INDICE!$F$2,Nombres!$C$3:$D$636,13,FALSE)</f>
        <v>América del Sur </v>
      </c>
      <c r="B30" s="136">
        <v>99.13889189453238</v>
      </c>
      <c r="C30" s="136">
        <v>99.95403110476879</v>
      </c>
      <c r="D30" s="136">
        <v>99.68469214441657</v>
      </c>
      <c r="E30" s="137">
        <v>100.74038921512967</v>
      </c>
      <c r="F30" s="136">
        <v>99.17788049015059</v>
      </c>
      <c r="G30" s="239">
        <v>0</v>
      </c>
      <c r="H30" s="239">
        <v>0</v>
      </c>
      <c r="I30" s="239">
        <v>0</v>
      </c>
      <c r="J30" s="133"/>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7"/>
      <c r="B31" s="139"/>
      <c r="C31" s="139"/>
      <c r="D31" s="139"/>
      <c r="E31" s="140"/>
      <c r="F31" s="139"/>
      <c r="G31" s="240"/>
      <c r="H31" s="240"/>
      <c r="I31" s="240"/>
      <c r="J31" s="133"/>
      <c r="K31" s="123"/>
      <c r="L31" s="122"/>
      <c r="M31" s="122"/>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36">
        <v>116.20250793137077</v>
      </c>
      <c r="C32" s="136">
        <v>120.38337582944483</v>
      </c>
      <c r="D32" s="136">
        <v>158.1811853476769</v>
      </c>
      <c r="E32" s="137">
        <v>130.66737621004722</v>
      </c>
      <c r="F32" s="136">
        <v>100.7975027839465</v>
      </c>
      <c r="G32" s="239">
        <v>0</v>
      </c>
      <c r="H32" s="239">
        <v>0</v>
      </c>
      <c r="I32" s="239">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5"/>
      <c r="B33" s="141"/>
      <c r="C33" s="141"/>
      <c r="D33" s="126"/>
      <c r="E33" s="126"/>
      <c r="F33" s="141"/>
      <c r="G33" s="141"/>
      <c r="H33" s="126"/>
      <c r="I33" s="126"/>
      <c r="J33" s="123"/>
      <c r="K33" s="123"/>
      <c r="L33" s="122"/>
      <c r="M33" s="122"/>
    </row>
    <row r="34" spans="1:255" ht="15">
      <c r="A34" s="97"/>
      <c r="B34" s="141"/>
      <c r="C34" s="141"/>
      <c r="D34" s="126"/>
      <c r="E34" s="126"/>
      <c r="F34" s="141"/>
      <c r="G34" s="141"/>
      <c r="H34" s="126"/>
      <c r="I34" s="126"/>
      <c r="J34" s="123"/>
      <c r="K34" s="12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3" t="str">
        <f>HLOOKUP(INDICE!$F$2,Nombres!$C$3:$D$636,87,FALSE)</f>
        <v>Coste del riesgo acumulado</v>
      </c>
      <c r="B35" s="127"/>
      <c r="C35" s="127"/>
      <c r="D35" s="128"/>
      <c r="E35" s="128"/>
      <c r="F35" s="127"/>
      <c r="G35" s="127"/>
      <c r="H35" s="128"/>
      <c r="I35" s="128"/>
      <c r="J35" s="123"/>
      <c r="K35" s="123"/>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row>
    <row r="36" spans="1:11" ht="15">
      <c r="A36" s="96" t="str">
        <f>HLOOKUP(INDICE!$F$2,Nombres!$C$3:$D$636,84,FALSE)</f>
        <v>(Porcentaje)</v>
      </c>
      <c r="B36" s="141"/>
      <c r="C36" s="141"/>
      <c r="D36" s="126"/>
      <c r="E36" s="126"/>
      <c r="F36" s="141"/>
      <c r="G36" s="141"/>
      <c r="H36" s="126"/>
      <c r="I36" s="126"/>
      <c r="J36" s="123"/>
      <c r="K36" s="123"/>
    </row>
    <row r="37" spans="1:255" ht="15.75">
      <c r="A37" s="97"/>
      <c r="B37" s="118">
        <f>+B$3</f>
        <v>44651</v>
      </c>
      <c r="C37" s="118">
        <f aca="true" t="shared" si="1" ref="C37:I37">+C$3</f>
        <v>44742</v>
      </c>
      <c r="D37" s="118">
        <f t="shared" si="1"/>
        <v>44834</v>
      </c>
      <c r="E37" s="118">
        <f t="shared" si="1"/>
        <v>44926</v>
      </c>
      <c r="F37" s="118">
        <f t="shared" si="1"/>
        <v>45016</v>
      </c>
      <c r="G37" s="118">
        <f t="shared" si="1"/>
        <v>45107</v>
      </c>
      <c r="H37" s="118">
        <f t="shared" si="1"/>
        <v>45199</v>
      </c>
      <c r="I37" s="118">
        <f t="shared" si="1"/>
        <v>45291</v>
      </c>
      <c r="J37" s="123"/>
      <c r="K37" s="123"/>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row>
    <row r="38" spans="1:11" ht="15">
      <c r="A38" s="97"/>
      <c r="B38" s="130"/>
      <c r="C38" s="130"/>
      <c r="D38" s="126"/>
      <c r="E38" s="126"/>
      <c r="F38" s="130"/>
      <c r="G38" s="130"/>
      <c r="H38" s="126"/>
      <c r="I38" s="126"/>
      <c r="J38" s="123"/>
      <c r="K38" s="123"/>
    </row>
    <row r="39" spans="1:13" ht="15">
      <c r="A39" s="102" t="str">
        <f>HLOOKUP(INDICE!$F$2,Nombres!$C$3:$D$636,275,FALSE)</f>
        <v>Grupo BBVA  (*)</v>
      </c>
      <c r="B39" s="142">
        <v>0.8155986952391824</v>
      </c>
      <c r="C39" s="142">
        <v>0.8070490788616349</v>
      </c>
      <c r="D39" s="142">
        <v>0.8638078285393995</v>
      </c>
      <c r="E39" s="143">
        <v>0.9132038791617962</v>
      </c>
      <c r="F39" s="142">
        <v>1.0461780866401273</v>
      </c>
      <c r="G39" s="142">
        <v>0</v>
      </c>
      <c r="H39" s="241">
        <v>0</v>
      </c>
      <c r="I39" s="241">
        <v>0</v>
      </c>
      <c r="J39" s="105"/>
      <c r="K39"/>
      <c r="L39"/>
      <c r="M39"/>
    </row>
    <row r="40" spans="1:13" ht="15">
      <c r="A40" s="97"/>
      <c r="B40" s="144"/>
      <c r="C40" s="144"/>
      <c r="D40" s="144"/>
      <c r="E40" s="145"/>
      <c r="F40" s="144"/>
      <c r="G40" s="144"/>
      <c r="H40" s="144"/>
      <c r="I40" s="144"/>
      <c r="J40" s="123"/>
      <c r="K40" s="123"/>
      <c r="L40" s="122"/>
      <c r="M40" s="122"/>
    </row>
    <row r="41" spans="1:13" ht="15">
      <c r="A41" s="59" t="str">
        <f>HLOOKUP(INDICE!$F$2,Nombres!$C$3:$D$636,7,FALSE)</f>
        <v>España</v>
      </c>
      <c r="B41" s="146">
        <v>0.16651458403934324</v>
      </c>
      <c r="C41" s="146">
        <v>0.2006528444635625</v>
      </c>
      <c r="D41" s="146">
        <v>0.236374292451908</v>
      </c>
      <c r="E41" s="147">
        <v>0.2845246615123951</v>
      </c>
      <c r="F41" s="146">
        <v>0.26676018510131627</v>
      </c>
      <c r="G41" s="242">
        <v>0</v>
      </c>
      <c r="H41" s="242">
        <v>0</v>
      </c>
      <c r="I41" s="242">
        <v>0</v>
      </c>
      <c r="J41" s="105"/>
      <c r="K41"/>
      <c r="L41"/>
      <c r="M41"/>
    </row>
    <row r="42" spans="1:13" ht="15">
      <c r="A42" s="97"/>
      <c r="B42" s="144"/>
      <c r="C42" s="144"/>
      <c r="D42" s="144"/>
      <c r="E42" s="145"/>
      <c r="F42" s="144"/>
      <c r="G42" s="144"/>
      <c r="H42" s="144"/>
      <c r="I42" s="144"/>
      <c r="J42" s="105"/>
      <c r="K42"/>
      <c r="L42"/>
      <c r="M42"/>
    </row>
    <row r="43" spans="1:255" ht="15">
      <c r="A43" s="59" t="str">
        <f>HLOOKUP(INDICE!$F$2,Nombres!$C$3:$D$636,11,FALSE)</f>
        <v>México</v>
      </c>
      <c r="B43" s="146">
        <v>2.8539751186157454</v>
      </c>
      <c r="C43" s="146">
        <v>2.5869715095204815</v>
      </c>
      <c r="D43" s="146">
        <v>2.5912679297384478</v>
      </c>
      <c r="E43" s="147">
        <v>2.487269989089657</v>
      </c>
      <c r="F43" s="146">
        <v>2.88173543480886</v>
      </c>
      <c r="G43" s="242">
        <v>0</v>
      </c>
      <c r="H43" s="242">
        <v>0</v>
      </c>
      <c r="I43" s="242">
        <v>0</v>
      </c>
      <c r="J43" s="10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7"/>
      <c r="B44" s="144"/>
      <c r="C44" s="144"/>
      <c r="D44" s="144"/>
      <c r="E44" s="145"/>
      <c r="F44" s="144"/>
      <c r="G44" s="144"/>
      <c r="H44" s="144"/>
      <c r="I44" s="144"/>
      <c r="J44" s="123"/>
      <c r="K44" s="123"/>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c r="IU44" s="122"/>
    </row>
    <row r="45" spans="1:255" ht="15">
      <c r="A45" s="59" t="str">
        <f>HLOOKUP(INDICE!$F$2,Nombres!$C$3:$D$636,12,FALSE)</f>
        <v>Turquía </v>
      </c>
      <c r="B45" s="146">
        <v>0.9923298524529925</v>
      </c>
      <c r="C45" s="146">
        <v>0.8826030774853713</v>
      </c>
      <c r="D45" s="146">
        <v>0.8922152967813575</v>
      </c>
      <c r="E45" s="147">
        <v>0.9367779079075232</v>
      </c>
      <c r="F45" s="146">
        <v>0.5178951955506698</v>
      </c>
      <c r="G45" s="242">
        <v>0</v>
      </c>
      <c r="H45" s="242">
        <v>0</v>
      </c>
      <c r="I45" s="242">
        <v>0</v>
      </c>
      <c r="J45" s="10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7"/>
      <c r="B46" s="144"/>
      <c r="C46" s="144"/>
      <c r="D46" s="144"/>
      <c r="E46" s="145"/>
      <c r="F46" s="144"/>
      <c r="G46" s="144"/>
      <c r="H46" s="144"/>
      <c r="I46" s="144"/>
      <c r="J46" s="123"/>
      <c r="K46" s="123"/>
    </row>
    <row r="47" spans="1:255" ht="15">
      <c r="A47" s="59" t="str">
        <f>HLOOKUP(INDICE!$F$2,Nombres!$C$3:$D$636,13,FALSE)</f>
        <v>América del Sur </v>
      </c>
      <c r="B47" s="146">
        <v>1.1698478580990255</v>
      </c>
      <c r="C47" s="146">
        <v>1.242325751645526</v>
      </c>
      <c r="D47" s="146">
        <v>1.4285602755730216</v>
      </c>
      <c r="E47" s="147">
        <v>1.6888714589062457</v>
      </c>
      <c r="F47" s="146">
        <v>2.183473672640772</v>
      </c>
      <c r="G47" s="242">
        <v>0</v>
      </c>
      <c r="H47" s="242">
        <v>0</v>
      </c>
      <c r="I47" s="242">
        <v>0</v>
      </c>
      <c r="J47" s="10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7"/>
      <c r="B48" s="148"/>
      <c r="C48" s="148"/>
      <c r="D48" s="148"/>
      <c r="E48" s="149"/>
      <c r="F48" s="148"/>
      <c r="G48" s="243"/>
      <c r="H48" s="243"/>
      <c r="I48" s="243"/>
      <c r="J48" s="123"/>
      <c r="K48" s="123"/>
      <c r="L48" s="122"/>
      <c r="M48" s="12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46">
        <v>-0.10382136162482422</v>
      </c>
      <c r="C49" s="146">
        <v>0.000887280529842365</v>
      </c>
      <c r="D49" s="146">
        <v>0.016140154405523275</v>
      </c>
      <c r="E49" s="147">
        <v>0.04107059930871794</v>
      </c>
      <c r="F49" s="146">
        <v>0.20706999025765302</v>
      </c>
      <c r="G49" s="242">
        <v>0</v>
      </c>
      <c r="H49" s="242">
        <v>0</v>
      </c>
      <c r="I49" s="242">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5"/>
      <c r="B50" s="97"/>
      <c r="C50" s="141"/>
      <c r="D50" s="141"/>
      <c r="E50" s="141"/>
      <c r="F50" s="97"/>
      <c r="G50" s="244"/>
      <c r="H50" s="244"/>
      <c r="I50" s="244"/>
    </row>
    <row r="51" spans="1:255" ht="15">
      <c r="A51" s="114"/>
      <c r="B51" s="97"/>
      <c r="C51" s="97"/>
      <c r="D51" s="97"/>
      <c r="E51" s="97"/>
      <c r="F51" s="97"/>
      <c r="G51" s="97"/>
      <c r="H51" s="97"/>
      <c r="I51" s="97"/>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7"/>
      <c r="B52" s="97"/>
      <c r="C52" s="97"/>
      <c r="D52" s="97"/>
      <c r="E52" s="97"/>
      <c r="F52" s="97"/>
      <c r="G52" s="97"/>
      <c r="H52" s="97"/>
      <c r="I52" s="97"/>
    </row>
    <row r="53" spans="1:255" ht="15">
      <c r="A53" s="150"/>
      <c r="B53" s="115"/>
      <c r="C53" s="115"/>
      <c r="D53" s="115"/>
      <c r="E53" s="115"/>
      <c r="F53" s="115"/>
      <c r="G53" s="115"/>
      <c r="H53" s="150"/>
      <c r="I53" s="150"/>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c r="IU54" s="122"/>
    </row>
    <row r="994" ht="15">
      <c r="A994" s="151" t="s">
        <v>391</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997"/>
  <sheetViews>
    <sheetView showGridLines="0" zoomScalePageLayoutView="0" workbookViewId="0" topLeftCell="A1">
      <selection activeCell="A1" sqref="A1"/>
    </sheetView>
  </sheetViews>
  <sheetFormatPr defaultColWidth="11.421875" defaultRowHeight="15"/>
  <cols>
    <col min="1" max="1" width="23.8515625" style="0" customWidth="1"/>
    <col min="7" max="9" width="0" style="0" hidden="1" customWidth="1"/>
  </cols>
  <sheetData>
    <row r="1" spans="1:41" ht="18">
      <c r="A1" s="245" t="str">
        <f>HLOOKUP(INDICE!$F$2,Nombres!$C$3:$D$636,123,FALSE)</f>
        <v>Oficinas</v>
      </c>
      <c r="B1" s="152"/>
      <c r="C1" s="152"/>
      <c r="D1" s="153"/>
      <c r="E1" s="153"/>
      <c r="F1" s="153"/>
      <c r="G1" s="153"/>
      <c r="H1" s="153"/>
      <c r="I1" s="153"/>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4"/>
      <c r="B2" s="99">
        <f>+España!B32</f>
        <v>44651</v>
      </c>
      <c r="C2" s="99">
        <f>+España!C32</f>
        <v>44742</v>
      </c>
      <c r="D2" s="99">
        <f>+España!D32</f>
        <v>44834</v>
      </c>
      <c r="E2" s="99">
        <f>+España!E32</f>
        <v>44926</v>
      </c>
      <c r="F2" s="99">
        <f>+España!F32</f>
        <v>45016</v>
      </c>
      <c r="G2" s="99">
        <f>+España!G32</f>
        <v>45107</v>
      </c>
      <c r="H2" s="99">
        <f>+España!H32</f>
        <v>45199</v>
      </c>
      <c r="I2" s="99">
        <f>+España!I32</f>
        <v>45291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46" t="str">
        <f>HLOOKUP(INDICE!$F$2,Nombres!$C$3:$D$636,7,FALSE)</f>
        <v>España</v>
      </c>
      <c r="B3" s="41">
        <v>1886</v>
      </c>
      <c r="C3" s="41">
        <v>1886</v>
      </c>
      <c r="D3" s="41">
        <v>1886</v>
      </c>
      <c r="E3" s="41">
        <v>1886</v>
      </c>
      <c r="F3" s="41">
        <v>1883</v>
      </c>
      <c r="G3" s="41">
        <v>0</v>
      </c>
      <c r="H3" s="41">
        <v>0</v>
      </c>
      <c r="I3" s="41">
        <v>0</v>
      </c>
      <c r="J3" s="54"/>
      <c r="K3" s="31"/>
      <c r="L3" s="115"/>
      <c r="M3" s="115"/>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46" t="str">
        <f>HLOOKUP(INDICE!$F$2,Nombres!$C$3:$D$636,11,FALSE)</f>
        <v>México</v>
      </c>
      <c r="B4" s="41">
        <v>1722</v>
      </c>
      <c r="C4" s="41">
        <v>1726</v>
      </c>
      <c r="D4" s="41">
        <v>1727</v>
      </c>
      <c r="E4" s="41">
        <v>1733</v>
      </c>
      <c r="F4" s="41">
        <v>1735</v>
      </c>
      <c r="G4" s="41">
        <v>0</v>
      </c>
      <c r="H4" s="41">
        <v>0</v>
      </c>
      <c r="I4" s="41">
        <v>0</v>
      </c>
      <c r="J4" s="54"/>
      <c r="K4" s="31"/>
      <c r="L4" s="115"/>
      <c r="M4" s="11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46" t="str">
        <f>HLOOKUP(INDICE!$F$2,Nombres!$C$3:$D$636,12,FALSE)</f>
        <v>Turquía </v>
      </c>
      <c r="B5" s="41">
        <v>1003</v>
      </c>
      <c r="C5" s="41">
        <v>992</v>
      </c>
      <c r="D5" s="41">
        <v>984</v>
      </c>
      <c r="E5" s="41">
        <v>972</v>
      </c>
      <c r="F5" s="41">
        <v>969</v>
      </c>
      <c r="G5" s="41">
        <v>0</v>
      </c>
      <c r="H5" s="41">
        <v>0</v>
      </c>
      <c r="I5" s="41">
        <v>0</v>
      </c>
      <c r="J5" s="54"/>
      <c r="K5" s="31"/>
      <c r="L5" s="115"/>
      <c r="M5" s="11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46" t="str">
        <f>HLOOKUP(INDICE!$F$2,Nombres!$C$3:$D$636,13,FALSE)</f>
        <v>América del Sur </v>
      </c>
      <c r="B6" s="41">
        <v>1428</v>
      </c>
      <c r="C6" s="41">
        <v>1427</v>
      </c>
      <c r="D6" s="41">
        <v>1422</v>
      </c>
      <c r="E6" s="41">
        <v>1418</v>
      </c>
      <c r="F6" s="41">
        <v>1433</v>
      </c>
      <c r="G6" s="41">
        <v>0</v>
      </c>
      <c r="H6" s="41">
        <v>0</v>
      </c>
      <c r="I6" s="41">
        <v>0</v>
      </c>
      <c r="J6" s="54"/>
      <c r="K6" s="31"/>
      <c r="L6" s="115"/>
      <c r="M6" s="115"/>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155" t="str">
        <f>HLOOKUP(INDICE!$F$2,Nombres!$C$3:$D$636,14,FALSE)</f>
        <v>Argentina</v>
      </c>
      <c r="B7" s="247">
        <v>243</v>
      </c>
      <c r="C7" s="247">
        <v>243</v>
      </c>
      <c r="D7" s="247">
        <v>243</v>
      </c>
      <c r="E7" s="247">
        <v>243</v>
      </c>
      <c r="F7" s="247">
        <v>243</v>
      </c>
      <c r="G7" s="247">
        <v>0</v>
      </c>
      <c r="H7" s="247">
        <v>0</v>
      </c>
      <c r="I7" s="247">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5" t="str">
        <f>HLOOKUP(INDICE!$F$2,Nombres!$C$3:$D$636,15,FALSE)</f>
        <v>Chile</v>
      </c>
      <c r="B8" s="44">
        <v>10</v>
      </c>
      <c r="C8" s="44">
        <v>11</v>
      </c>
      <c r="D8" s="44">
        <v>11</v>
      </c>
      <c r="E8" s="44">
        <v>10</v>
      </c>
      <c r="F8" s="44">
        <v>10</v>
      </c>
      <c r="G8" s="44">
        <v>0</v>
      </c>
      <c r="H8" s="44">
        <v>0</v>
      </c>
      <c r="I8" s="44">
        <v>0</v>
      </c>
      <c r="J8" s="54"/>
      <c r="K8" s="31"/>
      <c r="L8" s="115"/>
      <c r="M8" s="115"/>
      <c r="N8" s="25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48" t="str">
        <f>HLOOKUP(INDICE!$F$2,Nombres!$C$3:$D$636,16,FALSE)</f>
        <v>Colombia</v>
      </c>
      <c r="B9" s="44">
        <v>517</v>
      </c>
      <c r="C9" s="44">
        <v>517</v>
      </c>
      <c r="D9" s="44">
        <v>512</v>
      </c>
      <c r="E9" s="44">
        <v>513</v>
      </c>
      <c r="F9" s="44">
        <v>528</v>
      </c>
      <c r="G9" s="44">
        <v>0</v>
      </c>
      <c r="H9" s="44">
        <v>0</v>
      </c>
      <c r="I9" s="44">
        <v>0</v>
      </c>
      <c r="J9" s="54"/>
      <c r="K9" s="31"/>
      <c r="L9" s="115"/>
      <c r="M9" s="115"/>
      <c r="N9" s="25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48" t="str">
        <f>HLOOKUP(INDICE!$F$2,Nombres!$C$3:$D$636,17,FALSE)</f>
        <v>Perú</v>
      </c>
      <c r="B10" s="44">
        <v>315</v>
      </c>
      <c r="C10" s="44">
        <v>314</v>
      </c>
      <c r="D10" s="44">
        <v>314</v>
      </c>
      <c r="E10" s="44">
        <v>314</v>
      </c>
      <c r="F10" s="44">
        <v>314</v>
      </c>
      <c r="G10" s="44">
        <v>0</v>
      </c>
      <c r="H10" s="44">
        <v>0</v>
      </c>
      <c r="I10" s="44">
        <v>0</v>
      </c>
      <c r="J10" s="54"/>
      <c r="K10" s="115"/>
      <c r="L10" s="115"/>
      <c r="M10" s="115"/>
      <c r="N10" s="25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48" t="str">
        <f>HLOOKUP(INDICE!$F$2,Nombres!$C$3:$D$636,89,FALSE)</f>
        <v>Resto de América del Sur</v>
      </c>
      <c r="B11" s="44">
        <v>343</v>
      </c>
      <c r="C11" s="44">
        <v>342</v>
      </c>
      <c r="D11" s="44">
        <v>342</v>
      </c>
      <c r="E11" s="44">
        <v>338</v>
      </c>
      <c r="F11" s="44">
        <v>338</v>
      </c>
      <c r="G11" s="44">
        <v>0</v>
      </c>
      <c r="H11" s="44">
        <v>0</v>
      </c>
      <c r="I11" s="44">
        <v>0</v>
      </c>
      <c r="J11" s="54"/>
      <c r="K11" s="115"/>
      <c r="L11" s="115"/>
      <c r="M11" s="115"/>
      <c r="N11" s="25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46" t="str">
        <f>HLOOKUP(INDICE!$F$2,Nombres!$C$3:$D$636,279,FALSE)</f>
        <v>Resto de geografías</v>
      </c>
      <c r="B12" s="41">
        <v>32</v>
      </c>
      <c r="C12" s="41">
        <v>31</v>
      </c>
      <c r="D12" s="41">
        <v>31</v>
      </c>
      <c r="E12" s="41">
        <v>31</v>
      </c>
      <c r="F12" s="41">
        <v>31</v>
      </c>
      <c r="G12" s="41">
        <v>0</v>
      </c>
      <c r="H12" s="41">
        <v>0</v>
      </c>
      <c r="I12" s="41">
        <v>0</v>
      </c>
      <c r="J12" s="54"/>
      <c r="K12" s="115"/>
      <c r="L12" s="115"/>
      <c r="M12" s="115"/>
      <c r="N12" s="25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46" t="s">
        <v>5</v>
      </c>
      <c r="B13" s="41">
        <f aca="true" t="shared" si="0" ref="B13:I13">+SUM(B3:B5,B7:B12)</f>
        <v>6071</v>
      </c>
      <c r="C13" s="41">
        <f t="shared" si="0"/>
        <v>6062</v>
      </c>
      <c r="D13" s="41">
        <f t="shared" si="0"/>
        <v>6050</v>
      </c>
      <c r="E13" s="41">
        <f t="shared" si="0"/>
        <v>6040</v>
      </c>
      <c r="F13" s="41">
        <f t="shared" si="0"/>
        <v>6051</v>
      </c>
      <c r="G13" s="41">
        <f t="shared" si="0"/>
        <v>0</v>
      </c>
      <c r="H13" s="41">
        <f t="shared" si="0"/>
        <v>0</v>
      </c>
      <c r="I13" s="41">
        <f t="shared" si="0"/>
        <v>0</v>
      </c>
      <c r="J13" s="54"/>
      <c r="K13" s="115"/>
      <c r="L13" s="115"/>
      <c r="M13" s="115"/>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156"/>
      <c r="B14" s="157">
        <v>0</v>
      </c>
      <c r="C14" s="157">
        <v>0</v>
      </c>
      <c r="D14" s="157">
        <v>0</v>
      </c>
      <c r="E14" s="157">
        <v>0</v>
      </c>
      <c r="F14" s="157">
        <v>0</v>
      </c>
      <c r="G14" s="157">
        <v>0</v>
      </c>
      <c r="H14" s="157">
        <v>0</v>
      </c>
      <c r="I14" s="157">
        <v>0</v>
      </c>
      <c r="J14" s="54"/>
      <c r="K14" s="115"/>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6"/>
      <c r="B15" s="157"/>
      <c r="C15" s="157"/>
      <c r="D15" s="157"/>
      <c r="E15" s="157"/>
      <c r="F15" s="157"/>
      <c r="G15" s="157"/>
      <c r="H15" s="157"/>
      <c r="I15" s="157"/>
      <c r="J15" s="31"/>
      <c r="K15" s="115"/>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8">
      <c r="A16" s="245" t="str">
        <f>HLOOKUP(INDICE!$F$2,Nombres!$C$3:$D$636,124,FALSE)</f>
        <v>Empleados</v>
      </c>
      <c r="B16" s="152"/>
      <c r="C16" s="152"/>
      <c r="D16" s="153"/>
      <c r="E16" s="153"/>
      <c r="F16" s="153"/>
      <c r="G16" s="153"/>
      <c r="H16" s="153"/>
      <c r="I16" s="153"/>
      <c r="J16" s="31"/>
      <c r="K16" s="115"/>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5.75">
      <c r="A17" s="154"/>
      <c r="B17" s="99">
        <f aca="true" t="shared" si="1" ref="B17:I17">+B$2</f>
        <v>44651</v>
      </c>
      <c r="C17" s="99">
        <f t="shared" si="1"/>
        <v>44742</v>
      </c>
      <c r="D17" s="99">
        <f t="shared" si="1"/>
        <v>44834</v>
      </c>
      <c r="E17" s="99">
        <f t="shared" si="1"/>
        <v>44926</v>
      </c>
      <c r="F17" s="99">
        <f t="shared" si="1"/>
        <v>45016</v>
      </c>
      <c r="G17" s="99">
        <f t="shared" si="1"/>
        <v>45107</v>
      </c>
      <c r="H17" s="99">
        <f t="shared" si="1"/>
        <v>45199</v>
      </c>
      <c r="I17" s="99">
        <f t="shared" si="1"/>
        <v>45291</v>
      </c>
      <c r="J17" s="158"/>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246" t="str">
        <f>HLOOKUP(INDICE!$F$2,Nombres!$C$3:$D$636,7,FALSE)</f>
        <v>España</v>
      </c>
      <c r="B18" s="41">
        <v>24797</v>
      </c>
      <c r="C18" s="41">
        <v>24995</v>
      </c>
      <c r="D18" s="41">
        <v>25676</v>
      </c>
      <c r="E18" s="41">
        <v>25945</v>
      </c>
      <c r="F18" s="41">
        <v>26380</v>
      </c>
      <c r="G18" s="41">
        <v>0</v>
      </c>
      <c r="H18" s="41">
        <v>0</v>
      </c>
      <c r="I18" s="41">
        <v>0</v>
      </c>
      <c r="J18" s="158"/>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46" t="str">
        <f>HLOOKUP(INDICE!$F$2,Nombres!$C$3:$D$636,11,FALSE)</f>
        <v>México</v>
      </c>
      <c r="B19" s="41">
        <v>41139</v>
      </c>
      <c r="C19" s="41">
        <v>41477</v>
      </c>
      <c r="D19" s="41">
        <v>42362</v>
      </c>
      <c r="E19" s="41">
        <v>43511</v>
      </c>
      <c r="F19" s="41">
        <v>44158</v>
      </c>
      <c r="G19" s="41">
        <v>0</v>
      </c>
      <c r="H19" s="41">
        <v>0</v>
      </c>
      <c r="I19" s="41">
        <v>0</v>
      </c>
      <c r="J19" s="115"/>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46" t="str">
        <f>HLOOKUP(INDICE!$F$2,Nombres!$C$3:$D$636,12,FALSE)</f>
        <v>Turquía </v>
      </c>
      <c r="B20" s="41">
        <v>21680</v>
      </c>
      <c r="C20" s="41">
        <v>21917</v>
      </c>
      <c r="D20" s="41">
        <v>21916</v>
      </c>
      <c r="E20" s="41">
        <v>21684</v>
      </c>
      <c r="F20" s="41">
        <v>21610</v>
      </c>
      <c r="G20" s="41">
        <v>0</v>
      </c>
      <c r="H20" s="41">
        <v>0</v>
      </c>
      <c r="I20" s="41">
        <v>0</v>
      </c>
      <c r="J20" s="115"/>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46" t="str">
        <f>HLOOKUP(INDICE!$F$2,Nombres!$C$3:$D$636,13,FALSE)</f>
        <v>América del Sur </v>
      </c>
      <c r="B21" s="41">
        <v>22472</v>
      </c>
      <c r="C21" s="41">
        <v>22771</v>
      </c>
      <c r="D21" s="41">
        <v>22994</v>
      </c>
      <c r="E21" s="41">
        <v>23149</v>
      </c>
      <c r="F21" s="41">
        <v>23361</v>
      </c>
      <c r="G21" s="41">
        <v>0</v>
      </c>
      <c r="H21" s="41">
        <v>0</v>
      </c>
      <c r="I21" s="41">
        <v>0</v>
      </c>
      <c r="J21" s="115"/>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155" t="str">
        <f>HLOOKUP(INDICE!$F$2,Nombres!$C$3:$D$636,14,FALSE)</f>
        <v>Argentina</v>
      </c>
      <c r="B22" s="44">
        <v>5847</v>
      </c>
      <c r="C22" s="44">
        <v>5815</v>
      </c>
      <c r="D22" s="44">
        <v>5849</v>
      </c>
      <c r="E22" s="44">
        <v>5869</v>
      </c>
      <c r="F22" s="44">
        <v>5916</v>
      </c>
      <c r="G22" s="44">
        <v>0</v>
      </c>
      <c r="H22" s="44">
        <v>0</v>
      </c>
      <c r="I22" s="44">
        <v>0</v>
      </c>
      <c r="J22" s="115"/>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155" t="str">
        <f>HLOOKUP(INDICE!$F$2,Nombres!$C$3:$D$636,15,FALSE)</f>
        <v>Chile</v>
      </c>
      <c r="B23" s="44">
        <v>722</v>
      </c>
      <c r="C23" s="44">
        <v>747</v>
      </c>
      <c r="D23" s="44">
        <v>779</v>
      </c>
      <c r="E23" s="44">
        <v>767</v>
      </c>
      <c r="F23" s="44">
        <v>784</v>
      </c>
      <c r="G23" s="44">
        <v>0</v>
      </c>
      <c r="H23" s="44">
        <v>0</v>
      </c>
      <c r="I23" s="44">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248" t="str">
        <f>HLOOKUP(INDICE!$F$2,Nombres!$C$3:$D$636,16,FALSE)</f>
        <v>Colombia</v>
      </c>
      <c r="B24" s="44">
        <v>6826</v>
      </c>
      <c r="C24" s="44">
        <v>6950</v>
      </c>
      <c r="D24" s="44">
        <v>6871</v>
      </c>
      <c r="E24" s="44">
        <v>6678</v>
      </c>
      <c r="F24" s="44">
        <v>6727</v>
      </c>
      <c r="G24" s="44">
        <v>0</v>
      </c>
      <c r="H24" s="44">
        <v>0</v>
      </c>
      <c r="I24" s="44">
        <v>0</v>
      </c>
      <c r="J24" s="54"/>
      <c r="K24" s="44"/>
      <c r="L24" s="115"/>
      <c r="M24" s="54"/>
      <c r="N24" s="26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48" t="str">
        <f>HLOOKUP(INDICE!$F$2,Nombres!$C$3:$D$636,17,FALSE)</f>
        <v>Perú</v>
      </c>
      <c r="B25" s="44">
        <v>6290</v>
      </c>
      <c r="C25" s="44">
        <v>6514</v>
      </c>
      <c r="D25" s="44">
        <v>6696</v>
      </c>
      <c r="E25" s="44">
        <v>6985</v>
      </c>
      <c r="F25" s="44">
        <v>7098</v>
      </c>
      <c r="G25" s="44">
        <v>0</v>
      </c>
      <c r="H25" s="44">
        <v>0</v>
      </c>
      <c r="I25" s="44">
        <v>0</v>
      </c>
      <c r="J25" s="54"/>
      <c r="K25" s="44"/>
      <c r="L25" s="115"/>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48" t="str">
        <f>HLOOKUP(INDICE!$F$2,Nombres!$C$3:$D$636,89,FALSE)</f>
        <v>Resto de América del Sur</v>
      </c>
      <c r="B26" s="44">
        <v>2787</v>
      </c>
      <c r="C26" s="44">
        <v>2745</v>
      </c>
      <c r="D26" s="44">
        <v>2799</v>
      </c>
      <c r="E26" s="44">
        <v>2850</v>
      </c>
      <c r="F26" s="44">
        <v>2836</v>
      </c>
      <c r="G26" s="44">
        <v>0</v>
      </c>
      <c r="H26" s="44">
        <v>0</v>
      </c>
      <c r="I26" s="44">
        <v>0</v>
      </c>
      <c r="J26" s="54"/>
      <c r="K26" s="44"/>
      <c r="L26" s="115"/>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46" t="str">
        <f>HLOOKUP(INDICE!$F$2,Nombres!$C$3:$D$636,279,FALSE)</f>
        <v>Resto de geografías</v>
      </c>
      <c r="B27" s="41">
        <v>1314</v>
      </c>
      <c r="C27" s="41">
        <v>1305</v>
      </c>
      <c r="D27" s="41">
        <v>1363</v>
      </c>
      <c r="E27" s="41">
        <v>1386</v>
      </c>
      <c r="F27" s="41">
        <v>1414</v>
      </c>
      <c r="G27" s="41">
        <v>0</v>
      </c>
      <c r="H27" s="41">
        <v>0</v>
      </c>
      <c r="I27" s="41">
        <v>0</v>
      </c>
      <c r="J27" s="54"/>
      <c r="K27" s="44"/>
      <c r="L27" s="115"/>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46" t="s">
        <v>5</v>
      </c>
      <c r="B28" s="41">
        <f aca="true" t="shared" si="2" ref="B28:I28">+SUM(B18:B20,B22:B27)</f>
        <v>111402</v>
      </c>
      <c r="C28" s="41">
        <f t="shared" si="2"/>
        <v>112465</v>
      </c>
      <c r="D28" s="41">
        <f t="shared" si="2"/>
        <v>114311</v>
      </c>
      <c r="E28" s="41">
        <f t="shared" si="2"/>
        <v>115675</v>
      </c>
      <c r="F28" s="41">
        <f t="shared" si="2"/>
        <v>116923</v>
      </c>
      <c r="G28" s="41">
        <f t="shared" si="2"/>
        <v>0</v>
      </c>
      <c r="H28" s="41">
        <f t="shared" si="2"/>
        <v>0</v>
      </c>
      <c r="I28" s="41">
        <f t="shared" si="2"/>
        <v>0</v>
      </c>
      <c r="J28" s="54"/>
      <c r="K28" s="44"/>
      <c r="L28" s="115"/>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156"/>
      <c r="B29" s="157">
        <v>0</v>
      </c>
      <c r="C29" s="157">
        <v>0</v>
      </c>
      <c r="D29" s="157">
        <v>0</v>
      </c>
      <c r="E29" s="157">
        <v>0</v>
      </c>
      <c r="F29" s="157">
        <v>0</v>
      </c>
      <c r="G29" s="157">
        <v>0</v>
      </c>
      <c r="H29" s="157">
        <v>0</v>
      </c>
      <c r="I29" s="157">
        <v>0</v>
      </c>
      <c r="J29" s="115"/>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156"/>
      <c r="B30" s="157"/>
      <c r="C30" s="157"/>
      <c r="D30" s="157"/>
      <c r="E30" s="157"/>
      <c r="F30" s="157"/>
      <c r="G30" s="157"/>
      <c r="H30" s="157"/>
      <c r="I30" s="157"/>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8">
      <c r="A31" s="245" t="str">
        <f>HLOOKUP(INDICE!$F$2,Nombres!$C$3:$D$636,125,FALSE)</f>
        <v>Cajeros automáticos</v>
      </c>
      <c r="B31" s="152"/>
      <c r="C31" s="152"/>
      <c r="D31" s="153"/>
      <c r="E31" s="153"/>
      <c r="F31" s="153"/>
      <c r="G31" s="153"/>
      <c r="H31" s="153"/>
      <c r="I31" s="153"/>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75">
      <c r="A32" s="141"/>
      <c r="B32" s="99">
        <f aca="true" t="shared" si="3" ref="B32:I32">+B$2</f>
        <v>44651</v>
      </c>
      <c r="C32" s="99">
        <f t="shared" si="3"/>
        <v>44742</v>
      </c>
      <c r="D32" s="99">
        <f t="shared" si="3"/>
        <v>44834</v>
      </c>
      <c r="E32" s="99">
        <f t="shared" si="3"/>
        <v>44926</v>
      </c>
      <c r="F32" s="99">
        <f t="shared" si="3"/>
        <v>45016</v>
      </c>
      <c r="G32" s="99">
        <f t="shared" si="3"/>
        <v>45107</v>
      </c>
      <c r="H32" s="99">
        <f t="shared" si="3"/>
        <v>45199</v>
      </c>
      <c r="I32" s="99">
        <f t="shared" si="3"/>
        <v>45291</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5">
      <c r="A33" s="246" t="str">
        <f>HLOOKUP(INDICE!$F$2,Nombres!$C$3:$D$636,7,FALSE)</f>
        <v>España</v>
      </c>
      <c r="B33" s="41">
        <v>4890</v>
      </c>
      <c r="C33" s="41">
        <v>4870</v>
      </c>
      <c r="D33" s="41">
        <v>4851</v>
      </c>
      <c r="E33" s="41">
        <v>4773</v>
      </c>
      <c r="F33" s="41">
        <v>4754</v>
      </c>
      <c r="G33" s="41">
        <v>0</v>
      </c>
      <c r="H33" s="41">
        <v>0</v>
      </c>
      <c r="I33" s="41">
        <v>0</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246" t="str">
        <f>HLOOKUP(INDICE!$F$2,Nombres!$C$3:$D$636,11,FALSE)</f>
        <v>México</v>
      </c>
      <c r="B34" s="41">
        <v>13558</v>
      </c>
      <c r="C34" s="41">
        <v>13672</v>
      </c>
      <c r="D34" s="41">
        <v>13783</v>
      </c>
      <c r="E34" s="41">
        <v>14019</v>
      </c>
      <c r="F34" s="41">
        <v>14160</v>
      </c>
      <c r="G34" s="41">
        <v>0</v>
      </c>
      <c r="H34" s="41">
        <v>0</v>
      </c>
      <c r="I34" s="41">
        <v>0</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46" t="str">
        <f>HLOOKUP(INDICE!$F$2,Nombres!$C$3:$D$636,12,FALSE)</f>
        <v>Turquía </v>
      </c>
      <c r="B35" s="41">
        <v>5606</v>
      </c>
      <c r="C35" s="41">
        <v>5632</v>
      </c>
      <c r="D35" s="41">
        <v>5651</v>
      </c>
      <c r="E35" s="41">
        <v>5659</v>
      </c>
      <c r="F35" s="41">
        <v>5606</v>
      </c>
      <c r="G35" s="41">
        <v>0</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46" t="str">
        <f>HLOOKUP(INDICE!$F$2,Nombres!$C$3:$D$636,13,FALSE)</f>
        <v>América del Sur </v>
      </c>
      <c r="B36" s="41">
        <v>5302</v>
      </c>
      <c r="C36" s="41">
        <v>5307</v>
      </c>
      <c r="D36" s="41">
        <v>5314</v>
      </c>
      <c r="E36" s="41">
        <v>5334</v>
      </c>
      <c r="F36" s="41">
        <v>5340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155" t="str">
        <f>HLOOKUP(INDICE!$F$2,Nombres!$C$3:$D$636,14,FALSE)</f>
        <v>Argentina</v>
      </c>
      <c r="B37" s="44">
        <v>1708</v>
      </c>
      <c r="C37" s="44">
        <v>1707</v>
      </c>
      <c r="D37" s="44">
        <v>1704</v>
      </c>
      <c r="E37" s="44">
        <v>1703</v>
      </c>
      <c r="F37" s="44">
        <v>1703</v>
      </c>
      <c r="G37" s="44">
        <v>0</v>
      </c>
      <c r="H37" s="44">
        <v>0</v>
      </c>
      <c r="I37" s="44">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155" t="str">
        <f>HLOOKUP(INDICE!$F$2,Nombres!$C$3:$D$636,15,FALSE)</f>
        <v>Chile</v>
      </c>
      <c r="B38" s="44">
        <v>0</v>
      </c>
      <c r="C38" s="44">
        <v>0</v>
      </c>
      <c r="D38" s="44">
        <v>0</v>
      </c>
      <c r="E38" s="44">
        <v>0</v>
      </c>
      <c r="F38" s="44">
        <v>0</v>
      </c>
      <c r="G38" s="44">
        <v>0</v>
      </c>
      <c r="H38" s="44">
        <v>0</v>
      </c>
      <c r="I38" s="44">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48" t="str">
        <f>HLOOKUP(INDICE!$F$2,Nombres!$C$3:$D$636,16,FALSE)</f>
        <v>Colombia</v>
      </c>
      <c r="B39" s="44">
        <v>1451</v>
      </c>
      <c r="C39" s="44">
        <v>1457</v>
      </c>
      <c r="D39" s="44">
        <v>1485</v>
      </c>
      <c r="E39" s="44">
        <v>1495</v>
      </c>
      <c r="F39" s="44">
        <v>1493</v>
      </c>
      <c r="G39" s="44">
        <v>0</v>
      </c>
      <c r="H39" s="44">
        <v>0</v>
      </c>
      <c r="I39" s="44">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248" t="str">
        <f>HLOOKUP(INDICE!$F$2,Nombres!$C$3:$D$636,17,FALSE)</f>
        <v>Perú</v>
      </c>
      <c r="B40" s="44">
        <v>1916</v>
      </c>
      <c r="C40" s="44">
        <v>1916</v>
      </c>
      <c r="D40" s="44">
        <v>1898</v>
      </c>
      <c r="E40" s="44">
        <v>1909</v>
      </c>
      <c r="F40" s="44">
        <v>1918</v>
      </c>
      <c r="G40" s="44">
        <v>0</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48" t="str">
        <f>HLOOKUP(INDICE!$F$2,Nombres!$C$3:$D$636,89,FALSE)</f>
        <v>Resto de América del Sur</v>
      </c>
      <c r="B41" s="44">
        <v>227</v>
      </c>
      <c r="C41" s="44">
        <v>227</v>
      </c>
      <c r="D41" s="44">
        <v>227</v>
      </c>
      <c r="E41" s="44">
        <v>227</v>
      </c>
      <c r="F41" s="44">
        <v>226</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46" t="str">
        <f>HLOOKUP(INDICE!$F$2,Nombres!$C$3:$D$636,279,FALSE)</f>
        <v>Resto de geografías</v>
      </c>
      <c r="B42" s="41">
        <v>23</v>
      </c>
      <c r="C42" s="41">
        <v>23</v>
      </c>
      <c r="D42" s="41">
        <v>22</v>
      </c>
      <c r="E42" s="41">
        <v>22</v>
      </c>
      <c r="F42" s="41">
        <v>22</v>
      </c>
      <c r="G42" s="41">
        <v>0</v>
      </c>
      <c r="H42" s="41">
        <v>0</v>
      </c>
      <c r="I42" s="41">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46" t="s">
        <v>5</v>
      </c>
      <c r="B43" s="41">
        <f aca="true" t="shared" si="4" ref="B43:I43">+SUM(B33:B35,B37:B42)</f>
        <v>29379</v>
      </c>
      <c r="C43" s="41">
        <f t="shared" si="4"/>
        <v>29504</v>
      </c>
      <c r="D43" s="41">
        <f t="shared" si="4"/>
        <v>29621</v>
      </c>
      <c r="E43" s="41">
        <f t="shared" si="4"/>
        <v>29807</v>
      </c>
      <c r="F43" s="41">
        <f t="shared" si="4"/>
        <v>29882</v>
      </c>
      <c r="G43" s="41">
        <f t="shared" si="4"/>
        <v>0</v>
      </c>
      <c r="H43" s="41">
        <f t="shared" si="4"/>
        <v>0</v>
      </c>
      <c r="I43" s="41">
        <f t="shared" si="4"/>
        <v>0</v>
      </c>
      <c r="J43" s="31"/>
      <c r="K43" s="31"/>
      <c r="L43" s="158"/>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97"/>
      <c r="B44" s="157">
        <v>0</v>
      </c>
      <c r="C44" s="157">
        <v>0</v>
      </c>
      <c r="D44" s="157">
        <v>0</v>
      </c>
      <c r="E44" s="157">
        <v>0</v>
      </c>
      <c r="F44" s="157">
        <v>0</v>
      </c>
      <c r="G44" s="157">
        <v>0</v>
      </c>
      <c r="H44" s="157">
        <v>0</v>
      </c>
      <c r="I44" s="157">
        <v>0</v>
      </c>
      <c r="J44" s="31"/>
      <c r="K44" s="31"/>
      <c r="L44" s="158"/>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49"/>
      <c r="B45" s="97"/>
      <c r="C45" s="97"/>
      <c r="D45" s="97"/>
      <c r="E45" s="97"/>
      <c r="F45" s="97"/>
      <c r="G45" s="97"/>
      <c r="H45" s="97"/>
      <c r="I45" s="97"/>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49"/>
      <c r="B46" s="97"/>
      <c r="C46" s="97"/>
      <c r="D46" s="97"/>
      <c r="E46" s="97"/>
      <c r="F46" s="97"/>
      <c r="G46" s="97"/>
      <c r="H46" s="97"/>
      <c r="I46" s="97"/>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7"/>
      <c r="B47" s="97"/>
      <c r="C47" s="97"/>
      <c r="D47" s="97"/>
      <c r="E47" s="97"/>
      <c r="F47" s="97"/>
      <c r="G47" s="97"/>
      <c r="H47" s="97"/>
      <c r="I47" s="97"/>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97"/>
      <c r="B48" s="97"/>
      <c r="C48" s="97"/>
      <c r="D48" s="97"/>
      <c r="E48" s="97"/>
      <c r="F48" s="97"/>
      <c r="G48" s="97"/>
      <c r="H48" s="97"/>
      <c r="I48" s="97"/>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97"/>
      <c r="B49" s="97"/>
      <c r="C49" s="97"/>
      <c r="D49" s="97"/>
      <c r="E49" s="97"/>
      <c r="F49" s="97"/>
      <c r="G49" s="97"/>
      <c r="H49" s="97"/>
      <c r="I49" s="97"/>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7"/>
      <c r="B50" s="97"/>
      <c r="C50" s="97"/>
      <c r="D50" s="97"/>
      <c r="E50" s="97"/>
      <c r="F50" s="97"/>
      <c r="G50" s="97"/>
      <c r="H50" s="97"/>
      <c r="I50" s="97"/>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7"/>
      <c r="B51" s="97"/>
      <c r="C51" s="97"/>
      <c r="D51" s="97"/>
      <c r="E51" s="97"/>
      <c r="F51" s="97"/>
      <c r="G51" s="97"/>
      <c r="H51" s="97"/>
      <c r="I51" s="97"/>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7"/>
      <c r="B52" s="97"/>
      <c r="C52" s="97"/>
      <c r="D52" s="97"/>
      <c r="E52" s="97"/>
      <c r="F52" s="97"/>
      <c r="G52" s="97"/>
      <c r="H52" s="97"/>
      <c r="I52" s="97"/>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7"/>
      <c r="B53" s="97"/>
      <c r="C53" s="97"/>
      <c r="D53" s="97"/>
      <c r="E53" s="97"/>
      <c r="F53" s="97"/>
      <c r="G53" s="97"/>
      <c r="H53" s="97"/>
      <c r="I53" s="97"/>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7"/>
      <c r="B54" s="97"/>
      <c r="C54" s="97"/>
      <c r="D54" s="97"/>
      <c r="E54" s="97"/>
      <c r="F54" s="97"/>
      <c r="G54" s="97"/>
      <c r="H54" s="97"/>
      <c r="I54" s="97"/>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7"/>
      <c r="B55" s="97"/>
      <c r="C55" s="97"/>
      <c r="D55" s="97"/>
      <c r="E55" s="97"/>
      <c r="F55" s="97"/>
      <c r="G55" s="97"/>
      <c r="H55" s="97"/>
      <c r="I55" s="97"/>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7"/>
      <c r="B56" s="97"/>
      <c r="C56" s="97"/>
      <c r="D56" s="97"/>
      <c r="E56" s="97"/>
      <c r="F56" s="97"/>
      <c r="G56" s="97"/>
      <c r="H56" s="97"/>
      <c r="I56" s="97"/>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7"/>
      <c r="B57" s="97"/>
      <c r="C57" s="97"/>
      <c r="D57" s="97"/>
      <c r="E57" s="97"/>
      <c r="F57" s="97"/>
      <c r="G57" s="97"/>
      <c r="H57" s="97"/>
      <c r="I57" s="97"/>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pans="1:9" s="31" customFormat="1" ht="15">
      <c r="A406"/>
      <c r="B406"/>
      <c r="C406"/>
      <c r="D406"/>
      <c r="E406"/>
      <c r="F406"/>
      <c r="G406"/>
      <c r="H406"/>
      <c r="I406"/>
    </row>
    <row r="407" spans="1:9" s="31" customFormat="1" ht="15">
      <c r="A407"/>
      <c r="B407"/>
      <c r="C407"/>
      <c r="D407"/>
      <c r="E407"/>
      <c r="F407"/>
      <c r="G407"/>
      <c r="H407"/>
      <c r="I407"/>
    </row>
    <row r="408" spans="1:9" s="31" customFormat="1" ht="15">
      <c r="A408"/>
      <c r="B408"/>
      <c r="C408"/>
      <c r="D408"/>
      <c r="E408"/>
      <c r="F408"/>
      <c r="G408"/>
      <c r="H408"/>
      <c r="I408"/>
    </row>
    <row r="997" ht="15">
      <c r="A997" t="s">
        <v>391</v>
      </c>
    </row>
  </sheetData>
  <sheetProtection/>
  <conditionalFormatting sqref="B14:B15">
    <cfRule type="cellIs" priority="6" dxfId="18" operator="notEqual">
      <formula>0</formula>
    </cfRule>
  </conditionalFormatting>
  <conditionalFormatting sqref="C14:C15">
    <cfRule type="cellIs" priority="5" dxfId="18" operator="notEqual">
      <formula>0</formula>
    </cfRule>
  </conditionalFormatting>
  <conditionalFormatting sqref="D14:D15">
    <cfRule type="cellIs" priority="4" dxfId="18" operator="notEqual">
      <formula>0</formula>
    </cfRule>
  </conditionalFormatting>
  <conditionalFormatting sqref="E14:I15">
    <cfRule type="cellIs" priority="3" dxfId="18" operator="notEqual">
      <formula>0</formula>
    </cfRule>
  </conditionalFormatting>
  <conditionalFormatting sqref="B29:I30">
    <cfRule type="cellIs" priority="2" dxfId="18" operator="notEqual">
      <formula>0</formula>
    </cfRule>
  </conditionalFormatting>
  <conditionalFormatting sqref="B44:I44">
    <cfRule type="cellIs" priority="1" dxfId="18"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I34" sqref="I34"/>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3" t="str">
        <f>HLOOKUP(INDICE!$F$2,Nombres!$C$3:$D$636,161,FALSE)</f>
        <v>Tipos de cambio</v>
      </c>
      <c r="B1" s="93"/>
      <c r="C1" s="94"/>
      <c r="D1" s="94"/>
      <c r="E1" s="94"/>
      <c r="F1" s="94"/>
      <c r="G1" s="94"/>
      <c r="H1" s="94"/>
      <c r="I1" s="94"/>
      <c r="J1" s="115"/>
      <c r="K1" s="95"/>
      <c r="L1" s="95"/>
      <c r="M1" s="95"/>
      <c r="N1" s="159"/>
      <c r="O1" s="159"/>
      <c r="P1" s="159"/>
      <c r="Q1" s="159"/>
      <c r="R1" s="159"/>
      <c r="S1" s="159"/>
      <c r="T1" s="159"/>
      <c r="U1" s="159"/>
      <c r="V1" s="159"/>
      <c r="W1" s="159"/>
    </row>
    <row r="2" spans="1:13" ht="15">
      <c r="A2" s="160" t="str">
        <f>HLOOKUP(INDICE!$F$2,Nombres!$C$3:$D$636,162,FALSE)</f>
        <v>(Expresados en divisa/euro)</v>
      </c>
      <c r="B2" s="160"/>
      <c r="C2" s="161"/>
      <c r="D2" s="161"/>
      <c r="E2" s="161"/>
      <c r="F2" s="161"/>
      <c r="G2" s="161"/>
      <c r="H2" s="161"/>
      <c r="I2" s="161"/>
      <c r="J2" s="115"/>
      <c r="K2" s="95"/>
      <c r="L2" s="95"/>
      <c r="M2" s="95"/>
    </row>
    <row r="3" spans="1:9" ht="19.5">
      <c r="A3" s="162"/>
      <c r="B3" s="162"/>
      <c r="C3" s="304" t="str">
        <f>HLOOKUP(INDICE!$F$2,Nombres!$C$3:$D$636,163,FALSE)</f>
        <v>Cambios finales (*)</v>
      </c>
      <c r="D3" s="304"/>
      <c r="E3" s="304"/>
      <c r="F3" s="163"/>
      <c r="G3" s="164"/>
      <c r="H3" s="304" t="str">
        <f>HLOOKUP(INDICE!$F$2,Nombres!$C$3:$D$636,164,FALSE)</f>
        <v>Cambios medios (**)</v>
      </c>
      <c r="I3" s="304"/>
    </row>
    <row r="4" spans="1:9" ht="15.75">
      <c r="A4" s="98"/>
      <c r="B4" s="98"/>
      <c r="C4" s="75"/>
      <c r="D4" s="165" t="str">
        <f>HLOOKUP(INDICE!$F$2,Nombres!$C$3:$D$636,165,FALSE)</f>
        <v>∆% sobre</v>
      </c>
      <c r="E4" s="165" t="str">
        <f>HLOOKUP(INDICE!$F$2,Nombres!$C$3:$D$636,165,FALSE)</f>
        <v>∆% sobre</v>
      </c>
      <c r="F4" s="163"/>
      <c r="G4" s="164"/>
      <c r="H4" s="166"/>
      <c r="I4" s="165" t="str">
        <f>HLOOKUP(INDICE!$F$2,Nombres!$C$3:$D$636,165,FALSE)</f>
        <v>∆% sobre</v>
      </c>
    </row>
    <row r="5" spans="1:9" ht="15.75">
      <c r="A5" s="98"/>
      <c r="B5" s="98"/>
      <c r="C5" s="167">
        <v>45016</v>
      </c>
      <c r="D5" s="167">
        <f>DATE(YEAR(C5),MONTH(C5)-12,DAY(C5))</f>
        <v>44651</v>
      </c>
      <c r="E5" s="167">
        <v>44926</v>
      </c>
      <c r="F5" s="168"/>
      <c r="G5" s="169"/>
      <c r="H5" s="167">
        <f>+C5</f>
        <v>45016</v>
      </c>
      <c r="I5" s="170">
        <f>+D5</f>
        <v>44651</v>
      </c>
    </row>
    <row r="6" spans="1:9" ht="15">
      <c r="A6" s="59" t="str">
        <f>HLOOKUP(INDICE!$F$2,Nombres!$C$3:$D$636,152,FALSE)</f>
        <v>Peso mexicano</v>
      </c>
      <c r="B6" s="59"/>
      <c r="C6" s="171">
        <v>19.639200000085957</v>
      </c>
      <c r="D6" s="172">
        <v>0.12480650943313898</v>
      </c>
      <c r="E6" s="172">
        <v>0.061957717213075636</v>
      </c>
      <c r="F6" s="173"/>
      <c r="G6" s="58"/>
      <c r="H6" s="171">
        <v>20.043120999812302</v>
      </c>
      <c r="I6" s="172">
        <v>0.14712040106763724</v>
      </c>
    </row>
    <row r="7" spans="1:9" ht="15">
      <c r="A7" s="59" t="str">
        <f>HLOOKUP(INDICE!$F$2,Nombres!$C$3:$D$636,153,FALSE)</f>
        <v>Dólar estadounidense</v>
      </c>
      <c r="B7" s="59"/>
      <c r="C7" s="171">
        <v>1.087500000000068</v>
      </c>
      <c r="D7" s="172">
        <v>0.0207816091951476</v>
      </c>
      <c r="E7" s="172">
        <v>-0.019218390804305208</v>
      </c>
      <c r="F7" s="141"/>
      <c r="G7" s="58"/>
      <c r="H7" s="171">
        <v>1.073006000000224</v>
      </c>
      <c r="I7" s="172">
        <v>0.045366009136989405</v>
      </c>
    </row>
    <row r="8" spans="1:9" ht="15">
      <c r="A8" s="59" t="str">
        <f>HLOOKUP(INDICE!$F$2,Nombres!$C$3:$D$636,154,FALSE)</f>
        <v>Peso argentino</v>
      </c>
      <c r="B8" s="269" t="s">
        <v>420</v>
      </c>
      <c r="C8" s="270">
        <v>226.8506510137298</v>
      </c>
      <c r="D8" s="172">
        <v>-0.457226027594245</v>
      </c>
      <c r="E8" s="172">
        <v>-0.16899333044917741</v>
      </c>
      <c r="F8" s="141"/>
      <c r="G8" s="58"/>
      <c r="H8" s="266" t="s">
        <v>413</v>
      </c>
      <c r="I8" s="266" t="s">
        <v>413</v>
      </c>
    </row>
    <row r="9" spans="1:9" ht="15">
      <c r="A9" s="59" t="str">
        <f>HLOOKUP(INDICE!$F$2,Nombres!$C$3:$D$636,155,FALSE)</f>
        <v>Peso chileno</v>
      </c>
      <c r="B9" s="59"/>
      <c r="C9" s="171">
        <v>858.3855001383974</v>
      </c>
      <c r="D9" s="172">
        <v>0.017988206677508556</v>
      </c>
      <c r="E9" s="172">
        <v>0.06799726474898748</v>
      </c>
      <c r="F9" s="141"/>
      <c r="G9" s="58"/>
      <c r="H9" s="171">
        <v>871.430493903833</v>
      </c>
      <c r="I9" s="172">
        <v>0.04166946924611392</v>
      </c>
    </row>
    <row r="10" spans="1:9" ht="15">
      <c r="A10" s="59" t="str">
        <f>HLOOKUP(INDICE!$F$2,Nombres!$C$3:$D$636,156,FALSE)</f>
        <v>Peso colombiano</v>
      </c>
      <c r="B10" s="59"/>
      <c r="C10" s="171">
        <v>5032.156131862901</v>
      </c>
      <c r="D10" s="172">
        <v>-0.1731533739278317</v>
      </c>
      <c r="E10" s="172">
        <v>0.019554875444051767</v>
      </c>
      <c r="F10" s="141"/>
      <c r="G10" s="58"/>
      <c r="H10" s="171">
        <v>5107.565899679499</v>
      </c>
      <c r="I10" s="172">
        <v>-0.14064136003514338</v>
      </c>
    </row>
    <row r="11" spans="1:9" ht="15">
      <c r="A11" s="59" t="str">
        <f>HLOOKUP(INDICE!$F$2,Nombres!$C$3:$D$636,157,FALSE)</f>
        <v>Sol peruano</v>
      </c>
      <c r="B11" s="59"/>
      <c r="C11" s="171">
        <v>4.0901959999957205</v>
      </c>
      <c r="D11" s="172">
        <v>0.006912871657703823</v>
      </c>
      <c r="E11" s="172">
        <v>-0.00805731559004752</v>
      </c>
      <c r="F11" s="141"/>
      <c r="G11" s="58"/>
      <c r="H11" s="171">
        <v>4.090168000000821</v>
      </c>
      <c r="I11" s="172">
        <v>0.04276963684611257</v>
      </c>
    </row>
    <row r="12" spans="1:9" ht="15">
      <c r="A12" s="59" t="str">
        <f>HLOOKUP(INDICE!$F$2,Nombres!$C$3:$D$636,158,FALSE)</f>
        <v>Lira turca</v>
      </c>
      <c r="B12" s="269" t="s">
        <v>420</v>
      </c>
      <c r="C12" s="171">
        <v>20.863199999916365</v>
      </c>
      <c r="D12" s="172">
        <v>-0.21956842669907317</v>
      </c>
      <c r="E12" s="172">
        <v>-0.043056673948436375</v>
      </c>
      <c r="F12" s="141"/>
      <c r="G12" s="58"/>
      <c r="H12" s="266" t="s">
        <v>413</v>
      </c>
      <c r="I12" s="266" t="s">
        <v>413</v>
      </c>
    </row>
    <row r="13" spans="1:9" ht="15">
      <c r="A13" s="97"/>
      <c r="B13" s="97"/>
      <c r="D13" s="174"/>
      <c r="E13" s="174"/>
      <c r="F13" s="174"/>
      <c r="G13" s="174"/>
      <c r="H13" s="97"/>
      <c r="I13" s="97"/>
    </row>
    <row r="14" spans="1:9" ht="15">
      <c r="A14" s="97"/>
      <c r="B14" s="97"/>
      <c r="C14" s="175"/>
      <c r="D14" s="174"/>
      <c r="E14" s="174"/>
      <c r="F14" s="174"/>
      <c r="G14" s="174"/>
      <c r="H14" s="97"/>
      <c r="I14" s="97"/>
    </row>
    <row r="15" spans="1:9" ht="15">
      <c r="A15" s="114" t="str">
        <f>HLOOKUP(INDICE!$F$2,Nombres!$C$3:$D$636,159,FALSE)</f>
        <v>(*) Utilizados en el cálculo de euros constantes de los datos de balance y actividad</v>
      </c>
      <c r="B15" s="114"/>
      <c r="C15" s="125"/>
      <c r="D15" s="125"/>
      <c r="E15" s="125"/>
      <c r="F15" s="174"/>
      <c r="G15" s="174"/>
      <c r="H15" s="97"/>
      <c r="I15" s="97"/>
    </row>
    <row r="16" spans="1:9" ht="15">
      <c r="A16" s="114" t="str">
        <f>HLOOKUP(INDICE!$F$2,Nombres!$C$3:$D$636,160,FALSE)</f>
        <v>(**) Utilizados en el cálculo de euros constantes de los datos de resultados</v>
      </c>
      <c r="B16" s="114"/>
      <c r="C16" s="125"/>
      <c r="D16" s="125"/>
      <c r="E16" s="125"/>
      <c r="F16" s="174"/>
      <c r="G16" s="174"/>
      <c r="H16" s="97"/>
      <c r="I16" s="97"/>
    </row>
    <row r="17" ht="15">
      <c r="A17" s="114" t="str">
        <f>HLOOKUP(INDICE!$F$2,Nombres!$C$3:$D$636,313,FALSE)</f>
        <v>(1) En aplicación de la NIC 21 "Efectos de las variaciones en los tipos de cambio de la moneda extranjera", la conversión de la cuenta de resultados de Turquía y Argentina se hace empleando el tipo de cambio final.</v>
      </c>
    </row>
    <row r="20" ht="15">
      <c r="D20" s="174"/>
    </row>
    <row r="25" spans="3:5" ht="15">
      <c r="C25" s="307"/>
      <c r="D25" s="307"/>
      <c r="E25" s="307"/>
    </row>
    <row r="27" ht="15">
      <c r="E27" s="307"/>
    </row>
    <row r="1000" ht="15">
      <c r="A1000" t="s">
        <v>391</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K16" sqref="K16"/>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2022-2023</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36"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297"/>
      <c r="D37" s="297"/>
      <c r="E37" s="297"/>
      <c r="F37" s="297"/>
      <c r="G37" s="297"/>
      <c r="H37" s="297"/>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72"/>
    </row>
    <row r="1003" ht="23.25" customHeight="1">
      <c r="A1003" s="1" t="s">
        <v>391</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77" customWidth="1"/>
    <col min="2" max="6" width="10.7109375" style="177" customWidth="1"/>
    <col min="7" max="9" width="10.7109375" style="177" hidden="1" customWidth="1"/>
    <col min="10" max="13" width="11.57421875" style="177" customWidth="1"/>
    <col min="14" max="255" width="11.421875" style="177" customWidth="1"/>
  </cols>
  <sheetData>
    <row r="1" spans="1:9" ht="19.5">
      <c r="A1" s="93" t="str">
        <f>HLOOKUP(INDICE!$F$2,Nombres!$C$3:$D$636,171,FALSE)</f>
        <v>Diferenciales de la clientela (*)</v>
      </c>
      <c r="B1" s="176"/>
      <c r="C1" s="176"/>
      <c r="D1" s="176"/>
      <c r="E1" s="176"/>
      <c r="F1" s="176"/>
      <c r="G1" s="250"/>
      <c r="H1" s="250"/>
      <c r="I1" s="250"/>
    </row>
    <row r="2" spans="1:9" ht="19.5">
      <c r="A2" s="178" t="str">
        <f>HLOOKUP(INDICE!$F$2,Nombres!$C$3:$D$636,172,FALSE)</f>
        <v>(Porcentaje)</v>
      </c>
      <c r="B2" s="179"/>
      <c r="C2" s="179"/>
      <c r="D2" s="179"/>
      <c r="E2" s="179"/>
      <c r="F2" s="179"/>
      <c r="G2" s="180"/>
      <c r="H2" s="180"/>
      <c r="I2" s="180"/>
    </row>
    <row r="3" spans="1:9" ht="15.75">
      <c r="A3" s="180"/>
      <c r="B3" s="302">
        <f>+España!B6</f>
        <v>2022</v>
      </c>
      <c r="C3" s="302"/>
      <c r="D3" s="302"/>
      <c r="E3" s="302"/>
      <c r="F3" s="302">
        <f>+España!F6</f>
        <v>2023</v>
      </c>
      <c r="G3" s="302"/>
      <c r="H3" s="302"/>
      <c r="I3" s="302"/>
    </row>
    <row r="4" spans="1:9" ht="15.75">
      <c r="A4" s="141"/>
      <c r="B4" s="181" t="str">
        <f>HLOOKUP(INDICE!$F$2,Nombres!$C$3:$D$636,167,FALSE)</f>
        <v>1er Trim.</v>
      </c>
      <c r="C4" s="181" t="str">
        <f>HLOOKUP(INDICE!$F$2,Nombres!$C$3:$D$636,168,FALSE)</f>
        <v>2º Trim.</v>
      </c>
      <c r="D4" s="181" t="str">
        <f>HLOOKUP(INDICE!$F$2,Nombres!$C$3:$D$636,169,FALSE)</f>
        <v>3er Trim.</v>
      </c>
      <c r="E4" s="181" t="str">
        <f>HLOOKUP(INDICE!$F$2,Nombres!$C$3:$D$636,170,FALSE)</f>
        <v>4º Trim.</v>
      </c>
      <c r="F4" s="181" t="str">
        <f>HLOOKUP(INDICE!$F$2,Nombres!$C$3:$D$636,167,FALSE)</f>
        <v>1er Trim.</v>
      </c>
      <c r="G4" s="181" t="str">
        <f>HLOOKUP(INDICE!$F$2,Nombres!$C$3:$D$636,168,FALSE)</f>
        <v>2º Trim.</v>
      </c>
      <c r="H4" s="181" t="str">
        <f>HLOOKUP(INDICE!$F$2,Nombres!$C$3:$D$636,169,FALSE)</f>
        <v>3er Trim.</v>
      </c>
      <c r="I4" s="181" t="str">
        <f>HLOOKUP(INDICE!$F$2,Nombres!$C$3:$D$636,170,FALSE)</f>
        <v>4º Trim.</v>
      </c>
    </row>
    <row r="5" spans="1:9" ht="15">
      <c r="A5" s="141"/>
      <c r="B5" s="100"/>
      <c r="C5" s="100"/>
      <c r="D5" s="100"/>
      <c r="E5" s="100"/>
      <c r="F5" s="100"/>
      <c r="G5" s="180"/>
      <c r="H5" s="180"/>
      <c r="I5" s="180"/>
    </row>
    <row r="6" spans="1:30" ht="15">
      <c r="A6" s="182" t="str">
        <f>HLOOKUP(INDICE!$F$2,Nombres!$C$3:$D$636,173,FALSE)</f>
        <v>Rentabilidad de los prestamos</v>
      </c>
      <c r="B6" s="183">
        <v>0.017100471610330813</v>
      </c>
      <c r="C6" s="183">
        <v>0.0174293725158536</v>
      </c>
      <c r="D6" s="183">
        <v>0.01930581484305085</v>
      </c>
      <c r="E6" s="183">
        <v>0.02415878095690275</v>
      </c>
      <c r="F6" s="183">
        <v>0.031132326439448202</v>
      </c>
      <c r="G6" s="183">
        <v>0</v>
      </c>
      <c r="H6" s="183">
        <v>0</v>
      </c>
      <c r="I6" s="183">
        <v>0</v>
      </c>
      <c r="J6" s="291"/>
      <c r="K6" s="283"/>
      <c r="L6" s="283"/>
      <c r="M6" s="283"/>
      <c r="O6" s="184"/>
      <c r="P6" s="184"/>
      <c r="Q6" s="184"/>
      <c r="R6" s="184"/>
      <c r="W6" s="184"/>
      <c r="X6" s="184"/>
      <c r="Y6" s="184"/>
      <c r="Z6" s="184"/>
      <c r="AA6" s="184"/>
      <c r="AB6" s="184"/>
      <c r="AC6" s="184"/>
      <c r="AD6" s="184"/>
    </row>
    <row r="7" spans="1:30" ht="15">
      <c r="A7" s="182" t="str">
        <f>HLOOKUP(INDICE!$F$2,Nombres!$C$3:$D$636,174,FALSE)</f>
        <v>Coste de los depositos</v>
      </c>
      <c r="B7" s="183">
        <v>-4.121262380617316E-05</v>
      </c>
      <c r="C7" s="183">
        <v>-0.000272600466156169</v>
      </c>
      <c r="D7" s="183">
        <v>-0.0007976495198733596</v>
      </c>
      <c r="E7" s="183">
        <v>-0.0020647080722731425</v>
      </c>
      <c r="F7" s="183">
        <v>-0.0036731455852270474</v>
      </c>
      <c r="G7" s="183">
        <v>0</v>
      </c>
      <c r="H7" s="183">
        <v>0</v>
      </c>
      <c r="I7" s="183">
        <v>0</v>
      </c>
      <c r="J7" s="291"/>
      <c r="K7" s="283"/>
      <c r="L7" s="283"/>
      <c r="M7" s="283"/>
      <c r="O7" s="184"/>
      <c r="P7" s="184"/>
      <c r="Q7" s="184"/>
      <c r="R7" s="184"/>
      <c r="W7" s="184"/>
      <c r="X7" s="184"/>
      <c r="Y7" s="184"/>
      <c r="Z7" s="184"/>
      <c r="AA7" s="184"/>
      <c r="AB7" s="184"/>
      <c r="AC7" s="184"/>
      <c r="AD7" s="184"/>
    </row>
    <row r="8" spans="1:30" ht="15">
      <c r="A8" s="185" t="str">
        <f>HLOOKUP(INDICE!$F$2,Nombres!$C$3:$D$636,175,FALSE)</f>
        <v>Actividad bancaria en España</v>
      </c>
      <c r="B8" s="186">
        <v>0.01705925898652464</v>
      </c>
      <c r="C8" s="186">
        <v>0.01715677204969743</v>
      </c>
      <c r="D8" s="186">
        <v>0.01850816532317749</v>
      </c>
      <c r="E8" s="186">
        <v>0.022094072884629605</v>
      </c>
      <c r="F8" s="186">
        <v>0.027459180854221155</v>
      </c>
      <c r="G8" s="186">
        <v>0</v>
      </c>
      <c r="H8" s="186">
        <v>0</v>
      </c>
      <c r="I8" s="186">
        <v>0</v>
      </c>
      <c r="J8" s="291"/>
      <c r="K8" s="283"/>
      <c r="L8" s="283"/>
      <c r="M8" s="283"/>
      <c r="O8" s="184"/>
      <c r="P8" s="184"/>
      <c r="Q8" s="184"/>
      <c r="R8" s="184"/>
      <c r="W8" s="184"/>
      <c r="X8" s="184"/>
      <c r="Y8" s="184"/>
      <c r="Z8" s="184"/>
      <c r="AA8" s="184"/>
      <c r="AB8" s="184"/>
      <c r="AC8" s="184"/>
      <c r="AD8" s="184"/>
    </row>
    <row r="9" spans="1:30" ht="15">
      <c r="A9" s="141"/>
      <c r="B9" s="187"/>
      <c r="C9" s="187"/>
      <c r="D9" s="187"/>
      <c r="E9" s="187"/>
      <c r="F9" s="187"/>
      <c r="G9" s="187"/>
      <c r="H9" s="187"/>
      <c r="I9" s="187"/>
      <c r="O9" s="184"/>
      <c r="P9" s="184"/>
      <c r="Q9" s="184"/>
      <c r="R9" s="184"/>
      <c r="W9" s="184"/>
      <c r="X9" s="184"/>
      <c r="Y9" s="184"/>
      <c r="Z9" s="184"/>
      <c r="AA9" s="184"/>
      <c r="AB9" s="184"/>
      <c r="AC9" s="184"/>
      <c r="AD9" s="184"/>
    </row>
    <row r="10" spans="1:30" ht="15">
      <c r="A10" s="182" t="str">
        <f>HLOOKUP(INDICE!$F$2,Nombres!$C$3:$D$636,173,FALSE)</f>
        <v>Rentabilidad de los prestamos</v>
      </c>
      <c r="B10" s="183">
        <v>0.12791434793621811</v>
      </c>
      <c r="C10" s="183">
        <v>0.1330929827154512</v>
      </c>
      <c r="D10" s="183">
        <v>0.13943192250933265</v>
      </c>
      <c r="E10" s="183">
        <v>0.14564164157963333</v>
      </c>
      <c r="F10" s="183">
        <v>0.15209351695188247</v>
      </c>
      <c r="G10" s="183">
        <v>0</v>
      </c>
      <c r="H10" s="183">
        <v>0</v>
      </c>
      <c r="I10" s="183">
        <v>0</v>
      </c>
      <c r="J10" s="291"/>
      <c r="K10" s="283"/>
      <c r="L10" s="283"/>
      <c r="M10" s="283"/>
      <c r="O10" s="184"/>
      <c r="P10" s="184"/>
      <c r="Q10" s="184"/>
      <c r="R10" s="184"/>
      <c r="W10" s="184"/>
      <c r="X10" s="184"/>
      <c r="Y10" s="184"/>
      <c r="Z10" s="184"/>
      <c r="AA10" s="184"/>
      <c r="AB10" s="184"/>
      <c r="AC10" s="184"/>
      <c r="AD10" s="184"/>
    </row>
    <row r="11" spans="1:30" ht="15">
      <c r="A11" s="182" t="str">
        <f>HLOOKUP(INDICE!$F$2,Nombres!$C$3:$D$636,174,FALSE)</f>
        <v>Coste de los depositos</v>
      </c>
      <c r="B11" s="183">
        <v>-0.01424762298179531</v>
      </c>
      <c r="C11" s="183">
        <v>-0.016749668729310278</v>
      </c>
      <c r="D11" s="183">
        <v>-0.020255336759463217</v>
      </c>
      <c r="E11" s="183">
        <v>-0.024024176866180122</v>
      </c>
      <c r="F11" s="183">
        <v>-0.02650338884121314</v>
      </c>
      <c r="G11" s="183">
        <v>0</v>
      </c>
      <c r="H11" s="183">
        <v>0</v>
      </c>
      <c r="I11" s="183">
        <v>0</v>
      </c>
      <c r="J11" s="291"/>
      <c r="K11" s="283"/>
      <c r="L11" s="283"/>
      <c r="M11" s="283"/>
      <c r="O11" s="184"/>
      <c r="P11" s="184"/>
      <c r="Q11" s="184"/>
      <c r="R11" s="184"/>
      <c r="W11" s="184"/>
      <c r="X11" s="184"/>
      <c r="Y11" s="184"/>
      <c r="Z11" s="184"/>
      <c r="AA11" s="184"/>
      <c r="AB11" s="184"/>
      <c r="AC11" s="184"/>
      <c r="AD11" s="184"/>
    </row>
    <row r="12" spans="1:30" ht="15">
      <c r="A12" s="185" t="str">
        <f>HLOOKUP(INDICE!$F$2,Nombres!$C$3:$D$636,177,FALSE)</f>
        <v>México pesos mexicanos</v>
      </c>
      <c r="B12" s="186">
        <v>0.1136667249544228</v>
      </c>
      <c r="C12" s="186">
        <v>0.11634331398614092</v>
      </c>
      <c r="D12" s="186">
        <v>0.11917658574986943</v>
      </c>
      <c r="E12" s="186">
        <v>0.12161746471345321</v>
      </c>
      <c r="F12" s="186">
        <v>0.12559012811066933</v>
      </c>
      <c r="G12" s="186">
        <v>0</v>
      </c>
      <c r="H12" s="186">
        <v>0</v>
      </c>
      <c r="I12" s="186">
        <v>0</v>
      </c>
      <c r="J12" s="291"/>
      <c r="K12" s="283"/>
      <c r="L12" s="283"/>
      <c r="M12" s="283"/>
      <c r="O12" s="184"/>
      <c r="P12" s="184"/>
      <c r="Q12" s="184"/>
      <c r="R12" s="184"/>
      <c r="W12" s="184"/>
      <c r="X12" s="184"/>
      <c r="Y12" s="184"/>
      <c r="Z12" s="184"/>
      <c r="AA12" s="184"/>
      <c r="AB12" s="184"/>
      <c r="AC12" s="184"/>
      <c r="AD12" s="184"/>
    </row>
    <row r="13" spans="1:30" ht="15">
      <c r="A13" s="141"/>
      <c r="B13" s="187"/>
      <c r="C13" s="187"/>
      <c r="D13" s="187"/>
      <c r="E13" s="187"/>
      <c r="F13" s="187"/>
      <c r="G13" s="187"/>
      <c r="H13" s="187"/>
      <c r="I13" s="187"/>
      <c r="O13" s="184"/>
      <c r="P13" s="184"/>
      <c r="Q13" s="184"/>
      <c r="R13" s="184"/>
      <c r="W13" s="184"/>
      <c r="X13" s="184"/>
      <c r="Y13" s="184"/>
      <c r="Z13" s="184"/>
      <c r="AA13" s="184"/>
      <c r="AB13" s="184"/>
      <c r="AC13" s="184"/>
      <c r="AD13" s="184"/>
    </row>
    <row r="14" spans="1:30" ht="15">
      <c r="A14" s="182" t="str">
        <f>HLOOKUP(INDICE!$F$2,Nombres!$C$3:$D$636,173,FALSE)</f>
        <v>Rentabilidad de los prestamos</v>
      </c>
      <c r="B14" s="187">
        <v>0.02964671805327852</v>
      </c>
      <c r="C14" s="187">
        <v>0.033828643923429984</v>
      </c>
      <c r="D14" s="187">
        <v>0.043159377584270804</v>
      </c>
      <c r="E14" s="187">
        <v>0.05495092569225726</v>
      </c>
      <c r="F14" s="187">
        <v>0.0621420496812019</v>
      </c>
      <c r="G14" s="187">
        <v>0</v>
      </c>
      <c r="H14" s="187">
        <v>0</v>
      </c>
      <c r="I14" s="187">
        <v>0</v>
      </c>
      <c r="O14" s="184"/>
      <c r="P14" s="184"/>
      <c r="Q14" s="184"/>
      <c r="R14" s="184"/>
      <c r="W14" s="184"/>
      <c r="X14" s="184"/>
      <c r="Y14" s="184"/>
      <c r="Z14" s="184"/>
      <c r="AA14" s="184"/>
      <c r="AB14" s="184"/>
      <c r="AC14" s="184"/>
      <c r="AD14" s="184"/>
    </row>
    <row r="15" spans="1:30" ht="15">
      <c r="A15" s="182" t="str">
        <f>HLOOKUP(INDICE!$F$2,Nombres!$C$3:$D$636,174,FALSE)</f>
        <v>Coste de los depositos</v>
      </c>
      <c r="B15" s="187">
        <v>-0.0002230968022216293</v>
      </c>
      <c r="C15" s="187">
        <v>-0.00045790858676113456</v>
      </c>
      <c r="D15" s="187">
        <v>-0.0011847510341060005</v>
      </c>
      <c r="E15" s="187">
        <v>-0.001940562447972334</v>
      </c>
      <c r="F15" s="187">
        <v>-0.0025692484868020836</v>
      </c>
      <c r="G15" s="187">
        <v>0</v>
      </c>
      <c r="H15" s="187">
        <v>0</v>
      </c>
      <c r="I15" s="187">
        <v>0</v>
      </c>
      <c r="O15" s="184"/>
      <c r="P15" s="184"/>
      <c r="Q15" s="184"/>
      <c r="R15" s="184"/>
      <c r="W15" s="184"/>
      <c r="X15" s="184"/>
      <c r="Y15" s="184"/>
      <c r="Z15" s="184"/>
      <c r="AA15" s="184"/>
      <c r="AB15" s="184"/>
      <c r="AC15" s="184"/>
      <c r="AD15" s="184"/>
    </row>
    <row r="16" spans="1:30" ht="15">
      <c r="A16" s="185" t="str">
        <f>HLOOKUP(INDICE!$F$2,Nombres!$C$3:$D$636,178,FALSE)</f>
        <v>México moneda extranjera</v>
      </c>
      <c r="B16" s="188">
        <v>0.02942362125105689</v>
      </c>
      <c r="C16" s="188">
        <v>0.03337073533666885</v>
      </c>
      <c r="D16" s="188">
        <v>0.041974626550164804</v>
      </c>
      <c r="E16" s="188">
        <v>0.05301036324428493</v>
      </c>
      <c r="F16" s="188">
        <v>0.05957280119439982</v>
      </c>
      <c r="G16" s="188">
        <v>0</v>
      </c>
      <c r="H16" s="188">
        <v>0</v>
      </c>
      <c r="I16" s="188">
        <v>0</v>
      </c>
      <c r="O16" s="184"/>
      <c r="P16" s="184"/>
      <c r="Q16" s="184"/>
      <c r="R16" s="184"/>
      <c r="W16" s="184"/>
      <c r="X16" s="184"/>
      <c r="Y16" s="184"/>
      <c r="Z16" s="184"/>
      <c r="AA16" s="184"/>
      <c r="AB16" s="184"/>
      <c r="AC16" s="184"/>
      <c r="AD16" s="184"/>
    </row>
    <row r="17" spans="1:30" ht="15">
      <c r="A17" s="141"/>
      <c r="B17" s="187"/>
      <c r="C17" s="187"/>
      <c r="D17" s="187"/>
      <c r="E17" s="187"/>
      <c r="F17" s="187"/>
      <c r="G17" s="187"/>
      <c r="H17" s="187"/>
      <c r="I17" s="187"/>
      <c r="O17" s="184"/>
      <c r="P17" s="184"/>
      <c r="Q17" s="184"/>
      <c r="R17" s="184"/>
      <c r="W17" s="184"/>
      <c r="X17" s="184"/>
      <c r="Y17" s="184"/>
      <c r="Z17" s="184"/>
      <c r="AA17" s="184"/>
      <c r="AB17" s="184"/>
      <c r="AC17" s="184"/>
      <c r="AD17" s="184"/>
    </row>
    <row r="18" spans="1:30" ht="15">
      <c r="A18" s="182" t="str">
        <f>HLOOKUP(INDICE!$F$2,Nombres!$C$3:$D$636,173,FALSE)</f>
        <v>Rentabilidad de los prestamos</v>
      </c>
      <c r="B18" s="183">
        <v>0.17752588226577382</v>
      </c>
      <c r="C18" s="183">
        <v>0.18604372616273018</v>
      </c>
      <c r="D18" s="183">
        <v>0.20919401221665745</v>
      </c>
      <c r="E18" s="183">
        <v>0.1867422390999467</v>
      </c>
      <c r="F18" s="183">
        <v>0.16838204415435995</v>
      </c>
      <c r="G18" s="183">
        <v>0</v>
      </c>
      <c r="H18" s="183">
        <v>0</v>
      </c>
      <c r="I18" s="183">
        <v>0</v>
      </c>
      <c r="J18" s="291"/>
      <c r="K18" s="283"/>
      <c r="L18" s="283"/>
      <c r="M18" s="283"/>
      <c r="O18" s="184"/>
      <c r="P18" s="184"/>
      <c r="Q18" s="184"/>
      <c r="R18" s="184"/>
      <c r="W18" s="184"/>
      <c r="X18" s="184"/>
      <c r="Y18" s="184"/>
      <c r="Z18" s="184"/>
      <c r="AA18" s="184"/>
      <c r="AB18" s="184"/>
      <c r="AC18" s="184"/>
      <c r="AD18" s="184"/>
    </row>
    <row r="19" spans="1:30" ht="15">
      <c r="A19" s="182" t="str">
        <f>HLOOKUP(INDICE!$F$2,Nombres!$C$3:$D$636,174,FALSE)</f>
        <v>Coste de los depositos</v>
      </c>
      <c r="B19" s="183">
        <v>-0.12530942865274364</v>
      </c>
      <c r="C19" s="183">
        <v>-0.11952532280685943</v>
      </c>
      <c r="D19" s="183">
        <v>-0.11919949601023076</v>
      </c>
      <c r="E19" s="183">
        <v>-0.11489173751727455</v>
      </c>
      <c r="F19" s="183">
        <v>-0.12922265266581584</v>
      </c>
      <c r="G19" s="183">
        <v>0</v>
      </c>
      <c r="H19" s="183">
        <v>0</v>
      </c>
      <c r="I19" s="183">
        <v>0</v>
      </c>
      <c r="J19" s="291"/>
      <c r="K19" s="283"/>
      <c r="L19" s="283"/>
      <c r="M19" s="283"/>
      <c r="O19" s="184"/>
      <c r="P19" s="184"/>
      <c r="Q19" s="184"/>
      <c r="R19" s="184"/>
      <c r="W19" s="184"/>
      <c r="X19" s="184"/>
      <c r="Y19" s="184"/>
      <c r="Z19" s="184"/>
      <c r="AA19" s="184"/>
      <c r="AB19" s="184"/>
      <c r="AC19" s="184"/>
      <c r="AD19" s="184"/>
    </row>
    <row r="20" spans="1:30" ht="15">
      <c r="A20" s="185" t="str">
        <f>HLOOKUP(INDICE!$F$2,Nombres!$C$3:$D$636,179,FALSE)</f>
        <v>Turquía liras turcas</v>
      </c>
      <c r="B20" s="186">
        <v>0.05221645361303018</v>
      </c>
      <c r="C20" s="186">
        <v>0.06651840335587075</v>
      </c>
      <c r="D20" s="186">
        <v>0.08999451620642669</v>
      </c>
      <c r="E20" s="186">
        <v>0.07185050158267214</v>
      </c>
      <c r="F20" s="186">
        <v>0.03915939148854411</v>
      </c>
      <c r="G20" s="186">
        <v>0</v>
      </c>
      <c r="H20" s="186">
        <v>0</v>
      </c>
      <c r="I20" s="186">
        <v>0</v>
      </c>
      <c r="J20" s="291"/>
      <c r="K20" s="283"/>
      <c r="L20" s="283"/>
      <c r="M20" s="283"/>
      <c r="O20" s="184"/>
      <c r="P20" s="184"/>
      <c r="Q20" s="184"/>
      <c r="R20" s="184"/>
      <c r="W20" s="184"/>
      <c r="X20" s="184"/>
      <c r="Y20" s="184"/>
      <c r="Z20" s="184"/>
      <c r="AA20" s="184"/>
      <c r="AB20" s="184"/>
      <c r="AC20" s="184"/>
      <c r="AD20" s="184"/>
    </row>
    <row r="21" spans="1:30" ht="15">
      <c r="A21" s="185"/>
      <c r="B21" s="186"/>
      <c r="C21" s="186"/>
      <c r="D21" s="186"/>
      <c r="E21" s="186"/>
      <c r="F21" s="186"/>
      <c r="G21" s="186"/>
      <c r="H21" s="186"/>
      <c r="I21" s="186"/>
      <c r="J21" s="291"/>
      <c r="K21" s="283"/>
      <c r="L21" s="283"/>
      <c r="M21" s="283"/>
      <c r="O21" s="184"/>
      <c r="P21" s="184"/>
      <c r="Q21" s="184"/>
      <c r="R21" s="184"/>
      <c r="W21" s="184"/>
      <c r="X21" s="184"/>
      <c r="Y21" s="184"/>
      <c r="Z21" s="184"/>
      <c r="AA21" s="184"/>
      <c r="AB21" s="184"/>
      <c r="AC21" s="184"/>
      <c r="AD21" s="184"/>
    </row>
    <row r="22" spans="1:30" ht="15">
      <c r="A22" s="182" t="str">
        <f>HLOOKUP(INDICE!$F$2,Nombres!$C$3:$D$636,173,FALSE)</f>
        <v>Rentabilidad de los prestamos</v>
      </c>
      <c r="B22" s="189">
        <v>0.051878005521567495</v>
      </c>
      <c r="C22" s="189">
        <v>0.06017340203625279</v>
      </c>
      <c r="D22" s="189">
        <v>0.0710309839601613</v>
      </c>
      <c r="E22" s="189">
        <v>0.07979526521593448</v>
      </c>
      <c r="F22" s="189">
        <v>0.08582757964408358</v>
      </c>
      <c r="G22" s="189">
        <v>0</v>
      </c>
      <c r="H22" s="189">
        <v>0</v>
      </c>
      <c r="I22" s="189">
        <v>0</v>
      </c>
      <c r="J22" s="291"/>
      <c r="K22" s="283"/>
      <c r="L22" s="283"/>
      <c r="M22" s="283"/>
      <c r="O22" s="184"/>
      <c r="P22" s="184"/>
      <c r="Q22" s="184"/>
      <c r="R22" s="184"/>
      <c r="W22" s="184"/>
      <c r="X22" s="184"/>
      <c r="Y22" s="184"/>
      <c r="Z22" s="184"/>
      <c r="AA22" s="184"/>
      <c r="AB22" s="184"/>
      <c r="AC22" s="184"/>
      <c r="AD22" s="184"/>
    </row>
    <row r="23" spans="1:30" ht="15">
      <c r="A23" s="182" t="str">
        <f>HLOOKUP(INDICE!$F$2,Nombres!$C$3:$D$636,174,FALSE)</f>
        <v>Coste de los depositos</v>
      </c>
      <c r="B23" s="189">
        <v>-0.0020077497649421522</v>
      </c>
      <c r="C23" s="189">
        <v>-0.0030379782769070812</v>
      </c>
      <c r="D23" s="189">
        <v>-0.005924188647877249</v>
      </c>
      <c r="E23" s="189">
        <v>-0.004923538097256944</v>
      </c>
      <c r="F23" s="189">
        <v>-0.003113921508916749</v>
      </c>
      <c r="G23" s="189">
        <v>0</v>
      </c>
      <c r="H23" s="189">
        <v>0</v>
      </c>
      <c r="I23" s="189">
        <v>0</v>
      </c>
      <c r="J23" s="291"/>
      <c r="K23" s="283"/>
      <c r="L23" s="283"/>
      <c r="M23" s="283"/>
      <c r="O23" s="184"/>
      <c r="P23" s="184"/>
      <c r="Q23" s="184"/>
      <c r="R23" s="184"/>
      <c r="W23" s="184"/>
      <c r="X23" s="184"/>
      <c r="Y23" s="184"/>
      <c r="Z23" s="184"/>
      <c r="AA23" s="184"/>
      <c r="AB23" s="184"/>
      <c r="AC23" s="184"/>
      <c r="AD23" s="184"/>
    </row>
    <row r="24" spans="1:30" ht="15">
      <c r="A24" s="185" t="str">
        <f>HLOOKUP(INDICE!$F$2,Nombres!$C$3:$D$636,180,FALSE)</f>
        <v>Turquía moneda extranjera</v>
      </c>
      <c r="B24" s="186">
        <v>0.04987025575662534</v>
      </c>
      <c r="C24" s="186">
        <v>0.05713542375934571</v>
      </c>
      <c r="D24" s="186">
        <v>0.06510679531228405</v>
      </c>
      <c r="E24" s="186">
        <v>0.07487172711867754</v>
      </c>
      <c r="F24" s="186">
        <v>0.08271365813516683</v>
      </c>
      <c r="G24" s="186">
        <v>0</v>
      </c>
      <c r="H24" s="186">
        <v>0</v>
      </c>
      <c r="I24" s="186">
        <v>0</v>
      </c>
      <c r="J24" s="291"/>
      <c r="K24" s="283"/>
      <c r="L24" s="283"/>
      <c r="M24" s="283"/>
      <c r="O24" s="184"/>
      <c r="P24" s="184"/>
      <c r="Q24" s="184"/>
      <c r="R24" s="184"/>
      <c r="W24" s="184"/>
      <c r="X24" s="184"/>
      <c r="Y24" s="184"/>
      <c r="Z24" s="184"/>
      <c r="AA24" s="184"/>
      <c r="AB24" s="184"/>
      <c r="AC24" s="184"/>
      <c r="AD24" s="184"/>
    </row>
    <row r="25" spans="1:30" ht="15">
      <c r="A25" s="141"/>
      <c r="B25" s="187"/>
      <c r="C25" s="187"/>
      <c r="D25" s="187"/>
      <c r="E25" s="187"/>
      <c r="F25" s="187"/>
      <c r="G25" s="187"/>
      <c r="H25" s="187"/>
      <c r="I25" s="187"/>
      <c r="O25" s="184"/>
      <c r="P25" s="184"/>
      <c r="Q25" s="184"/>
      <c r="R25" s="184"/>
      <c r="W25" s="184"/>
      <c r="X25" s="184"/>
      <c r="Y25" s="184"/>
      <c r="Z25" s="184"/>
      <c r="AA25" s="184"/>
      <c r="AB25" s="184"/>
      <c r="AC25" s="184"/>
      <c r="AD25" s="184"/>
    </row>
    <row r="26" spans="1:30" ht="15">
      <c r="A26" s="182" t="str">
        <f>HLOOKUP(INDICE!$F$2,Nombres!$C$3:$D$636,173,FALSE)</f>
        <v>Rentabilidad de los prestamos</v>
      </c>
      <c r="B26" s="183">
        <v>0.2973933995524442</v>
      </c>
      <c r="C26" s="183">
        <v>0.33132658218614175</v>
      </c>
      <c r="D26" s="183">
        <v>0.3898487710954352</v>
      </c>
      <c r="E26" s="183">
        <v>0.45825587723950134</v>
      </c>
      <c r="F26" s="183">
        <v>0.49968580319204314</v>
      </c>
      <c r="G26" s="183">
        <v>0</v>
      </c>
      <c r="H26" s="183">
        <v>0</v>
      </c>
      <c r="I26" s="183">
        <v>0</v>
      </c>
      <c r="J26" s="291"/>
      <c r="K26" s="283"/>
      <c r="L26" s="283"/>
      <c r="M26" s="283"/>
      <c r="O26" s="184"/>
      <c r="P26" s="184"/>
      <c r="Q26" s="184"/>
      <c r="R26" s="184"/>
      <c r="W26" s="184"/>
      <c r="X26" s="184"/>
      <c r="Y26" s="184"/>
      <c r="Z26" s="184"/>
      <c r="AA26" s="184"/>
      <c r="AB26" s="184"/>
      <c r="AC26" s="184"/>
      <c r="AD26" s="184"/>
    </row>
    <row r="27" spans="1:30" ht="15">
      <c r="A27" s="182" t="str">
        <f>HLOOKUP(INDICE!$F$2,Nombres!$C$3:$D$636,174,FALSE)</f>
        <v>Coste de los depositos</v>
      </c>
      <c r="B27" s="183">
        <v>-0.14988952400084696</v>
      </c>
      <c r="C27" s="183">
        <v>-0.19459625926706398</v>
      </c>
      <c r="D27" s="183">
        <v>-0.25283613980743225</v>
      </c>
      <c r="E27" s="183">
        <v>-0.30693616527794026</v>
      </c>
      <c r="F27" s="183">
        <v>-0.3127239735382609</v>
      </c>
      <c r="G27" s="183">
        <v>0</v>
      </c>
      <c r="H27" s="183">
        <v>0</v>
      </c>
      <c r="I27" s="183">
        <v>0</v>
      </c>
      <c r="J27" s="291"/>
      <c r="K27" s="283"/>
      <c r="L27" s="283"/>
      <c r="M27" s="283"/>
      <c r="O27" s="184"/>
      <c r="P27" s="184"/>
      <c r="Q27" s="184"/>
      <c r="R27" s="184"/>
      <c r="W27" s="184"/>
      <c r="X27" s="184"/>
      <c r="Y27" s="184"/>
      <c r="Z27" s="184"/>
      <c r="AA27" s="184"/>
      <c r="AB27" s="184"/>
      <c r="AC27" s="184"/>
      <c r="AD27" s="184"/>
    </row>
    <row r="28" spans="1:30" ht="15">
      <c r="A28" s="185" t="str">
        <f>HLOOKUP(INDICE!$F$2,Nombres!$C$3:$D$636,181,FALSE)</f>
        <v>Argentina</v>
      </c>
      <c r="B28" s="190">
        <v>0.14750387555159725</v>
      </c>
      <c r="C28" s="190">
        <v>0.13673032291907777</v>
      </c>
      <c r="D28" s="190">
        <v>0.13701263128800295</v>
      </c>
      <c r="E28" s="190">
        <v>0.15131971196156108</v>
      </c>
      <c r="F28" s="190">
        <v>0.18696182965378222</v>
      </c>
      <c r="G28" s="190">
        <v>0</v>
      </c>
      <c r="H28" s="190">
        <v>0</v>
      </c>
      <c r="I28" s="190">
        <v>0</v>
      </c>
      <c r="J28" s="291"/>
      <c r="K28" s="283"/>
      <c r="L28" s="283"/>
      <c r="M28" s="283"/>
      <c r="O28" s="184"/>
      <c r="P28" s="184"/>
      <c r="Q28" s="184"/>
      <c r="R28" s="184"/>
      <c r="W28" s="184"/>
      <c r="X28" s="184"/>
      <c r="Y28" s="184"/>
      <c r="Z28" s="184"/>
      <c r="AA28" s="184"/>
      <c r="AB28" s="184"/>
      <c r="AC28" s="184"/>
      <c r="AD28" s="184"/>
    </row>
    <row r="29" spans="1:30" ht="15">
      <c r="A29" s="141"/>
      <c r="B29" s="187"/>
      <c r="C29" s="187"/>
      <c r="D29" s="187"/>
      <c r="E29" s="187"/>
      <c r="F29" s="187"/>
      <c r="G29" s="187"/>
      <c r="H29" s="187"/>
      <c r="I29" s="187"/>
      <c r="O29" s="184"/>
      <c r="P29" s="184"/>
      <c r="Q29" s="184"/>
      <c r="R29" s="184"/>
      <c r="W29" s="184"/>
      <c r="X29" s="184"/>
      <c r="Y29" s="184"/>
      <c r="Z29" s="184"/>
      <c r="AA29" s="184"/>
      <c r="AB29" s="184"/>
      <c r="AC29" s="184"/>
      <c r="AD29" s="184"/>
    </row>
    <row r="30" spans="1:30" ht="15">
      <c r="A30" s="182" t="str">
        <f>HLOOKUP(INDICE!$F$2,Nombres!$C$3:$D$636,173,FALSE)</f>
        <v>Rentabilidad de los prestamos</v>
      </c>
      <c r="B30" s="183">
        <v>0.08900064858658696</v>
      </c>
      <c r="C30" s="183">
        <v>0.09630849130574694</v>
      </c>
      <c r="D30" s="183">
        <v>0.10607812340548976</v>
      </c>
      <c r="E30" s="183">
        <v>0.11859395232300568</v>
      </c>
      <c r="F30" s="183">
        <v>0.12763442490573437</v>
      </c>
      <c r="G30" s="183">
        <v>0</v>
      </c>
      <c r="H30" s="183">
        <v>0</v>
      </c>
      <c r="I30" s="183">
        <v>0</v>
      </c>
      <c r="J30" s="291"/>
      <c r="K30" s="283"/>
      <c r="L30" s="283"/>
      <c r="M30" s="283"/>
      <c r="O30" s="184"/>
      <c r="P30" s="184"/>
      <c r="Q30" s="184"/>
      <c r="R30" s="184"/>
      <c r="W30" s="184"/>
      <c r="X30" s="184"/>
      <c r="Y30" s="184"/>
      <c r="Z30" s="184"/>
      <c r="AA30" s="184"/>
      <c r="AB30" s="184"/>
      <c r="AC30" s="184"/>
      <c r="AD30" s="184"/>
    </row>
    <row r="31" spans="1:30" ht="15">
      <c r="A31" s="182" t="str">
        <f>HLOOKUP(INDICE!$F$2,Nombres!$C$3:$D$636,174,FALSE)</f>
        <v>Coste de los depositos</v>
      </c>
      <c r="B31" s="183">
        <v>-0.027742387054646944</v>
      </c>
      <c r="C31" s="183">
        <v>-0.038729047049828116</v>
      </c>
      <c r="D31" s="183">
        <v>-0.05369069967905554</v>
      </c>
      <c r="E31" s="183">
        <v>-0.0706086014466819</v>
      </c>
      <c r="F31" s="183">
        <v>-0.08735199272587707</v>
      </c>
      <c r="G31" s="183">
        <v>0</v>
      </c>
      <c r="H31" s="183">
        <v>0</v>
      </c>
      <c r="I31" s="183">
        <v>0</v>
      </c>
      <c r="J31" s="291"/>
      <c r="K31" s="283"/>
      <c r="L31" s="283"/>
      <c r="M31" s="283"/>
      <c r="O31" s="184"/>
      <c r="P31" s="184"/>
      <c r="Q31" s="184"/>
      <c r="R31" s="184"/>
      <c r="W31" s="184"/>
      <c r="X31" s="184"/>
      <c r="Y31" s="184"/>
      <c r="Z31" s="184"/>
      <c r="AA31" s="184"/>
      <c r="AB31" s="184"/>
      <c r="AC31" s="184"/>
      <c r="AD31" s="184"/>
    </row>
    <row r="32" spans="1:30" ht="15">
      <c r="A32" s="185" t="str">
        <f>HLOOKUP(INDICE!$F$2,Nombres!$C$3:$D$636,182,FALSE)</f>
        <v>Colombia</v>
      </c>
      <c r="B32" s="186">
        <v>0.061258261531940014</v>
      </c>
      <c r="C32" s="186">
        <v>0.05757944425591882</v>
      </c>
      <c r="D32" s="186">
        <v>0.05238742372643422</v>
      </c>
      <c r="E32" s="186">
        <v>0.047985350876323773</v>
      </c>
      <c r="F32" s="186">
        <v>0.0402824321798573</v>
      </c>
      <c r="G32" s="186">
        <v>0</v>
      </c>
      <c r="H32" s="186">
        <v>0</v>
      </c>
      <c r="I32" s="186">
        <v>0</v>
      </c>
      <c r="J32" s="291"/>
      <c r="K32" s="283"/>
      <c r="L32" s="283"/>
      <c r="M32" s="283"/>
      <c r="O32" s="184"/>
      <c r="P32" s="184"/>
      <c r="Q32" s="184"/>
      <c r="R32" s="184"/>
      <c r="W32" s="184"/>
      <c r="X32" s="184"/>
      <c r="Y32" s="184"/>
      <c r="Z32" s="184"/>
      <c r="AA32" s="184"/>
      <c r="AB32" s="184"/>
      <c r="AC32" s="184"/>
      <c r="AD32" s="184"/>
    </row>
    <row r="33" spans="1:30" ht="15">
      <c r="A33" s="141"/>
      <c r="B33" s="187"/>
      <c r="C33" s="187"/>
      <c r="D33" s="187"/>
      <c r="E33" s="187"/>
      <c r="F33" s="187"/>
      <c r="G33" s="187"/>
      <c r="H33" s="187"/>
      <c r="I33" s="187"/>
      <c r="O33" s="184"/>
      <c r="P33" s="184"/>
      <c r="Q33" s="184"/>
      <c r="R33" s="184"/>
      <c r="W33" s="184"/>
      <c r="X33" s="184"/>
      <c r="Y33" s="184"/>
      <c r="Z33" s="184"/>
      <c r="AA33" s="184"/>
      <c r="AB33" s="184"/>
      <c r="AC33" s="184"/>
      <c r="AD33" s="184"/>
    </row>
    <row r="34" spans="1:30" ht="15">
      <c r="A34" s="182" t="str">
        <f>HLOOKUP(INDICE!$F$2,Nombres!$C$3:$D$636,173,FALSE)</f>
        <v>Rentabilidad de los prestamos</v>
      </c>
      <c r="B34" s="183">
        <v>0.05709508322320697</v>
      </c>
      <c r="C34" s="183">
        <v>0.06476962967352312</v>
      </c>
      <c r="D34" s="183">
        <v>0.07120892765189817</v>
      </c>
      <c r="E34" s="183">
        <v>0.0785218535938365</v>
      </c>
      <c r="F34" s="183">
        <v>0.08383020372065754</v>
      </c>
      <c r="G34" s="183">
        <v>0</v>
      </c>
      <c r="H34" s="183">
        <v>0</v>
      </c>
      <c r="I34" s="183">
        <v>0</v>
      </c>
      <c r="J34" s="291"/>
      <c r="K34" s="283"/>
      <c r="L34" s="283"/>
      <c r="M34" s="283"/>
      <c r="O34" s="184"/>
      <c r="P34" s="184"/>
      <c r="Q34" s="184"/>
      <c r="R34" s="184"/>
      <c r="W34" s="184"/>
      <c r="X34" s="184"/>
      <c r="Y34" s="184"/>
      <c r="Z34" s="184"/>
      <c r="AA34" s="184"/>
      <c r="AB34" s="184"/>
      <c r="AC34" s="184"/>
      <c r="AD34" s="184"/>
    </row>
    <row r="35" spans="1:30" ht="15">
      <c r="A35" s="182" t="str">
        <f>HLOOKUP(INDICE!$F$2,Nombres!$C$3:$D$636,174,FALSE)</f>
        <v>Coste de los depositos</v>
      </c>
      <c r="B35" s="183">
        <v>-0.0038206178808957826</v>
      </c>
      <c r="C35" s="183">
        <v>-0.00757246120615373</v>
      </c>
      <c r="D35" s="183">
        <v>-0.012329661745719983</v>
      </c>
      <c r="E35" s="183">
        <v>-0.016907766678212612</v>
      </c>
      <c r="F35" s="183">
        <v>-0.021545869642462998</v>
      </c>
      <c r="G35" s="183">
        <v>0</v>
      </c>
      <c r="H35" s="183">
        <v>0</v>
      </c>
      <c r="I35" s="183">
        <v>0</v>
      </c>
      <c r="J35" s="291"/>
      <c r="K35" s="283"/>
      <c r="L35" s="283"/>
      <c r="M35" s="283"/>
      <c r="O35" s="184"/>
      <c r="P35" s="184"/>
      <c r="Q35" s="184"/>
      <c r="R35" s="184"/>
      <c r="W35" s="184"/>
      <c r="X35" s="184"/>
      <c r="Y35" s="184"/>
      <c r="Z35" s="184"/>
      <c r="AA35" s="184"/>
      <c r="AB35" s="184"/>
      <c r="AC35" s="184"/>
      <c r="AD35" s="184"/>
    </row>
    <row r="36" spans="1:30" ht="15">
      <c r="A36" s="185" t="str">
        <f>HLOOKUP(INDICE!$F$2,Nombres!$C$3:$D$636,183,FALSE)</f>
        <v>Perú</v>
      </c>
      <c r="B36" s="186">
        <v>0.053274465342311186</v>
      </c>
      <c r="C36" s="186">
        <v>0.05719716846736939</v>
      </c>
      <c r="D36" s="186">
        <v>0.05887926590617818</v>
      </c>
      <c r="E36" s="186">
        <v>0.06161408691562388</v>
      </c>
      <c r="F36" s="186">
        <v>0.062284334078194545</v>
      </c>
      <c r="G36" s="186">
        <v>0</v>
      </c>
      <c r="H36" s="186">
        <v>0</v>
      </c>
      <c r="I36" s="186">
        <v>0</v>
      </c>
      <c r="J36" s="291"/>
      <c r="K36" s="283"/>
      <c r="L36" s="283"/>
      <c r="M36" s="283"/>
      <c r="O36" s="184"/>
      <c r="P36" s="184"/>
      <c r="Q36" s="184"/>
      <c r="R36" s="184"/>
      <c r="W36" s="184"/>
      <c r="X36" s="184"/>
      <c r="Y36" s="184"/>
      <c r="Z36" s="184"/>
      <c r="AA36" s="184"/>
      <c r="AB36" s="184"/>
      <c r="AC36" s="184"/>
      <c r="AD36" s="184"/>
    </row>
    <row r="37" spans="1:30" ht="15">
      <c r="A37" s="141"/>
      <c r="B37" s="187"/>
      <c r="C37" s="187"/>
      <c r="D37" s="187"/>
      <c r="E37" s="187"/>
      <c r="F37" s="187"/>
      <c r="G37" s="187"/>
      <c r="H37" s="187"/>
      <c r="I37" s="187"/>
      <c r="O37" s="184"/>
      <c r="P37" s="184"/>
      <c r="Q37" s="184"/>
      <c r="R37" s="184"/>
      <c r="W37" s="184"/>
      <c r="X37" s="184"/>
      <c r="Y37" s="184"/>
      <c r="Z37" s="184"/>
      <c r="AA37" s="184"/>
      <c r="AB37" s="184"/>
      <c r="AC37" s="184"/>
      <c r="AD37" s="184"/>
    </row>
    <row r="38" spans="1:30" ht="15">
      <c r="A38" s="191" t="str">
        <f>HLOOKUP(INDICE!$F$2,Nombres!$C$3:$D$636,184,FALSE)</f>
        <v>(*) Diferencia entre el rendimiento de los préstamos y el coste de los depósitos de los clientes.</v>
      </c>
      <c r="B38" s="180"/>
      <c r="C38" s="180"/>
      <c r="D38" s="180"/>
      <c r="E38" s="180"/>
      <c r="F38" s="303"/>
      <c r="G38" s="303"/>
      <c r="H38" s="180"/>
      <c r="I38" s="180"/>
      <c r="O38" s="184"/>
      <c r="P38" s="184"/>
      <c r="Q38" s="184"/>
      <c r="R38" s="184"/>
      <c r="W38" s="184"/>
      <c r="X38" s="184"/>
      <c r="Y38" s="184"/>
      <c r="Z38" s="184"/>
      <c r="AA38" s="184"/>
      <c r="AB38" s="184"/>
      <c r="AC38" s="184"/>
      <c r="AD38" s="184"/>
    </row>
    <row r="39" spans="1:30" ht="15">
      <c r="A39" s="191"/>
      <c r="B39" s="180"/>
      <c r="C39" s="180"/>
      <c r="D39" s="180"/>
      <c r="E39" s="180"/>
      <c r="F39" s="180"/>
      <c r="G39" s="271"/>
      <c r="H39" s="180"/>
      <c r="I39" s="180"/>
      <c r="O39" s="184"/>
      <c r="P39" s="184"/>
      <c r="Q39" s="184"/>
      <c r="R39" s="184"/>
      <c r="W39" s="184"/>
      <c r="X39" s="184"/>
      <c r="Y39" s="184"/>
      <c r="Z39" s="184"/>
      <c r="AA39" s="184"/>
      <c r="AB39" s="184"/>
      <c r="AC39" s="184"/>
      <c r="AD39" s="184"/>
    </row>
    <row r="40" spans="1:30" ht="15">
      <c r="A40" s="191"/>
      <c r="O40" s="184"/>
      <c r="P40" s="184"/>
      <c r="Q40" s="184"/>
      <c r="R40" s="184"/>
      <c r="W40" s="184"/>
      <c r="X40" s="184"/>
      <c r="Y40" s="184"/>
      <c r="Z40" s="184"/>
      <c r="AA40" s="184"/>
      <c r="AB40" s="184"/>
      <c r="AC40" s="184"/>
      <c r="AD40" s="184"/>
    </row>
    <row r="41" spans="15:18" ht="15">
      <c r="O41" s="184"/>
      <c r="P41" s="184"/>
      <c r="Q41" s="184"/>
      <c r="R41" s="184"/>
    </row>
    <row r="996" ht="15">
      <c r="A996" t="s">
        <v>391</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hidden="1" customWidth="1"/>
    <col min="10" max="10" width="11.421875" style="0" customWidth="1"/>
    <col min="11" max="12" width="14.7109375" style="0" bestFit="1" customWidth="1"/>
  </cols>
  <sheetData>
    <row r="1" spans="1:9" ht="18">
      <c r="A1" s="93" t="str">
        <f>HLOOKUP(INDICE!$F$2,Nombres!$C$3:$D$636,88,FALSE)</f>
        <v>Activos ponderados por riesgo. Desglose por áreas de negocio y principales países</v>
      </c>
      <c r="B1" s="152"/>
      <c r="C1" s="152"/>
      <c r="D1" s="153"/>
      <c r="E1" s="153"/>
      <c r="F1" s="153"/>
      <c r="G1" s="153"/>
      <c r="H1" s="153"/>
      <c r="I1" s="153"/>
    </row>
    <row r="2" spans="1:9" ht="15">
      <c r="A2" s="160" t="str">
        <f>HLOOKUP(INDICE!$F$2,Nombres!$C$3:$D$636,32,FALSE)</f>
        <v>(Millones de euros)</v>
      </c>
      <c r="B2" s="58"/>
      <c r="C2" s="58"/>
      <c r="D2" s="192"/>
      <c r="E2" s="192"/>
      <c r="F2" s="192"/>
      <c r="G2" s="192"/>
      <c r="H2" s="192"/>
      <c r="I2" s="192"/>
    </row>
    <row r="3" spans="1:9" ht="15">
      <c r="A3" s="193"/>
      <c r="B3" s="58"/>
      <c r="C3" s="58"/>
      <c r="D3" s="156"/>
      <c r="E3" s="156"/>
      <c r="F3" s="156"/>
      <c r="G3" s="156"/>
      <c r="H3" s="156"/>
      <c r="I3" s="156"/>
    </row>
    <row r="4" spans="1:9" ht="15.75" customHeight="1">
      <c r="A4" s="194"/>
      <c r="B4" s="301" t="str">
        <f>HLOOKUP(INDICE!$F$2,Nombres!$C$3:$D$636,222,FALSE)</f>
        <v>CRD IV fully loaded</v>
      </c>
      <c r="C4" s="301"/>
      <c r="D4" s="301"/>
      <c r="E4" s="301"/>
      <c r="F4" s="301"/>
      <c r="G4" s="301"/>
      <c r="H4" s="301"/>
      <c r="I4" s="301"/>
    </row>
    <row r="5" spans="1:11" ht="15.75">
      <c r="A5" s="194"/>
      <c r="B5" s="195">
        <f>+España!B32</f>
        <v>44651</v>
      </c>
      <c r="C5" s="195">
        <f>+España!C32</f>
        <v>44742</v>
      </c>
      <c r="D5" s="195">
        <f>+España!D32</f>
        <v>44834</v>
      </c>
      <c r="E5" s="195">
        <f>+España!E32</f>
        <v>44926</v>
      </c>
      <c r="F5" s="195">
        <f>+España!F32</f>
        <v>45016</v>
      </c>
      <c r="G5" s="195">
        <f>+España!G32</f>
        <v>45107</v>
      </c>
      <c r="H5" s="195">
        <f>+España!H32</f>
        <v>45199</v>
      </c>
      <c r="I5" s="195">
        <f>+España!I32</f>
        <v>45291</v>
      </c>
      <c r="K5" s="196"/>
    </row>
    <row r="6" spans="1:12" ht="15">
      <c r="A6" s="102" t="str">
        <f>HLOOKUP(INDICE!$F$2,Nombres!$C$3:$D$636,3,FALSE)</f>
        <v>Grupo BBVA</v>
      </c>
      <c r="B6" s="197">
        <v>316131.47295895</v>
      </c>
      <c r="C6" s="197">
        <v>330641.82100000005</v>
      </c>
      <c r="D6" s="197">
        <v>341448.01499999</v>
      </c>
      <c r="E6" s="197">
        <v>336884.35499267</v>
      </c>
      <c r="F6" s="197">
        <v>348598.409</v>
      </c>
      <c r="G6" s="197">
        <v>0</v>
      </c>
      <c r="H6" s="197">
        <v>0</v>
      </c>
      <c r="I6" s="197">
        <v>0</v>
      </c>
      <c r="K6" s="198"/>
      <c r="L6" s="199"/>
    </row>
    <row r="7" spans="1:12" ht="15">
      <c r="A7" s="59" t="str">
        <f>HLOOKUP(INDICE!$F$2,Nombres!$C$3:$D$636,7,FALSE)</f>
        <v>España</v>
      </c>
      <c r="B7" s="44">
        <v>109623.29636667999</v>
      </c>
      <c r="C7" s="44">
        <v>108912.58709538999</v>
      </c>
      <c r="D7" s="44">
        <v>108732.79225467</v>
      </c>
      <c r="E7" s="44">
        <v>114474.12433892998</v>
      </c>
      <c r="F7" s="44">
        <v>116550.06024192001</v>
      </c>
      <c r="G7" s="44">
        <v>0</v>
      </c>
      <c r="H7" s="44">
        <v>0</v>
      </c>
      <c r="I7" s="44">
        <v>0</v>
      </c>
      <c r="K7" s="198"/>
      <c r="L7" s="199"/>
    </row>
    <row r="8" spans="1:12" ht="15">
      <c r="A8" s="59" t="str">
        <f>HLOOKUP(INDICE!$F$2,Nombres!$C$3:$D$636,11,FALSE)</f>
        <v>México</v>
      </c>
      <c r="B8" s="44">
        <v>67626.26018723001</v>
      </c>
      <c r="C8" s="44">
        <v>73868.81118761</v>
      </c>
      <c r="D8" s="44">
        <v>80491.30159789001</v>
      </c>
      <c r="E8" s="44">
        <v>71738.04201058</v>
      </c>
      <c r="F8" s="44">
        <v>78316.13399999</v>
      </c>
      <c r="G8" s="44">
        <v>0</v>
      </c>
      <c r="H8" s="44">
        <v>0</v>
      </c>
      <c r="I8" s="44">
        <v>0</v>
      </c>
      <c r="K8" s="198"/>
      <c r="L8" s="199"/>
    </row>
    <row r="9" spans="1:12" ht="15">
      <c r="A9" s="59" t="str">
        <f>HLOOKUP(INDICE!$F$2,Nombres!$C$3:$D$636,12,FALSE)</f>
        <v>Turquía </v>
      </c>
      <c r="B9" s="44">
        <v>49589.47993845</v>
      </c>
      <c r="C9" s="44">
        <v>51055.00159606</v>
      </c>
      <c r="D9" s="44">
        <v>53434.99958917</v>
      </c>
      <c r="E9" s="44">
        <v>56275.034989190004</v>
      </c>
      <c r="F9" s="44">
        <v>58683.382999999994</v>
      </c>
      <c r="G9" s="44">
        <v>0</v>
      </c>
      <c r="H9" s="44">
        <v>0</v>
      </c>
      <c r="I9" s="44">
        <v>0</v>
      </c>
      <c r="K9" s="198"/>
      <c r="L9" s="199"/>
    </row>
    <row r="10" spans="1:12" ht="15">
      <c r="A10" s="59" t="str">
        <f>HLOOKUP(INDICE!$F$2,Nombres!$C$3:$D$636,13,FALSE)</f>
        <v>América del Sur </v>
      </c>
      <c r="B10" s="44">
        <f aca="true" t="shared" si="0" ref="B10:I10">+B11+B12+B13+B14+B15</f>
        <v>46330.37929296999</v>
      </c>
      <c r="C10" s="44">
        <f t="shared" si="0"/>
        <v>49641.27427763</v>
      </c>
      <c r="D10" s="44">
        <f t="shared" si="0"/>
        <v>51484.10021608</v>
      </c>
      <c r="E10" s="44">
        <f t="shared" si="0"/>
        <v>46833.807000659996</v>
      </c>
      <c r="F10" s="44">
        <f t="shared" si="0"/>
        <v>47340.59299999999</v>
      </c>
      <c r="G10" s="44">
        <f t="shared" si="0"/>
        <v>0</v>
      </c>
      <c r="H10" s="44">
        <f t="shared" si="0"/>
        <v>0</v>
      </c>
      <c r="I10" s="44">
        <f t="shared" si="0"/>
        <v>0</v>
      </c>
      <c r="K10" s="198"/>
      <c r="L10" s="199"/>
    </row>
    <row r="11" spans="1:12" ht="15">
      <c r="A11" s="200" t="str">
        <f>HLOOKUP(INDICE!$F$2,Nombres!$C$3:$D$636,14,FALSE)</f>
        <v>Argentina</v>
      </c>
      <c r="B11" s="44">
        <v>6766.69729061</v>
      </c>
      <c r="C11" s="44">
        <v>7343.945000000001</v>
      </c>
      <c r="D11" s="44">
        <v>7574.14834403</v>
      </c>
      <c r="E11" s="44">
        <v>8088.9169983599995</v>
      </c>
      <c r="F11" s="44">
        <v>7910.191</v>
      </c>
      <c r="G11" s="44">
        <v>0</v>
      </c>
      <c r="H11" s="44">
        <v>0</v>
      </c>
      <c r="I11" s="44">
        <v>0</v>
      </c>
      <c r="K11" s="198"/>
      <c r="L11" s="199"/>
    </row>
    <row r="12" spans="1:12" ht="15">
      <c r="A12" s="200" t="str">
        <f>HLOOKUP(INDICE!$F$2,Nombres!$C$3:$D$636,15,FALSE)</f>
        <v>Chile</v>
      </c>
      <c r="B12" s="44">
        <v>1888.1159999999998</v>
      </c>
      <c r="C12" s="44">
        <v>1939.034</v>
      </c>
      <c r="D12" s="44">
        <v>2163.8099999999995</v>
      </c>
      <c r="E12" s="44">
        <v>2174.4330011999996</v>
      </c>
      <c r="F12" s="44">
        <v>2367.034</v>
      </c>
      <c r="G12" s="44">
        <v>0</v>
      </c>
      <c r="H12" s="44">
        <v>0</v>
      </c>
      <c r="I12" s="44">
        <v>0</v>
      </c>
      <c r="K12" s="198"/>
      <c r="L12" s="199"/>
    </row>
    <row r="13" spans="1:12" ht="15">
      <c r="A13" s="200" t="str">
        <f>HLOOKUP(INDICE!$F$2,Nombres!$C$3:$D$636,16,FALSE)</f>
        <v>Colombia</v>
      </c>
      <c r="B13" s="44">
        <v>15853.15522854</v>
      </c>
      <c r="C13" s="44">
        <v>16834.32</v>
      </c>
      <c r="D13" s="44">
        <v>17133.731127479998</v>
      </c>
      <c r="E13" s="44">
        <v>15278.625000879998</v>
      </c>
      <c r="F13" s="44">
        <v>15449.793999999998</v>
      </c>
      <c r="G13" s="44">
        <v>0</v>
      </c>
      <c r="H13" s="44">
        <v>0</v>
      </c>
      <c r="I13" s="44">
        <v>0</v>
      </c>
      <c r="K13" s="198"/>
      <c r="L13" s="199"/>
    </row>
    <row r="14" spans="1:12" ht="15">
      <c r="A14" s="200" t="str">
        <f>HLOOKUP(INDICE!$F$2,Nombres!$C$3:$D$636,17,FALSE)</f>
        <v>Perú</v>
      </c>
      <c r="B14" s="44">
        <v>19003.581019359997</v>
      </c>
      <c r="C14" s="44">
        <v>20344.217531450002</v>
      </c>
      <c r="D14" s="44">
        <v>21316.35688652</v>
      </c>
      <c r="E14" s="44">
        <v>17935.74500025</v>
      </c>
      <c r="F14" s="44">
        <v>18460.499</v>
      </c>
      <c r="G14" s="44">
        <v>0</v>
      </c>
      <c r="H14" s="44">
        <v>0</v>
      </c>
      <c r="I14" s="44">
        <v>0</v>
      </c>
      <c r="K14" s="198"/>
      <c r="L14" s="199"/>
    </row>
    <row r="15" spans="1:12" ht="15">
      <c r="A15" s="200" t="str">
        <f>HLOOKUP(INDICE!$F$2,Nombres!$C$3:$D$636,89,FALSE)</f>
        <v>Resto de América del Sur</v>
      </c>
      <c r="B15" s="44">
        <v>2818.82975446</v>
      </c>
      <c r="C15" s="44">
        <v>3179.7577461799992</v>
      </c>
      <c r="D15" s="44">
        <v>3296.0538580499992</v>
      </c>
      <c r="E15" s="44">
        <v>3356.0869999699994</v>
      </c>
      <c r="F15" s="44">
        <v>3153.0750000000003</v>
      </c>
      <c r="G15" s="44">
        <v>0</v>
      </c>
      <c r="H15" s="44">
        <v>0</v>
      </c>
      <c r="I15" s="44">
        <v>0</v>
      </c>
      <c r="K15" s="198"/>
      <c r="L15" s="199"/>
    </row>
    <row r="16" spans="1:12" ht="15">
      <c r="A16" s="280" t="str">
        <f>HLOOKUP(INDICE!$F$2,Nombres!$C$3:$D$636,263,FALSE)</f>
        <v>Resto de Negocios</v>
      </c>
      <c r="B16" s="44">
        <v>31607.232831029993</v>
      </c>
      <c r="C16" s="44">
        <v>34389.209778549994</v>
      </c>
      <c r="D16" s="44">
        <v>35558.65294882999</v>
      </c>
      <c r="E16" s="44">
        <v>35063.5094618</v>
      </c>
      <c r="F16" s="44">
        <v>33724.758736749995</v>
      </c>
      <c r="G16" s="44">
        <v>0</v>
      </c>
      <c r="H16" s="44">
        <v>0</v>
      </c>
      <c r="I16" s="44">
        <v>0</v>
      </c>
      <c r="K16" s="198"/>
      <c r="L16" s="199"/>
    </row>
    <row r="17" spans="1:12" ht="15">
      <c r="A17" s="59" t="str">
        <f>HLOOKUP(INDICE!$F$2,Nombres!$C$3:$D$636,272,FALSE)</f>
        <v>Centro Corporativo (1)</v>
      </c>
      <c r="B17" s="44">
        <f>+B6-B7-B8-B9-B11-B12-B13-B14-B15-B16</f>
        <v>11354.824342589971</v>
      </c>
      <c r="C17" s="44">
        <f>+C6-C7-C8-C9-C11-C12-C13-C14-C15-C16</f>
        <v>12774.937064760074</v>
      </c>
      <c r="D17" s="44">
        <f aca="true" t="shared" si="1" ref="D17:I17">+D6-D7-D8-D9-D11-D12-D13-D14-D15-D16</f>
        <v>11746.168393350003</v>
      </c>
      <c r="E17" s="44">
        <f>+E6-E7-E8-E9-E11-E12-E13-E14-E15-E16</f>
        <v>12499.83719151005</v>
      </c>
      <c r="F17" s="44">
        <f t="shared" si="1"/>
        <v>13983.480021339987</v>
      </c>
      <c r="G17" s="44">
        <f t="shared" si="1"/>
        <v>0</v>
      </c>
      <c r="H17" s="44">
        <f t="shared" si="1"/>
        <v>0</v>
      </c>
      <c r="I17" s="44">
        <f t="shared" si="1"/>
        <v>0</v>
      </c>
      <c r="K17" s="198"/>
      <c r="L17" s="199"/>
    </row>
    <row r="18" spans="1:12" ht="15">
      <c r="A18" s="59"/>
      <c r="B18" s="44"/>
      <c r="C18" s="44"/>
      <c r="D18" s="44"/>
      <c r="E18" s="44"/>
      <c r="F18" s="44"/>
      <c r="G18" s="44"/>
      <c r="H18" s="44"/>
      <c r="I18" s="44"/>
      <c r="K18" s="198"/>
      <c r="L18" s="199"/>
    </row>
    <row r="19" spans="1:12" ht="15">
      <c r="A19" s="59"/>
      <c r="B19" s="44"/>
      <c r="C19" s="44"/>
      <c r="D19" s="44"/>
      <c r="E19" s="44"/>
      <c r="F19" s="44"/>
      <c r="G19" s="44"/>
      <c r="H19" s="44"/>
      <c r="I19" s="44"/>
      <c r="K19" s="198"/>
      <c r="L19" s="199"/>
    </row>
    <row r="20" spans="1:12" ht="15">
      <c r="A20" s="59"/>
      <c r="C20" s="44"/>
      <c r="D20" s="44"/>
      <c r="E20" s="44"/>
      <c r="F20" s="44"/>
      <c r="G20" s="44"/>
      <c r="H20" s="44"/>
      <c r="I20" s="44"/>
      <c r="K20" s="198"/>
      <c r="L20" s="199"/>
    </row>
    <row r="21" spans="1:12" ht="15">
      <c r="A21" s="59" t="str">
        <f>HLOOKUP(INDICE!$F$2,Nombres!$C$3:$D$636,320,FALSE)</f>
        <v>(*)El dato del trimestre en curso es provisional</v>
      </c>
      <c r="K21" s="198"/>
      <c r="L21" s="199"/>
    </row>
    <row r="22" spans="1:12" ht="15">
      <c r="A22" s="286"/>
      <c r="C22" s="44"/>
      <c r="D22" s="44"/>
      <c r="E22" s="44"/>
      <c r="F22" s="44"/>
      <c r="G22" s="44"/>
      <c r="H22" s="44"/>
      <c r="I22" s="56"/>
      <c r="K22" s="198"/>
      <c r="L22" s="199"/>
    </row>
    <row r="23" spans="1:12" ht="15">
      <c r="A23" s="275"/>
      <c r="B23" s="281">
        <v>0</v>
      </c>
      <c r="C23" s="281">
        <v>0</v>
      </c>
      <c r="D23" s="281">
        <v>0</v>
      </c>
      <c r="E23" s="281">
        <v>0</v>
      </c>
      <c r="F23" s="281">
        <v>0</v>
      </c>
      <c r="G23" s="281">
        <v>0</v>
      </c>
      <c r="H23" s="281">
        <v>0</v>
      </c>
      <c r="I23" s="281">
        <v>0</v>
      </c>
      <c r="K23" s="198"/>
      <c r="L23" s="199"/>
    </row>
    <row r="24" spans="1:12" ht="15">
      <c r="A24" s="59"/>
      <c r="B24" s="44"/>
      <c r="C24" s="44"/>
      <c r="D24" s="44"/>
      <c r="E24" s="44"/>
      <c r="F24" s="44"/>
      <c r="G24" s="44"/>
      <c r="H24" s="44"/>
      <c r="I24" s="44"/>
      <c r="K24" s="198"/>
      <c r="L24" s="199"/>
    </row>
    <row r="25" spans="1:6" ht="15">
      <c r="A25" s="156"/>
      <c r="B25" s="156"/>
      <c r="C25" s="156"/>
      <c r="D25" s="156"/>
      <c r="E25" s="156"/>
      <c r="F25" s="156"/>
    </row>
    <row r="26" spans="1:6" ht="15">
      <c r="A26" s="251"/>
      <c r="B26" s="201"/>
      <c r="C26" s="201"/>
      <c r="D26" s="201"/>
      <c r="E26" s="201"/>
      <c r="F26" s="201"/>
    </row>
    <row r="27" spans="2:6" ht="15">
      <c r="B27" s="105"/>
      <c r="F27" s="31"/>
    </row>
    <row r="1005" ht="15">
      <c r="A1005" t="s">
        <v>391</v>
      </c>
    </row>
  </sheetData>
  <sheetProtection/>
  <mergeCells count="1">
    <mergeCell ref="B4:I4"/>
  </mergeCells>
  <conditionalFormatting sqref="B23:I23">
    <cfRule type="cellIs" priority="1" dxfId="261" operator="notEqual">
      <formula>0</formula>
    </cfRule>
  </conditionalFormatting>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5" customWidth="1"/>
    <col min="2" max="2" width="13.57421875" style="205" bestFit="1" customWidth="1"/>
    <col min="3" max="4" width="11.421875" style="205" customWidth="1"/>
    <col min="5" max="5" width="11.7109375" style="205" bestFit="1" customWidth="1"/>
    <col min="6" max="6" width="11.421875" style="205" customWidth="1"/>
    <col min="7" max="9" width="11.421875" style="205" hidden="1" customWidth="1"/>
    <col min="10" max="10" width="4.7109375" style="204" customWidth="1"/>
    <col min="11" max="11" width="11.421875" style="205" customWidth="1"/>
    <col min="12" max="12" width="11.7109375" style="205" bestFit="1" customWidth="1"/>
    <col min="13" max="16384" width="11.421875" style="205" customWidth="1"/>
  </cols>
  <sheetData>
    <row r="1" spans="1:12" ht="18">
      <c r="A1" s="202" t="str">
        <f>HLOOKUP(INDICE!$F$2,Nombres!$C$3:$D$636,113,FALSE)</f>
        <v>Desglose del crédito no dudoso en gestión</v>
      </c>
      <c r="B1" s="203"/>
      <c r="C1" s="203"/>
      <c r="D1" s="203"/>
      <c r="E1" s="203"/>
      <c r="F1" s="203"/>
      <c r="G1" s="203"/>
      <c r="H1" s="203"/>
      <c r="I1" s="203"/>
      <c r="L1" s="206"/>
    </row>
    <row r="2" spans="1:12" ht="15.75">
      <c r="A2" s="207" t="str">
        <f>HLOOKUP(INDICE!$F$2,Nombres!$C$3:$D$636,73,FALSE)</f>
        <v>(Millones de euros constantes)</v>
      </c>
      <c r="B2" s="206"/>
      <c r="C2" s="206"/>
      <c r="D2" s="206"/>
      <c r="E2" s="206"/>
      <c r="F2" s="206"/>
      <c r="L2" s="206"/>
    </row>
    <row r="3" spans="1:12" ht="15.75">
      <c r="A3" s="208"/>
      <c r="B3" s="206"/>
      <c r="C3" s="206"/>
      <c r="D3" s="206"/>
      <c r="E3" s="206"/>
      <c r="F3" s="206"/>
      <c r="L3" s="206"/>
    </row>
    <row r="4" spans="1:9" ht="15.75" customHeight="1">
      <c r="A4" s="209"/>
      <c r="B4" s="305" t="str">
        <f>HLOOKUP(INDICE!$F$2,Nombres!$C$3:$D$636,7,FALSE)</f>
        <v>España</v>
      </c>
      <c r="C4" s="305"/>
      <c r="D4" s="305"/>
      <c r="E4" s="305"/>
      <c r="F4" s="305"/>
      <c r="G4" s="305"/>
      <c r="H4" s="305"/>
      <c r="I4" s="305"/>
    </row>
    <row r="5" spans="1:12" ht="15.75">
      <c r="A5" s="210"/>
      <c r="B5" s="118">
        <f>+España!B32</f>
        <v>44651</v>
      </c>
      <c r="C5" s="118">
        <f>+España!C32</f>
        <v>44742</v>
      </c>
      <c r="D5" s="118">
        <f>+España!D32</f>
        <v>44834</v>
      </c>
      <c r="E5" s="118">
        <f>+España!E32</f>
        <v>44926</v>
      </c>
      <c r="F5" s="118">
        <f>+España!F32</f>
        <v>45016</v>
      </c>
      <c r="G5" s="118">
        <f>+España!G32</f>
        <v>45107</v>
      </c>
      <c r="H5" s="118">
        <f>+España!H32</f>
        <v>45199</v>
      </c>
      <c r="I5" s="118">
        <f>+España!I32</f>
        <v>45291</v>
      </c>
      <c r="L5" s="118"/>
    </row>
    <row r="6" spans="1:14" ht="15">
      <c r="A6" s="211" t="str">
        <f>HLOOKUP(INDICE!$F$2,Nombres!$C$3:$D$636,209,FALSE)</f>
        <v>Hipotecario</v>
      </c>
      <c r="B6" s="212">
        <v>69407.809482</v>
      </c>
      <c r="C6" s="212">
        <v>68619.457928</v>
      </c>
      <c r="D6" s="212">
        <v>67591.858029</v>
      </c>
      <c r="E6" s="212">
        <v>67379.29695100001</v>
      </c>
      <c r="F6" s="212">
        <v>66583.02571900001</v>
      </c>
      <c r="G6" s="212">
        <v>0</v>
      </c>
      <c r="H6" s="212">
        <v>0</v>
      </c>
      <c r="I6" s="212">
        <v>0</v>
      </c>
      <c r="L6" s="212"/>
      <c r="N6" s="261"/>
    </row>
    <row r="7" spans="1:14" ht="15">
      <c r="A7" s="211" t="str">
        <f>HLOOKUP(INDICE!$F$2,Nombres!$C$3:$D$636,210,FALSE)</f>
        <v>Consumo  y tarjetas de Credito</v>
      </c>
      <c r="B7" s="212">
        <v>15277.402404</v>
      </c>
      <c r="C7" s="212">
        <v>15794.411383000002</v>
      </c>
      <c r="D7" s="212">
        <v>16008.690613</v>
      </c>
      <c r="E7" s="212">
        <v>16553.757134</v>
      </c>
      <c r="F7" s="212">
        <v>16309.445874</v>
      </c>
      <c r="G7" s="212">
        <v>0</v>
      </c>
      <c r="H7" s="212">
        <v>0</v>
      </c>
      <c r="I7" s="212">
        <v>0</v>
      </c>
      <c r="J7" s="292"/>
      <c r="L7" s="212"/>
      <c r="N7" s="261"/>
    </row>
    <row r="8" spans="1:14" ht="15">
      <c r="A8" s="211" t="str">
        <f>HLOOKUP(INDICE!$F$2,Nombres!$C$3:$D$636,211,FALSE)</f>
        <v>Negocios retail</v>
      </c>
      <c r="B8" s="212">
        <v>15714.141634000003</v>
      </c>
      <c r="C8" s="212">
        <v>15947.927049999998</v>
      </c>
      <c r="D8" s="212">
        <v>15880.924043999998</v>
      </c>
      <c r="E8" s="212">
        <v>15701.536307000002</v>
      </c>
      <c r="F8" s="212">
        <v>15500.645833</v>
      </c>
      <c r="G8" s="212">
        <v>0</v>
      </c>
      <c r="H8" s="212">
        <v>0</v>
      </c>
      <c r="I8" s="212">
        <v>0</v>
      </c>
      <c r="J8" s="292"/>
      <c r="L8" s="212"/>
      <c r="N8" s="261"/>
    </row>
    <row r="9" spans="1:14" ht="15">
      <c r="A9" s="211" t="str">
        <f>HLOOKUP(INDICE!$F$2,Nombres!$C$3:$D$636,212,FALSE)</f>
        <v>Empresas medianas</v>
      </c>
      <c r="B9" s="212">
        <v>20855.118694</v>
      </c>
      <c r="C9" s="212">
        <v>21578.155315000004</v>
      </c>
      <c r="D9" s="212">
        <v>21953.946127000003</v>
      </c>
      <c r="E9" s="212">
        <v>22260.690765000003</v>
      </c>
      <c r="F9" s="212">
        <v>22426.860292999998</v>
      </c>
      <c r="G9" s="212">
        <v>0</v>
      </c>
      <c r="H9" s="212">
        <v>0</v>
      </c>
      <c r="I9" s="212">
        <v>0</v>
      </c>
      <c r="J9" s="292"/>
      <c r="L9" s="212"/>
      <c r="N9" s="261"/>
    </row>
    <row r="10" spans="1:14" ht="15">
      <c r="A10" s="211" t="str">
        <f>HLOOKUP(INDICE!$F$2,Nombres!$C$3:$D$636,213,FALSE)</f>
        <v>Corporativa + CIB</v>
      </c>
      <c r="B10" s="212">
        <v>24247.977463000003</v>
      </c>
      <c r="C10" s="212">
        <v>25102.938453000002</v>
      </c>
      <c r="D10" s="212">
        <v>27163.054122999998</v>
      </c>
      <c r="E10" s="212">
        <v>26119.772457</v>
      </c>
      <c r="F10" s="212">
        <v>25697.922549</v>
      </c>
      <c r="G10" s="212">
        <v>0</v>
      </c>
      <c r="H10" s="212">
        <v>0</v>
      </c>
      <c r="I10" s="212">
        <v>0</v>
      </c>
      <c r="L10" s="212"/>
      <c r="N10" s="261"/>
    </row>
    <row r="11" spans="1:14" ht="15">
      <c r="A11" s="211" t="str">
        <f>HLOOKUP(INDICE!$F$2,Nombres!$C$3:$D$636,214,FALSE)</f>
        <v>Sector público</v>
      </c>
      <c r="B11" s="212">
        <v>13377.211015</v>
      </c>
      <c r="C11" s="212">
        <v>14964.181887000002</v>
      </c>
      <c r="D11" s="212">
        <v>13062.874635</v>
      </c>
      <c r="E11" s="212">
        <v>13060.760140999999</v>
      </c>
      <c r="F11" s="212">
        <v>13522.570962</v>
      </c>
      <c r="G11" s="212">
        <v>0</v>
      </c>
      <c r="H11" s="212">
        <v>0</v>
      </c>
      <c r="I11" s="212">
        <v>0</v>
      </c>
      <c r="L11" s="212"/>
      <c r="N11" s="261"/>
    </row>
    <row r="12" spans="1:14" ht="15.75" customHeight="1">
      <c r="A12" s="211" t="str">
        <f>HLOOKUP(INDICE!$F$2,Nombres!$C$3:$D$636,215,FALSE)</f>
        <v>Otros</v>
      </c>
      <c r="B12" s="212">
        <v>10129.736853000006</v>
      </c>
      <c r="C12" s="212">
        <v>11180.604179000033</v>
      </c>
      <c r="D12" s="212">
        <v>11729.414758999998</v>
      </c>
      <c r="E12" s="212">
        <v>10132.826981000017</v>
      </c>
      <c r="F12" s="212">
        <v>9174.266038000009</v>
      </c>
      <c r="G12" s="212">
        <v>0</v>
      </c>
      <c r="H12" s="212">
        <v>0</v>
      </c>
      <c r="I12" s="212">
        <v>0</v>
      </c>
      <c r="L12" s="212"/>
      <c r="N12" s="261"/>
    </row>
    <row r="13" spans="1:14" ht="15">
      <c r="A13" s="213" t="str">
        <f>HLOOKUP(INDICE!$F$2,Nombres!$C$3:$D$636,112,FALSE)</f>
        <v>Crédito no dudoso en gestión (*)</v>
      </c>
      <c r="B13" s="214">
        <v>169009.397545</v>
      </c>
      <c r="C13" s="214">
        <v>173187.67619500007</v>
      </c>
      <c r="D13" s="214">
        <v>173390.76233</v>
      </c>
      <c r="E13" s="214">
        <v>171208.64073600006</v>
      </c>
      <c r="F13" s="214">
        <v>169214.73726800003</v>
      </c>
      <c r="G13" s="214">
        <v>0</v>
      </c>
      <c r="H13" s="214">
        <v>0</v>
      </c>
      <c r="I13" s="214">
        <v>0</v>
      </c>
      <c r="L13" s="213"/>
      <c r="N13" s="261"/>
    </row>
    <row r="14" spans="1:14" ht="15.75">
      <c r="A14" s="206"/>
      <c r="B14" s="215">
        <f>+SUM(B6:B12)-B13</f>
        <v>0</v>
      </c>
      <c r="C14" s="215">
        <f>+SUM(C6:C12)-C13</f>
        <v>0</v>
      </c>
      <c r="D14" s="215">
        <f aca="true" t="shared" si="0" ref="D14:I14">+SUM(D6:D12)-D13</f>
        <v>0</v>
      </c>
      <c r="E14" s="215">
        <f t="shared" si="0"/>
        <v>0</v>
      </c>
      <c r="F14" s="215">
        <f t="shared" si="0"/>
        <v>0</v>
      </c>
      <c r="G14" s="215">
        <f t="shared" si="0"/>
        <v>0</v>
      </c>
      <c r="H14" s="215">
        <f t="shared" si="0"/>
        <v>0</v>
      </c>
      <c r="I14" s="215">
        <f t="shared" si="0"/>
        <v>0</v>
      </c>
      <c r="L14" s="216"/>
      <c r="N14" s="261"/>
    </row>
    <row r="15" spans="1:14" ht="15">
      <c r="A15" s="308"/>
      <c r="B15" s="212"/>
      <c r="C15" s="212"/>
      <c r="D15" s="212"/>
      <c r="E15" s="212"/>
      <c r="F15" s="212"/>
      <c r="G15" s="212"/>
      <c r="H15" s="212"/>
      <c r="I15" s="212"/>
      <c r="L15" s="212"/>
      <c r="N15" s="261"/>
    </row>
    <row r="16" spans="1:12" ht="15.75">
      <c r="A16" s="206"/>
      <c r="B16" s="217"/>
      <c r="C16" s="217"/>
      <c r="D16" s="217"/>
      <c r="E16" s="217"/>
      <c r="F16" s="217"/>
      <c r="L16" s="217"/>
    </row>
    <row r="17" spans="1:12" ht="15.75">
      <c r="A17" s="209"/>
      <c r="B17" s="305" t="str">
        <f>HLOOKUP(INDICE!$F$2,Nombres!$C$3:$D$636,204,FALSE)</f>
        <v>Mexico (***)</v>
      </c>
      <c r="C17" s="305"/>
      <c r="D17" s="305"/>
      <c r="E17" s="305"/>
      <c r="F17" s="305"/>
      <c r="G17" s="305"/>
      <c r="H17" s="305"/>
      <c r="I17" s="305"/>
      <c r="L17" s="220"/>
    </row>
    <row r="18" spans="1:12" ht="15.75">
      <c r="A18" s="210"/>
      <c r="B18" s="118">
        <f>+B$5</f>
        <v>44651</v>
      </c>
      <c r="C18" s="118">
        <f aca="true" t="shared" si="1" ref="C18:I18">+C$5</f>
        <v>44742</v>
      </c>
      <c r="D18" s="118">
        <f t="shared" si="1"/>
        <v>44834</v>
      </c>
      <c r="E18" s="118">
        <f t="shared" si="1"/>
        <v>44926</v>
      </c>
      <c r="F18" s="118">
        <f t="shared" si="1"/>
        <v>45016</v>
      </c>
      <c r="G18" s="118">
        <f t="shared" si="1"/>
        <v>45107</v>
      </c>
      <c r="H18" s="118">
        <f t="shared" si="1"/>
        <v>45199</v>
      </c>
      <c r="I18" s="118">
        <f t="shared" si="1"/>
        <v>45291</v>
      </c>
      <c r="L18" s="53"/>
    </row>
    <row r="19" spans="1:14" ht="15">
      <c r="A19" s="211" t="str">
        <f>HLOOKUP(INDICE!$F$2,Nombres!$C$3:$D$636,105,FALSE)</f>
        <v>Hipotecario</v>
      </c>
      <c r="B19" s="212">
        <v>14248.662106073843</v>
      </c>
      <c r="C19" s="212">
        <v>14717.39939436188</v>
      </c>
      <c r="D19" s="212">
        <v>15115.573197563104</v>
      </c>
      <c r="E19" s="212">
        <v>15433.608674065774</v>
      </c>
      <c r="F19" s="212">
        <v>15759.385180894773</v>
      </c>
      <c r="G19" s="212">
        <v>0</v>
      </c>
      <c r="H19" s="212">
        <v>0</v>
      </c>
      <c r="I19" s="212">
        <v>0</v>
      </c>
      <c r="L19" s="212"/>
      <c r="N19" s="261"/>
    </row>
    <row r="20" spans="1:14" ht="15">
      <c r="A20" s="211" t="str">
        <f>HLOOKUP(INDICE!$F$2,Nombres!$C$3:$D$636,106,FALSE)</f>
        <v>Consumo</v>
      </c>
      <c r="B20" s="212">
        <v>9852.504106805958</v>
      </c>
      <c r="C20" s="212">
        <v>10255.873438559867</v>
      </c>
      <c r="D20" s="212">
        <v>10729.814471578833</v>
      </c>
      <c r="E20" s="212">
        <v>10992.836844110825</v>
      </c>
      <c r="F20" s="212">
        <v>11473.520499095763</v>
      </c>
      <c r="G20" s="212">
        <v>0</v>
      </c>
      <c r="H20" s="212">
        <v>0</v>
      </c>
      <c r="I20" s="212">
        <v>0</v>
      </c>
      <c r="L20" s="212"/>
      <c r="N20" s="261"/>
    </row>
    <row r="21" spans="1:14" ht="15.75" customHeight="1">
      <c r="A21" s="211" t="str">
        <f>HLOOKUP(INDICE!$F$2,Nombres!$C$3:$D$636,107,FALSE)</f>
        <v>Tarjetas de Crédito</v>
      </c>
      <c r="B21" s="212">
        <v>6071.679637146014</v>
      </c>
      <c r="C21" s="212">
        <v>6397.273739479716</v>
      </c>
      <c r="D21" s="212">
        <v>6681.560386685075</v>
      </c>
      <c r="E21" s="212">
        <v>7280.178827558365</v>
      </c>
      <c r="F21" s="212">
        <v>7401.88530408387</v>
      </c>
      <c r="G21" s="212">
        <v>0</v>
      </c>
      <c r="H21" s="212">
        <v>0</v>
      </c>
      <c r="I21" s="212">
        <v>0</v>
      </c>
      <c r="L21" s="212"/>
      <c r="N21" s="261"/>
    </row>
    <row r="22" spans="1:14" ht="15">
      <c r="A22" s="211" t="str">
        <f>HLOOKUP(INDICE!$F$2,Nombres!$C$3:$D$636,110,FALSE)</f>
        <v>Pymes</v>
      </c>
      <c r="B22" s="212">
        <v>4262.56655201402</v>
      </c>
      <c r="C22" s="212">
        <v>4492.533502762549</v>
      </c>
      <c r="D22" s="212">
        <v>4722.488204560406</v>
      </c>
      <c r="E22" s="212">
        <v>4841.187455621396</v>
      </c>
      <c r="F22" s="212">
        <v>5164.816653663887</v>
      </c>
      <c r="G22" s="212">
        <v>0</v>
      </c>
      <c r="H22" s="212">
        <v>0</v>
      </c>
      <c r="I22" s="212">
        <v>0</v>
      </c>
      <c r="L22" s="212"/>
      <c r="N22" s="261"/>
    </row>
    <row r="23" spans="1:14" ht="15">
      <c r="A23" s="211" t="str">
        <f>HLOOKUP(INDICE!$F$2,Nombres!$C$3:$D$636,216,FALSE)</f>
        <v>Resto Minorista</v>
      </c>
      <c r="B23" s="212">
        <v>87.51874879182373</v>
      </c>
      <c r="C23" s="212">
        <v>87.58183642269246</v>
      </c>
      <c r="D23" s="212">
        <v>87.50602644554186</v>
      </c>
      <c r="E23" s="212">
        <v>90.98032821104027</v>
      </c>
      <c r="F23" s="212">
        <v>90.88486297263104</v>
      </c>
      <c r="G23" s="212">
        <v>0</v>
      </c>
      <c r="H23" s="212">
        <v>0</v>
      </c>
      <c r="I23" s="212">
        <v>0</v>
      </c>
      <c r="L23" s="212"/>
      <c r="N23" s="261"/>
    </row>
    <row r="24" spans="1:14" ht="15">
      <c r="A24" s="211" t="str">
        <f>HLOOKUP(INDICE!$F$2,Nombres!$C$3:$D$636,217,FALSE)</f>
        <v>Resto Empresas</v>
      </c>
      <c r="B24" s="212">
        <v>27990.497956482086</v>
      </c>
      <c r="C24" s="212">
        <v>29762.542732127913</v>
      </c>
      <c r="D24" s="212">
        <v>30557.06686239041</v>
      </c>
      <c r="E24" s="212">
        <v>31096.696598607952</v>
      </c>
      <c r="F24" s="212">
        <v>31526.091413557977</v>
      </c>
      <c r="G24" s="212">
        <v>0</v>
      </c>
      <c r="H24" s="212">
        <v>0</v>
      </c>
      <c r="I24" s="212">
        <v>0</v>
      </c>
      <c r="L24" s="212"/>
      <c r="N24" s="261"/>
    </row>
    <row r="25" spans="1:14" ht="15">
      <c r="A25" s="211" t="str">
        <f>HLOOKUP(INDICE!$F$2,Nombres!$C$3:$D$636,108,FALSE)</f>
        <v>Sector público</v>
      </c>
      <c r="B25" s="212">
        <v>5956.652094042457</v>
      </c>
      <c r="C25" s="212">
        <v>5961.826669967358</v>
      </c>
      <c r="D25" s="212">
        <v>5923.023218522862</v>
      </c>
      <c r="E25" s="212">
        <v>6540.428273009539</v>
      </c>
      <c r="F25" s="212">
        <v>6549.242829077918</v>
      </c>
      <c r="G25" s="212">
        <v>0</v>
      </c>
      <c r="H25" s="212">
        <v>0</v>
      </c>
      <c r="I25" s="212">
        <v>0</v>
      </c>
      <c r="L25" s="212"/>
      <c r="N25" s="261"/>
    </row>
    <row r="26" spans="1:14" ht="15">
      <c r="A26" s="213" t="str">
        <f>HLOOKUP(INDICE!$F$2,Nombres!$C$3:$D$636,112,FALSE)</f>
        <v>Crédito no dudoso en gestión (*)</v>
      </c>
      <c r="B26" s="214">
        <v>68470.08120135621</v>
      </c>
      <c r="C26" s="214">
        <v>71675.03131368198</v>
      </c>
      <c r="D26" s="214">
        <v>73817.03236774623</v>
      </c>
      <c r="E26" s="214">
        <v>76275.91700118489</v>
      </c>
      <c r="F26" s="214">
        <v>77965.82674334683</v>
      </c>
      <c r="G26" s="214">
        <v>0</v>
      </c>
      <c r="H26" s="214">
        <v>0</v>
      </c>
      <c r="I26" s="214">
        <v>0</v>
      </c>
      <c r="J26" s="285"/>
      <c r="L26" s="218"/>
      <c r="N26" s="261"/>
    </row>
    <row r="27" spans="1:14" ht="15.75">
      <c r="A27" s="221" t="str">
        <f>HLOOKUP(INDICE!$F$2,Nombres!$C$3:$D$636,205,FALSE)</f>
        <v>Criterio Local Contable(***) </v>
      </c>
      <c r="B27" s="215">
        <f>+SUM(B19:B25)-B26</f>
        <v>0</v>
      </c>
      <c r="C27" s="215">
        <f aca="true" t="shared" si="2" ref="C27:I27">+SUM(C19:C25)-C26</f>
        <v>0</v>
      </c>
      <c r="D27" s="215">
        <f t="shared" si="2"/>
        <v>0</v>
      </c>
      <c r="E27" s="215">
        <f t="shared" si="2"/>
        <v>0</v>
      </c>
      <c r="F27" s="215">
        <f t="shared" si="2"/>
        <v>0</v>
      </c>
      <c r="G27" s="215">
        <f t="shared" si="2"/>
        <v>0</v>
      </c>
      <c r="H27" s="215">
        <f t="shared" si="2"/>
        <v>0</v>
      </c>
      <c r="I27" s="215">
        <f t="shared" si="2"/>
        <v>0</v>
      </c>
      <c r="L27" s="219"/>
      <c r="N27" s="261"/>
    </row>
    <row r="28" spans="1:14" ht="15">
      <c r="A28" s="308"/>
      <c r="B28" s="212"/>
      <c r="C28" s="212"/>
      <c r="D28" s="212"/>
      <c r="E28" s="212"/>
      <c r="F28" s="212"/>
      <c r="G28" s="212"/>
      <c r="H28" s="212"/>
      <c r="I28" s="212"/>
      <c r="L28" s="212"/>
      <c r="N28" s="261"/>
    </row>
    <row r="29" spans="2:12" ht="15.75">
      <c r="B29" s="217"/>
      <c r="C29" s="217"/>
      <c r="D29" s="217"/>
      <c r="E29" s="217"/>
      <c r="F29" s="217"/>
      <c r="L29" s="217"/>
    </row>
    <row r="30" spans="1:13" ht="15.75" customHeight="1">
      <c r="A30" s="209"/>
      <c r="B30" s="305" t="str">
        <f>HLOOKUP(INDICE!$F$2,Nombres!$C$3:$D$636,12,FALSE)</f>
        <v>Turquía </v>
      </c>
      <c r="C30" s="305"/>
      <c r="D30" s="305"/>
      <c r="E30" s="305"/>
      <c r="F30" s="305"/>
      <c r="G30" s="305"/>
      <c r="H30" s="305"/>
      <c r="I30" s="305"/>
      <c r="L30" s="222"/>
      <c r="M30" s="222"/>
    </row>
    <row r="31" spans="1:13" ht="15.75">
      <c r="A31" s="210"/>
      <c r="B31" s="118">
        <f>+B$5</f>
        <v>44651</v>
      </c>
      <c r="C31" s="118">
        <f aca="true" t="shared" si="3" ref="C31:I31">+C$5</f>
        <v>44742</v>
      </c>
      <c r="D31" s="118">
        <f t="shared" si="3"/>
        <v>44834</v>
      </c>
      <c r="E31" s="118">
        <f t="shared" si="3"/>
        <v>44926</v>
      </c>
      <c r="F31" s="118">
        <f t="shared" si="3"/>
        <v>45016</v>
      </c>
      <c r="G31" s="118">
        <f t="shared" si="3"/>
        <v>45107</v>
      </c>
      <c r="H31" s="118">
        <f t="shared" si="3"/>
        <v>45199</v>
      </c>
      <c r="I31" s="118">
        <f t="shared" si="3"/>
        <v>45291</v>
      </c>
      <c r="L31" s="53"/>
      <c r="M31" s="222"/>
    </row>
    <row r="32" spans="1:14" ht="15">
      <c r="A32" s="211" t="str">
        <f>HLOOKUP(INDICE!$F$2,Nombres!$C$3:$D$636,105,FALSE)</f>
        <v>Hipotecario</v>
      </c>
      <c r="B32" s="212">
        <v>1210.2812843416177</v>
      </c>
      <c r="C32" s="212">
        <v>1209.1222461986697</v>
      </c>
      <c r="D32" s="212">
        <v>1156.4552074045087</v>
      </c>
      <c r="E32" s="212">
        <v>1073.7273103491889</v>
      </c>
      <c r="F32" s="212">
        <v>1238.31469085</v>
      </c>
      <c r="G32" s="212">
        <v>0</v>
      </c>
      <c r="H32" s="212">
        <v>0</v>
      </c>
      <c r="I32" s="212">
        <v>0</v>
      </c>
      <c r="L32" s="212"/>
      <c r="M32" s="222"/>
      <c r="N32" s="261"/>
    </row>
    <row r="33" spans="1:14" ht="15">
      <c r="A33" s="211" t="str">
        <f>HLOOKUP(INDICE!$F$2,Nombres!$C$3:$D$636,106,FALSE)</f>
        <v>Consumo</v>
      </c>
      <c r="B33" s="212">
        <v>3772.309442232662</v>
      </c>
      <c r="C33" s="212">
        <v>4288.296016667178</v>
      </c>
      <c r="D33" s="212">
        <v>4629.292339273625</v>
      </c>
      <c r="E33" s="212">
        <v>5498.744380864003</v>
      </c>
      <c r="F33" s="212">
        <v>6162.12736534</v>
      </c>
      <c r="G33" s="212">
        <v>0</v>
      </c>
      <c r="H33" s="212">
        <v>0</v>
      </c>
      <c r="I33" s="212">
        <v>0</v>
      </c>
      <c r="L33" s="212"/>
      <c r="M33" s="222"/>
      <c r="N33" s="261"/>
    </row>
    <row r="34" spans="1:14" ht="15">
      <c r="A34" s="211" t="str">
        <f>HLOOKUP(INDICE!$F$2,Nombres!$C$3:$D$636,107,FALSE)</f>
        <v>Tarjetas de Crédito</v>
      </c>
      <c r="B34" s="212">
        <v>2293.402755975596</v>
      </c>
      <c r="C34" s="212">
        <v>2764.2576656736233</v>
      </c>
      <c r="D34" s="212">
        <v>3549.92169325947</v>
      </c>
      <c r="E34" s="212">
        <v>4616.8285792486795</v>
      </c>
      <c r="F34" s="212">
        <v>5984.696</v>
      </c>
      <c r="G34" s="212">
        <v>0</v>
      </c>
      <c r="H34" s="212">
        <v>0</v>
      </c>
      <c r="I34" s="212">
        <v>0</v>
      </c>
      <c r="L34" s="212"/>
      <c r="M34" s="222"/>
      <c r="N34" s="261"/>
    </row>
    <row r="35" spans="1:14" ht="15">
      <c r="A35" s="211" t="str">
        <f>HLOOKUP(INDICE!$F$2,Nombres!$C$3:$D$636,108,FALSE)</f>
        <v>Sector público</v>
      </c>
      <c r="B35" s="212">
        <v>217.7302633405057</v>
      </c>
      <c r="C35" s="212">
        <v>546.9857057448218</v>
      </c>
      <c r="D35" s="212">
        <v>537.1107372458478</v>
      </c>
      <c r="E35" s="212">
        <v>557.4453248948392</v>
      </c>
      <c r="F35" s="212">
        <v>546.123</v>
      </c>
      <c r="G35" s="212">
        <v>0</v>
      </c>
      <c r="H35" s="212">
        <v>0</v>
      </c>
      <c r="I35" s="212">
        <v>0</v>
      </c>
      <c r="L35" s="212"/>
      <c r="M35" s="222"/>
      <c r="N35" s="261"/>
    </row>
    <row r="36" spans="1:14" ht="15">
      <c r="A36" s="211" t="str">
        <f>HLOOKUP(INDICE!$F$2,Nombres!$C$3:$D$636,109,FALSE)</f>
        <v>Sociedades financieras y sociedades no financieras</v>
      </c>
      <c r="B36" s="212">
        <v>17913.458959795684</v>
      </c>
      <c r="C36" s="212">
        <v>19925.216833825776</v>
      </c>
      <c r="D36" s="212">
        <v>21167.050206349944</v>
      </c>
      <c r="E36" s="212">
        <v>22861.380844088486</v>
      </c>
      <c r="F36" s="212">
        <v>23749.514</v>
      </c>
      <c r="G36" s="212">
        <v>0</v>
      </c>
      <c r="H36" s="212">
        <v>0</v>
      </c>
      <c r="I36" s="212">
        <v>0</v>
      </c>
      <c r="L36" s="211"/>
      <c r="M36" s="222"/>
      <c r="N36" s="261"/>
    </row>
    <row r="37" spans="1:14" ht="15">
      <c r="A37" s="211" t="str">
        <f>HLOOKUP(INDICE!$F$2,Nombres!$C$3:$D$636,111,FALSE)</f>
        <v>Otros</v>
      </c>
      <c r="B37" s="212">
        <v>330.7364868889307</v>
      </c>
      <c r="C37" s="212">
        <v>451.8176223788538</v>
      </c>
      <c r="D37" s="212">
        <v>610.753918225672</v>
      </c>
      <c r="E37" s="212">
        <v>981.594905244853</v>
      </c>
      <c r="F37" s="212">
        <v>1277.4159438099987</v>
      </c>
      <c r="G37" s="212">
        <v>0</v>
      </c>
      <c r="H37" s="212">
        <v>0</v>
      </c>
      <c r="I37" s="212">
        <v>0</v>
      </c>
      <c r="L37" s="211"/>
      <c r="M37" s="222"/>
      <c r="N37" s="261"/>
    </row>
    <row r="38" spans="1:14" ht="15">
      <c r="A38" s="213" t="str">
        <f>HLOOKUP(INDICE!$F$2,Nombres!$C$3:$D$636,112,FALSE)</f>
        <v>Crédito no dudoso en gestión (*)</v>
      </c>
      <c r="B38" s="214">
        <v>25737.919192575</v>
      </c>
      <c r="C38" s="214">
        <v>29185.696090488924</v>
      </c>
      <c r="D38" s="214">
        <v>31650.58410175907</v>
      </c>
      <c r="E38" s="214">
        <v>35589.72134469005</v>
      </c>
      <c r="F38" s="214">
        <v>38958.191000000006</v>
      </c>
      <c r="G38" s="214">
        <v>0</v>
      </c>
      <c r="H38" s="214">
        <v>0</v>
      </c>
      <c r="I38" s="214">
        <v>0</v>
      </c>
      <c r="L38" s="211"/>
      <c r="M38" s="222"/>
      <c r="N38" s="261"/>
    </row>
    <row r="39" spans="1:14" ht="15.75" customHeight="1">
      <c r="A39" s="213"/>
      <c r="B39" s="214"/>
      <c r="C39" s="214"/>
      <c r="D39" s="214"/>
      <c r="E39" s="214"/>
      <c r="F39" s="214"/>
      <c r="G39" s="214"/>
      <c r="H39" s="214"/>
      <c r="I39" s="214"/>
      <c r="L39" s="211"/>
      <c r="M39" s="222"/>
      <c r="N39" s="261"/>
    </row>
    <row r="40" spans="1:13" ht="15.75" customHeight="1">
      <c r="A40" s="213"/>
      <c r="B40" s="214"/>
      <c r="C40" s="214"/>
      <c r="D40" s="214"/>
      <c r="E40" s="214"/>
      <c r="F40" s="214"/>
      <c r="G40" s="214"/>
      <c r="H40" s="214"/>
      <c r="I40" s="214"/>
      <c r="L40" s="211"/>
      <c r="M40" s="222"/>
    </row>
    <row r="41" spans="1:13" ht="15">
      <c r="A41" s="213"/>
      <c r="B41" s="214"/>
      <c r="C41" s="214"/>
      <c r="D41" s="214"/>
      <c r="E41" s="214"/>
      <c r="F41" s="214"/>
      <c r="G41" s="214"/>
      <c r="H41" s="214"/>
      <c r="I41" s="214"/>
      <c r="L41" s="211"/>
      <c r="M41" s="222"/>
    </row>
    <row r="42" spans="1:13" ht="15.75" customHeight="1">
      <c r="A42" s="209"/>
      <c r="B42" s="305" t="str">
        <f>HLOOKUP(INDICE!$F$2,Nombres!$C$3:$D$636,296,FALSE)</f>
        <v>Turquia solo Banco</v>
      </c>
      <c r="C42" s="305"/>
      <c r="D42" s="305"/>
      <c r="E42" s="305"/>
      <c r="F42" s="305"/>
      <c r="G42" s="305"/>
      <c r="H42" s="305"/>
      <c r="I42" s="305"/>
      <c r="L42" s="222"/>
      <c r="M42" s="222"/>
    </row>
    <row r="43" spans="1:13" ht="15.75">
      <c r="A43" s="210"/>
      <c r="B43" s="118">
        <f>+B$5</f>
        <v>44651</v>
      </c>
      <c r="C43" s="118">
        <f aca="true" t="shared" si="4" ref="C43:I43">+C$5</f>
        <v>44742</v>
      </c>
      <c r="D43" s="118">
        <f t="shared" si="4"/>
        <v>44834</v>
      </c>
      <c r="E43" s="118">
        <f t="shared" si="4"/>
        <v>44926</v>
      </c>
      <c r="F43" s="118">
        <f t="shared" si="4"/>
        <v>45016</v>
      </c>
      <c r="G43" s="118">
        <f t="shared" si="4"/>
        <v>45107</v>
      </c>
      <c r="H43" s="118">
        <f t="shared" si="4"/>
        <v>45199</v>
      </c>
      <c r="I43" s="118">
        <f t="shared" si="4"/>
        <v>45291</v>
      </c>
      <c r="L43" s="53"/>
      <c r="M43" s="222"/>
    </row>
    <row r="44" spans="1:13" ht="15">
      <c r="A44" s="211" t="str">
        <f>HLOOKUP(INDICE!$F$2,Nombres!$C$3:$D$636,285,FALSE)</f>
        <v>Préstamos Hogares TL</v>
      </c>
      <c r="B44" s="212">
        <v>7480.9732978522325</v>
      </c>
      <c r="C44" s="212">
        <v>8609.170469941957</v>
      </c>
      <c r="D44" s="212">
        <v>9843.975513430674</v>
      </c>
      <c r="E44" s="212">
        <v>12111.74099164134</v>
      </c>
      <c r="F44" s="212">
        <v>14370.887389604635</v>
      </c>
      <c r="G44" s="212">
        <v>0</v>
      </c>
      <c r="H44" s="212">
        <v>0</v>
      </c>
      <c r="I44" s="212">
        <v>0</v>
      </c>
      <c r="L44" s="212"/>
      <c r="M44" s="222"/>
    </row>
    <row r="45" spans="1:14" ht="15">
      <c r="A45" s="211" t="str">
        <f>HLOOKUP(INDICE!$F$2,Nombres!$C$3:$D$636,286,FALSE)</f>
        <v>Préstamos Empresas TL</v>
      </c>
      <c r="B45" s="212">
        <v>7163.16799468245</v>
      </c>
      <c r="C45" s="212">
        <v>8494.397801181989</v>
      </c>
      <c r="D45" s="212">
        <v>9734.489209948817</v>
      </c>
      <c r="E45" s="212">
        <v>10467.066087758603</v>
      </c>
      <c r="F45" s="212">
        <v>10556.26830234641</v>
      </c>
      <c r="G45" s="212">
        <v>0</v>
      </c>
      <c r="H45" s="212">
        <v>0</v>
      </c>
      <c r="I45" s="212">
        <v>0</v>
      </c>
      <c r="L45" s="212"/>
      <c r="M45" s="222"/>
      <c r="N45" s="261"/>
    </row>
    <row r="46" spans="1:14" ht="15">
      <c r="A46" s="213" t="str">
        <f>HLOOKUP(INDICE!$F$2,Nombres!$C$3:$D$636,287,FALSE)</f>
        <v>Total Préstamos TL</v>
      </c>
      <c r="B46" s="214">
        <v>14644.141292534681</v>
      </c>
      <c r="C46" s="214">
        <v>17103.568271123946</v>
      </c>
      <c r="D46" s="214">
        <v>19578.46472337949</v>
      </c>
      <c r="E46" s="214">
        <v>22578.807079399943</v>
      </c>
      <c r="F46" s="214">
        <v>24927.155691951044</v>
      </c>
      <c r="G46" s="214">
        <v>0</v>
      </c>
      <c r="H46" s="214">
        <v>0</v>
      </c>
      <c r="I46" s="214">
        <v>0</v>
      </c>
      <c r="L46" s="212"/>
      <c r="M46" s="222"/>
      <c r="N46" s="261"/>
    </row>
    <row r="47" spans="1:14" ht="15">
      <c r="A47" s="213" t="str">
        <f>HLOOKUP(INDICE!$F$2,Nombres!$C$3:$D$636,288,FALSE)</f>
        <v>Total Préstamos FC</v>
      </c>
      <c r="B47" s="214">
        <v>10262.731749519793</v>
      </c>
      <c r="C47" s="214">
        <v>9457.851852155189</v>
      </c>
      <c r="D47" s="214">
        <v>8247.823283784093</v>
      </c>
      <c r="E47" s="214">
        <v>8310.720466544793</v>
      </c>
      <c r="F47" s="214">
        <v>8859.916008765345</v>
      </c>
      <c r="G47" s="214">
        <v>0</v>
      </c>
      <c r="H47" s="214">
        <v>0</v>
      </c>
      <c r="I47" s="214">
        <v>0</v>
      </c>
      <c r="L47" s="211"/>
      <c r="M47" s="222"/>
      <c r="N47" s="261"/>
    </row>
    <row r="48" spans="1:14" ht="15.75">
      <c r="A48" s="221" t="str">
        <f>HLOOKUP(INDICE!$F$2,Nombres!$C$3:$D$636,295,FALSE)</f>
        <v>(TL Lira Turca FC Moneda Extranjera)</v>
      </c>
      <c r="B48" s="215">
        <f>+SUM(B32:B37)-B38</f>
        <v>0</v>
      </c>
      <c r="C48" s="215">
        <f aca="true" t="shared" si="5" ref="C48:I48">+SUM(C32:C37)-C38</f>
        <v>0</v>
      </c>
      <c r="D48" s="215">
        <f t="shared" si="5"/>
        <v>0</v>
      </c>
      <c r="E48" s="215">
        <f t="shared" si="5"/>
        <v>0</v>
      </c>
      <c r="F48" s="215">
        <f t="shared" si="5"/>
        <v>0</v>
      </c>
      <c r="G48" s="215">
        <f t="shared" si="5"/>
        <v>0</v>
      </c>
      <c r="H48" s="215">
        <f t="shared" si="5"/>
        <v>0</v>
      </c>
      <c r="I48" s="215">
        <f t="shared" si="5"/>
        <v>0</v>
      </c>
      <c r="L48" s="213"/>
      <c r="M48" s="222"/>
      <c r="N48" s="261"/>
    </row>
    <row r="49" spans="1:14" ht="15.75">
      <c r="A49" s="206"/>
      <c r="B49" s="216"/>
      <c r="C49" s="216"/>
      <c r="D49" s="216"/>
      <c r="E49" s="216"/>
      <c r="F49" s="216"/>
      <c r="G49" s="216"/>
      <c r="H49" s="216"/>
      <c r="I49" s="216"/>
      <c r="L49" s="216"/>
      <c r="M49" s="222"/>
      <c r="N49" s="261"/>
    </row>
    <row r="50" spans="1:14" ht="15.75">
      <c r="A50" s="206"/>
      <c r="B50" s="216"/>
      <c r="C50" s="216"/>
      <c r="D50" s="216"/>
      <c r="E50" s="216"/>
      <c r="F50" s="216"/>
      <c r="G50" s="216"/>
      <c r="H50" s="216"/>
      <c r="I50" s="216"/>
      <c r="L50" s="216"/>
      <c r="N50" s="261"/>
    </row>
    <row r="51" spans="1:14" ht="15.75" customHeight="1">
      <c r="A51" s="209"/>
      <c r="B51" s="305" t="str">
        <f>HLOOKUP(INDICE!$F$2,Nombres!$C$3:$D$636,283,FALSE)</f>
        <v>América del Sur </v>
      </c>
      <c r="C51" s="305"/>
      <c r="D51" s="305"/>
      <c r="E51" s="305"/>
      <c r="F51" s="305"/>
      <c r="G51" s="305"/>
      <c r="H51" s="305"/>
      <c r="I51" s="305"/>
      <c r="N51" s="261"/>
    </row>
    <row r="52" spans="1:14" ht="15.75">
      <c r="A52" s="210"/>
      <c r="B52" s="118">
        <f>+B$5</f>
        <v>44651</v>
      </c>
      <c r="C52" s="118">
        <f aca="true" t="shared" si="6" ref="C52:I52">+C$5</f>
        <v>44742</v>
      </c>
      <c r="D52" s="118">
        <f t="shared" si="6"/>
        <v>44834</v>
      </c>
      <c r="E52" s="118">
        <f t="shared" si="6"/>
        <v>44926</v>
      </c>
      <c r="F52" s="118">
        <f t="shared" si="6"/>
        <v>45016</v>
      </c>
      <c r="G52" s="118">
        <f t="shared" si="6"/>
        <v>45107</v>
      </c>
      <c r="H52" s="118">
        <f t="shared" si="6"/>
        <v>45199</v>
      </c>
      <c r="I52" s="118">
        <f t="shared" si="6"/>
        <v>45291</v>
      </c>
      <c r="N52" s="261"/>
    </row>
    <row r="53" spans="1:12" ht="15">
      <c r="A53" s="211" t="s">
        <v>6</v>
      </c>
      <c r="B53" s="212">
        <v>1835.2734912859935</v>
      </c>
      <c r="C53" s="212">
        <v>2297.280071406792</v>
      </c>
      <c r="D53" s="212">
        <v>2564.6075308785553</v>
      </c>
      <c r="E53" s="212">
        <v>3182.893491486796</v>
      </c>
      <c r="F53" s="212">
        <v>3853.939</v>
      </c>
      <c r="G53" s="212">
        <v>0</v>
      </c>
      <c r="H53" s="212">
        <v>0</v>
      </c>
      <c r="I53" s="212">
        <v>0</v>
      </c>
      <c r="L53" s="212"/>
    </row>
    <row r="54" spans="1:12" ht="15">
      <c r="A54" s="211" t="s">
        <v>7</v>
      </c>
      <c r="B54" s="212">
        <v>1683.500032769343</v>
      </c>
      <c r="C54" s="212">
        <v>1814.4011985777256</v>
      </c>
      <c r="D54" s="212">
        <v>1994.735727693118</v>
      </c>
      <c r="E54" s="212">
        <v>2122.467276142664</v>
      </c>
      <c r="F54" s="212">
        <v>2176.2560000000003</v>
      </c>
      <c r="G54" s="212">
        <v>0</v>
      </c>
      <c r="H54" s="212">
        <v>0</v>
      </c>
      <c r="I54" s="212">
        <v>0</v>
      </c>
      <c r="L54" s="212"/>
    </row>
    <row r="55" spans="1:12" ht="15.75" customHeight="1">
      <c r="A55" s="211" t="s">
        <v>8</v>
      </c>
      <c r="B55" s="212">
        <v>11676.331167010647</v>
      </c>
      <c r="C55" s="212">
        <v>12467.850256117881</v>
      </c>
      <c r="D55" s="212">
        <v>12881.453304144083</v>
      </c>
      <c r="E55" s="212">
        <v>13541.257840850318</v>
      </c>
      <c r="F55" s="212">
        <v>13722.783</v>
      </c>
      <c r="G55" s="212">
        <v>0</v>
      </c>
      <c r="H55" s="212">
        <v>0</v>
      </c>
      <c r="I55" s="212">
        <v>0</v>
      </c>
      <c r="L55" s="212"/>
    </row>
    <row r="56" spans="1:12" ht="15">
      <c r="A56" s="211" t="s">
        <v>9</v>
      </c>
      <c r="B56" s="212">
        <v>16965.000718598098</v>
      </c>
      <c r="C56" s="212">
        <v>16870.553385224357</v>
      </c>
      <c r="D56" s="212">
        <v>17011.954899167322</v>
      </c>
      <c r="E56" s="212">
        <v>16803.919738175944</v>
      </c>
      <c r="F56" s="212">
        <v>17033.262</v>
      </c>
      <c r="G56" s="212">
        <v>0</v>
      </c>
      <c r="H56" s="212">
        <v>0</v>
      </c>
      <c r="I56" s="212">
        <v>0</v>
      </c>
      <c r="L56" s="212"/>
    </row>
    <row r="57" spans="1:14" ht="15">
      <c r="A57" s="211" t="s">
        <v>10</v>
      </c>
      <c r="B57" s="212">
        <v>2154.3950102948224</v>
      </c>
      <c r="C57" s="212">
        <v>2304.923975058015</v>
      </c>
      <c r="D57" s="212">
        <v>2378.6683708449596</v>
      </c>
      <c r="E57" s="212">
        <v>2446.5782699507254</v>
      </c>
      <c r="F57" s="212">
        <v>2419.774</v>
      </c>
      <c r="G57" s="212">
        <v>0</v>
      </c>
      <c r="H57" s="212">
        <v>0</v>
      </c>
      <c r="I57" s="212">
        <v>0</v>
      </c>
      <c r="L57" s="212"/>
      <c r="N57" s="261"/>
    </row>
    <row r="58" spans="1:14" ht="15">
      <c r="A58" s="213" t="str">
        <f>HLOOKUP(INDICE!$F$2,Nombres!$C$3:$D$636,112,FALSE)</f>
        <v>Crédito no dudoso en gestión (*)</v>
      </c>
      <c r="B58" s="214">
        <v>34314.5004199589</v>
      </c>
      <c r="C58" s="214">
        <v>35755.00888638478</v>
      </c>
      <c r="D58" s="214">
        <v>36831.41983272803</v>
      </c>
      <c r="E58" s="214">
        <v>38097.11661660645</v>
      </c>
      <c r="F58" s="214">
        <v>39206.013999999996</v>
      </c>
      <c r="G58" s="214">
        <v>0</v>
      </c>
      <c r="H58" s="214">
        <v>0</v>
      </c>
      <c r="I58" s="214">
        <v>0</v>
      </c>
      <c r="L58" s="213"/>
      <c r="N58" s="261"/>
    </row>
    <row r="59" spans="1:14" ht="15.75">
      <c r="A59" s="206"/>
      <c r="B59" s="215">
        <f>+SUM(B53:B57)-B58</f>
        <v>0</v>
      </c>
      <c r="C59" s="215">
        <f aca="true" t="shared" si="7" ref="C59:I59">+SUM(C53:C57)-C58</f>
        <v>0</v>
      </c>
      <c r="D59" s="215">
        <f t="shared" si="7"/>
        <v>0</v>
      </c>
      <c r="E59" s="215">
        <f t="shared" si="7"/>
        <v>0</v>
      </c>
      <c r="F59" s="215">
        <f t="shared" si="7"/>
        <v>0</v>
      </c>
      <c r="G59" s="215">
        <f t="shared" si="7"/>
        <v>0</v>
      </c>
      <c r="H59" s="215">
        <f t="shared" si="7"/>
        <v>0</v>
      </c>
      <c r="I59" s="215">
        <f t="shared" si="7"/>
        <v>0</v>
      </c>
      <c r="L59" s="216"/>
      <c r="N59" s="261"/>
    </row>
    <row r="60" spans="1:14" ht="15" customHeight="1">
      <c r="A60" s="206"/>
      <c r="B60" s="206"/>
      <c r="C60" s="206"/>
      <c r="D60" s="206"/>
      <c r="E60" s="206"/>
      <c r="F60" s="206"/>
      <c r="L60" s="206"/>
      <c r="N60" s="261"/>
    </row>
    <row r="61" spans="1:14" ht="15" customHeight="1">
      <c r="A61" s="223" t="str">
        <f>HLOOKUP(INDICE!$F$2,Nombres!$C$3:$D$636,71,FALSE)</f>
        <v>(*) No incluye las adquisiciones temporales de activos.</v>
      </c>
      <c r="B61" s="206"/>
      <c r="C61" s="206"/>
      <c r="D61" s="206"/>
      <c r="E61" s="206"/>
      <c r="F61" s="206"/>
      <c r="L61" s="206"/>
      <c r="N61" s="261"/>
    </row>
    <row r="62" spans="1:14" ht="15" customHeight="1">
      <c r="A62" s="223"/>
      <c r="B62" s="206"/>
      <c r="C62" s="206"/>
      <c r="D62" s="206"/>
      <c r="E62" s="206"/>
      <c r="F62" s="206"/>
      <c r="L62" s="206"/>
      <c r="N62" s="261"/>
    </row>
    <row r="63" spans="1:12" ht="15.75">
      <c r="A63" s="206"/>
      <c r="B63" s="206"/>
      <c r="C63" s="206"/>
      <c r="D63" s="206"/>
      <c r="E63" s="206"/>
      <c r="F63" s="206"/>
      <c r="L63" s="206"/>
    </row>
    <row r="64" spans="1:12" ht="15.75">
      <c r="A64" s="206"/>
      <c r="B64" s="206"/>
      <c r="C64" s="206"/>
      <c r="D64" s="206"/>
      <c r="E64" s="206"/>
      <c r="F64" s="206"/>
      <c r="L64" s="206"/>
    </row>
    <row r="65" spans="1:12" ht="15.75">
      <c r="A65" s="206"/>
      <c r="B65" s="206"/>
      <c r="C65" s="206"/>
      <c r="D65" s="206"/>
      <c r="E65" s="206"/>
      <c r="F65" s="206"/>
      <c r="L65" s="206"/>
    </row>
    <row r="66" spans="1:12" ht="15.75">
      <c r="A66" s="206"/>
      <c r="B66" s="206"/>
      <c r="C66" s="206"/>
      <c r="D66" s="206"/>
      <c r="E66" s="206"/>
      <c r="F66" s="206"/>
      <c r="L66" s="206"/>
    </row>
    <row r="67" spans="1:12" ht="15.75">
      <c r="A67" s="206"/>
      <c r="B67" s="206"/>
      <c r="C67" s="206"/>
      <c r="D67" s="206"/>
      <c r="E67" s="206"/>
      <c r="F67" s="206"/>
      <c r="L67" s="206"/>
    </row>
    <row r="68" spans="1:12" ht="15.75">
      <c r="A68" s="206"/>
      <c r="B68" s="206"/>
      <c r="C68" s="206"/>
      <c r="D68" s="206"/>
      <c r="E68" s="206"/>
      <c r="F68" s="206"/>
      <c r="L68" s="206"/>
    </row>
    <row r="69" spans="1:12" ht="15.75">
      <c r="A69" s="206"/>
      <c r="B69" s="206"/>
      <c r="C69" s="206"/>
      <c r="D69" s="206"/>
      <c r="E69" s="206"/>
      <c r="F69" s="206"/>
      <c r="L69" s="206"/>
    </row>
    <row r="70" spans="1:12" ht="15.75">
      <c r="A70" s="206"/>
      <c r="B70" s="206"/>
      <c r="C70" s="206"/>
      <c r="D70" s="206"/>
      <c r="E70" s="206"/>
      <c r="F70" s="206"/>
      <c r="L70" s="206"/>
    </row>
    <row r="996" ht="15">
      <c r="A996" s="205" t="s">
        <v>391</v>
      </c>
    </row>
  </sheetData>
  <sheetProtection/>
  <mergeCells count="5">
    <mergeCell ref="B4:I4"/>
    <mergeCell ref="B17:I17"/>
    <mergeCell ref="B30:I30"/>
    <mergeCell ref="B42:I42"/>
    <mergeCell ref="B51:I51"/>
  </mergeCells>
  <conditionalFormatting sqref="B14:I14">
    <cfRule type="cellIs" priority="6" dxfId="261" operator="notBetween">
      <formula>0.5</formula>
      <formula>-0.5</formula>
    </cfRule>
  </conditionalFormatting>
  <conditionalFormatting sqref="B27:I27">
    <cfRule type="cellIs" priority="5" dxfId="261" operator="notBetween">
      <formula>0.5</formula>
      <formula>-0.5</formula>
    </cfRule>
  </conditionalFormatting>
  <conditionalFormatting sqref="C27:I27">
    <cfRule type="cellIs" priority="4" dxfId="261" operator="notBetween">
      <formula>0.5</formula>
      <formula>-0.5</formula>
    </cfRule>
  </conditionalFormatting>
  <conditionalFormatting sqref="B48">
    <cfRule type="cellIs" priority="3" dxfId="261" operator="notBetween">
      <formula>0.5</formula>
      <formula>-0.5</formula>
    </cfRule>
  </conditionalFormatting>
  <conditionalFormatting sqref="C48:I48">
    <cfRule type="cellIs" priority="2" dxfId="261" operator="notBetween">
      <formula>0.5</formula>
      <formula>-0.5</formula>
    </cfRule>
  </conditionalFormatting>
  <conditionalFormatting sqref="B59:I59">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5" customWidth="1"/>
    <col min="2" max="2" width="12.28125" style="205" customWidth="1"/>
    <col min="3" max="6" width="11.421875" style="205" customWidth="1"/>
    <col min="7" max="9" width="11.421875" style="205" hidden="1" customWidth="1"/>
    <col min="10" max="11" width="5.7109375" style="205" customWidth="1"/>
    <col min="12" max="12" width="19.57421875" style="205" customWidth="1"/>
    <col min="13" max="16384" width="11.421875" style="205" customWidth="1"/>
  </cols>
  <sheetData>
    <row r="1" spans="1:9" ht="18">
      <c r="A1" s="202" t="str">
        <f>HLOOKUP(INDICE!$F$2,Nombres!$C$3:$D$636,120,FALSE)</f>
        <v>Desglose de los recursos de clientes en gestión</v>
      </c>
      <c r="B1" s="203"/>
      <c r="C1" s="203"/>
      <c r="D1" s="203"/>
      <c r="E1" s="203"/>
      <c r="F1" s="203"/>
      <c r="G1" s="203"/>
      <c r="H1" s="203"/>
      <c r="I1" s="203"/>
    </row>
    <row r="2" spans="1:6" ht="15.75">
      <c r="A2" s="207" t="str">
        <f>HLOOKUP(INDICE!$F$2,Nombres!$C$3:$D$636,73,FALSE)</f>
        <v>(Millones de euros constantes)</v>
      </c>
      <c r="B2" s="206"/>
      <c r="C2" s="206"/>
      <c r="D2" s="206"/>
      <c r="E2" s="206"/>
      <c r="F2" s="206"/>
    </row>
    <row r="3" spans="1:12" ht="15.75" customHeight="1">
      <c r="A3" s="209"/>
      <c r="B3" s="305" t="str">
        <f>HLOOKUP(INDICE!$F$2,Nombres!$C$3:$D$636,7,FALSE)</f>
        <v>España</v>
      </c>
      <c r="C3" s="305"/>
      <c r="D3" s="305"/>
      <c r="E3" s="305"/>
      <c r="F3" s="305"/>
      <c r="G3" s="305"/>
      <c r="H3" s="305"/>
      <c r="I3" s="305"/>
      <c r="L3" s="224"/>
    </row>
    <row r="4" spans="1:9" ht="15.75">
      <c r="A4" s="210"/>
      <c r="B4" s="118">
        <f>+España!B32</f>
        <v>44651</v>
      </c>
      <c r="C4" s="118">
        <f>+España!C32</f>
        <v>44742</v>
      </c>
      <c r="D4" s="118">
        <f>+España!D32</f>
        <v>44834</v>
      </c>
      <c r="E4" s="118">
        <f>+España!E32</f>
        <v>44926</v>
      </c>
      <c r="F4" s="118">
        <f>+España!F32</f>
        <v>45016</v>
      </c>
      <c r="G4" s="118">
        <f>+España!G32</f>
        <v>45107</v>
      </c>
      <c r="H4" s="118">
        <f>+España!H32</f>
        <v>45199</v>
      </c>
      <c r="I4" s="118">
        <f>+España!I32</f>
        <v>45291</v>
      </c>
    </row>
    <row r="5" spans="1:12" ht="15">
      <c r="A5" s="211" t="str">
        <f>HLOOKUP(INDICE!$F$2,Nombres!$C$3:$D$636,114,FALSE)</f>
        <v>Depósitos a la vista + Disponibles con preaviso</v>
      </c>
      <c r="B5" s="212">
        <v>189479.81666199997</v>
      </c>
      <c r="C5" s="212">
        <v>194253.54097</v>
      </c>
      <c r="D5" s="212">
        <v>193909.239639</v>
      </c>
      <c r="E5" s="212">
        <v>198131.115479</v>
      </c>
      <c r="F5" s="212">
        <v>190585.723555</v>
      </c>
      <c r="G5" s="212">
        <v>0</v>
      </c>
      <c r="H5" s="212">
        <v>0</v>
      </c>
      <c r="I5" s="212">
        <v>0</v>
      </c>
      <c r="L5" s="211"/>
    </row>
    <row r="6" spans="1:12" ht="15">
      <c r="A6" s="211" t="str">
        <f>HLOOKUP(INDICE!$F$2,Nombres!$C$3:$D$636,115,FALSE)</f>
        <v>Depósitos a plazo</v>
      </c>
      <c r="B6" s="212">
        <v>16925.437971</v>
      </c>
      <c r="C6" s="212">
        <v>16845.767135000002</v>
      </c>
      <c r="D6" s="212">
        <v>18961.266234</v>
      </c>
      <c r="E6" s="212">
        <v>22008.405587</v>
      </c>
      <c r="F6" s="212">
        <v>22725.272305</v>
      </c>
      <c r="G6" s="212">
        <v>0</v>
      </c>
      <c r="H6" s="212">
        <v>0</v>
      </c>
      <c r="I6" s="212">
        <v>0</v>
      </c>
      <c r="L6" s="211"/>
    </row>
    <row r="7" spans="1:12" ht="15">
      <c r="A7" s="211" t="str">
        <f>HLOOKUP(INDICE!$F$2,Nombres!$C$3:$D$636,116,FALSE)</f>
        <v>Recursos fuera de balance (*)</v>
      </c>
      <c r="B7" s="212">
        <v>90827.85125446998</v>
      </c>
      <c r="C7" s="212">
        <v>86828.40831213</v>
      </c>
      <c r="D7" s="212">
        <v>85180.62565222</v>
      </c>
      <c r="E7" s="212">
        <v>86758.50581024999</v>
      </c>
      <c r="F7" s="212">
        <v>90577.40561005</v>
      </c>
      <c r="G7" s="212">
        <v>0</v>
      </c>
      <c r="H7" s="212">
        <v>0</v>
      </c>
      <c r="I7" s="212">
        <v>0</v>
      </c>
      <c r="L7" s="211"/>
    </row>
    <row r="8" spans="1:12" ht="15">
      <c r="A8" s="213" t="str">
        <f>HLOOKUP(INDICE!$F$2,Nombres!$C$3:$D$636,208,FALSE)</f>
        <v> Recursos de clientes en gestión (**)</v>
      </c>
      <c r="B8" s="213">
        <v>297233.10588746995</v>
      </c>
      <c r="C8" s="213">
        <v>297927.71641712997</v>
      </c>
      <c r="D8" s="213">
        <v>298051.13152522</v>
      </c>
      <c r="E8" s="213">
        <v>306898.02687625</v>
      </c>
      <c r="F8" s="213">
        <v>303888.40147005</v>
      </c>
      <c r="G8" s="213">
        <v>0</v>
      </c>
      <c r="H8" s="213">
        <v>0</v>
      </c>
      <c r="I8" s="213">
        <v>0</v>
      </c>
      <c r="L8" s="213"/>
    </row>
    <row r="9" spans="1:12" ht="15.75">
      <c r="A9" s="211" t="str">
        <f>HLOOKUP(INDICE!$F$2,Nombres!$C$3:$D$636,118,FALSE)</f>
        <v>Vista+Plazo</v>
      </c>
      <c r="B9" s="212">
        <f aca="true" t="shared" si="0" ref="B9:I9">+B5+B6</f>
        <v>206405.25463299998</v>
      </c>
      <c r="C9" s="212">
        <f t="shared" si="0"/>
        <v>211099.308105</v>
      </c>
      <c r="D9" s="212">
        <f t="shared" si="0"/>
        <v>212870.50587300002</v>
      </c>
      <c r="E9" s="212">
        <f t="shared" si="0"/>
        <v>220139.521066</v>
      </c>
      <c r="F9" s="212">
        <f t="shared" si="0"/>
        <v>213310.99586</v>
      </c>
      <c r="G9" s="212">
        <f t="shared" si="0"/>
        <v>0</v>
      </c>
      <c r="H9" s="212">
        <f t="shared" si="0"/>
        <v>0</v>
      </c>
      <c r="I9" s="212">
        <f t="shared" si="0"/>
        <v>0</v>
      </c>
      <c r="L9" s="206"/>
    </row>
    <row r="10" spans="1:9" ht="15.75">
      <c r="A10" s="206"/>
      <c r="B10" s="215">
        <f>+B5+B6+B7-B8</f>
        <v>0</v>
      </c>
      <c r="C10" s="215">
        <f aca="true" t="shared" si="1" ref="C10:I10">+C5+C6+C7-C8</f>
        <v>0</v>
      </c>
      <c r="D10" s="215">
        <f t="shared" si="1"/>
        <v>0</v>
      </c>
      <c r="E10" s="215">
        <f t="shared" si="1"/>
        <v>0</v>
      </c>
      <c r="F10" s="215">
        <f t="shared" si="1"/>
        <v>0</v>
      </c>
      <c r="G10" s="215">
        <f t="shared" si="1"/>
        <v>0</v>
      </c>
      <c r="H10" s="215">
        <f t="shared" si="1"/>
        <v>0</v>
      </c>
      <c r="I10" s="215">
        <f t="shared" si="1"/>
        <v>0</v>
      </c>
    </row>
    <row r="11" spans="1:9" ht="15.75">
      <c r="A11" s="206"/>
      <c r="B11" s="215">
        <f>+B9-España!B54</f>
        <v>0</v>
      </c>
      <c r="C11" s="215">
        <f>+C9-España!C54</f>
        <v>0</v>
      </c>
      <c r="D11" s="215">
        <f>+D9-España!D54</f>
        <v>0</v>
      </c>
      <c r="E11" s="215">
        <f>+E9-España!E54</f>
        <v>0</v>
      </c>
      <c r="F11" s="215">
        <f>+F9-España!F54</f>
        <v>0</v>
      </c>
      <c r="G11" s="215">
        <f>+G9-España!G54</f>
        <v>0</v>
      </c>
      <c r="H11" s="215">
        <f>+H9-España!H54</f>
        <v>0</v>
      </c>
      <c r="I11" s="215">
        <f>+I9-España!I54</f>
        <v>0</v>
      </c>
    </row>
    <row r="12" spans="1:12" ht="15.75" customHeight="1">
      <c r="A12" s="209"/>
      <c r="B12" s="305" t="str">
        <f>HLOOKUP(INDICE!$F$2,Nombres!$C$3:$D$636,204,FALSE)</f>
        <v>Mexico (***)</v>
      </c>
      <c r="C12" s="305"/>
      <c r="D12" s="305"/>
      <c r="E12" s="305"/>
      <c r="F12" s="305"/>
      <c r="G12" s="305"/>
      <c r="H12" s="305"/>
      <c r="I12" s="305"/>
      <c r="L12" s="224"/>
    </row>
    <row r="13" spans="1:9" ht="15.75">
      <c r="A13" s="210"/>
      <c r="B13" s="118">
        <f>+B$4</f>
        <v>44651</v>
      </c>
      <c r="C13" s="118">
        <f aca="true" t="shared" si="2" ref="C13:I13">+C$4</f>
        <v>44742</v>
      </c>
      <c r="D13" s="118">
        <f t="shared" si="2"/>
        <v>44834</v>
      </c>
      <c r="E13" s="118">
        <f t="shared" si="2"/>
        <v>44926</v>
      </c>
      <c r="F13" s="118">
        <f t="shared" si="2"/>
        <v>45016</v>
      </c>
      <c r="G13" s="118">
        <f t="shared" si="2"/>
        <v>45107</v>
      </c>
      <c r="H13" s="118">
        <f t="shared" si="2"/>
        <v>45199</v>
      </c>
      <c r="I13" s="118">
        <f t="shared" si="2"/>
        <v>45291</v>
      </c>
    </row>
    <row r="14" spans="1:12" ht="15">
      <c r="A14" s="211" t="str">
        <f>HLOOKUP(INDICE!$F$2,Nombres!$C$3:$D$636,114,FALSE)</f>
        <v>Depósitos a la vista + Disponibles con preaviso</v>
      </c>
      <c r="B14" s="212">
        <v>65664.62591715144</v>
      </c>
      <c r="C14" s="212">
        <v>64384.168900085715</v>
      </c>
      <c r="D14" s="212">
        <v>62748.92850724713</v>
      </c>
      <c r="E14" s="212">
        <v>68616.79646547469</v>
      </c>
      <c r="F14" s="212">
        <v>66510.02100001</v>
      </c>
      <c r="G14" s="212">
        <v>0</v>
      </c>
      <c r="H14" s="212">
        <v>0</v>
      </c>
      <c r="I14" s="212">
        <v>0</v>
      </c>
      <c r="J14" s="212"/>
      <c r="L14" s="211"/>
    </row>
    <row r="15" spans="1:12" ht="15">
      <c r="A15" s="211" t="str">
        <f>HLOOKUP(INDICE!$F$2,Nombres!$C$3:$D$636,115,FALSE)</f>
        <v>Depósitos a plazo</v>
      </c>
      <c r="B15" s="212">
        <v>12278.152772411673</v>
      </c>
      <c r="C15" s="212">
        <v>12692.363534315693</v>
      </c>
      <c r="D15" s="212">
        <v>12966.043020971323</v>
      </c>
      <c r="E15" s="212">
        <v>13278.287079230773</v>
      </c>
      <c r="F15" s="212">
        <v>13155.32399998</v>
      </c>
      <c r="G15" s="212">
        <v>0</v>
      </c>
      <c r="H15" s="212">
        <v>0</v>
      </c>
      <c r="I15" s="212">
        <v>0</v>
      </c>
      <c r="J15" s="212"/>
      <c r="L15" s="211"/>
    </row>
    <row r="16" spans="1:12" ht="15">
      <c r="A16" s="211" t="str">
        <f>HLOOKUP(INDICE!$F$2,Nombres!$C$3:$D$636,116,FALSE)</f>
        <v>Recursos fuera de balance (*)</v>
      </c>
      <c r="B16" s="212">
        <v>38731.9878941654</v>
      </c>
      <c r="C16" s="212">
        <v>39397.975877665274</v>
      </c>
      <c r="D16" s="212">
        <v>40251.48061331778</v>
      </c>
      <c r="E16" s="212">
        <v>40562.030015157594</v>
      </c>
      <c r="F16" s="212">
        <v>44408.2976677</v>
      </c>
      <c r="G16" s="212">
        <v>0</v>
      </c>
      <c r="H16" s="212">
        <v>0</v>
      </c>
      <c r="I16" s="212">
        <v>0</v>
      </c>
      <c r="J16" s="212"/>
      <c r="L16" s="211"/>
    </row>
    <row r="17" spans="1:12" ht="15">
      <c r="A17" s="213" t="str">
        <f>HLOOKUP(INDICE!$F$2,Nombres!$C$3:$D$636,208,FALSE)</f>
        <v> Recursos de clientes en gestión (**)</v>
      </c>
      <c r="B17" s="213">
        <v>116674.7665837285</v>
      </c>
      <c r="C17" s="213">
        <v>116474.5083120667</v>
      </c>
      <c r="D17" s="213">
        <v>115966.45214153624</v>
      </c>
      <c r="E17" s="213">
        <v>122457.11355986308</v>
      </c>
      <c r="F17" s="213">
        <v>124073.64266769002</v>
      </c>
      <c r="G17" s="213">
        <v>0</v>
      </c>
      <c r="H17" s="213">
        <v>0</v>
      </c>
      <c r="I17" s="213">
        <v>0</v>
      </c>
      <c r="J17" s="212"/>
      <c r="L17" s="211"/>
    </row>
    <row r="18" spans="1:12" ht="15">
      <c r="A18" s="211" t="str">
        <f>HLOOKUP(INDICE!$F$2,Nombres!$C$3:$D$636,118,FALSE)</f>
        <v>Vista+Plazo</v>
      </c>
      <c r="B18" s="212">
        <v>77942.77868956311</v>
      </c>
      <c r="C18" s="212">
        <v>77076.53243440141</v>
      </c>
      <c r="D18" s="212">
        <v>75714.97152821845</v>
      </c>
      <c r="E18" s="212">
        <v>81895.08354470547</v>
      </c>
      <c r="F18" s="212">
        <v>79665.34499999</v>
      </c>
      <c r="G18" s="212">
        <v>0</v>
      </c>
      <c r="H18" s="212">
        <v>0</v>
      </c>
      <c r="I18" s="212">
        <v>0</v>
      </c>
      <c r="J18" s="213"/>
      <c r="L18" s="213"/>
    </row>
    <row r="19" spans="1:9" ht="15.75">
      <c r="A19" s="221" t="str">
        <f>HLOOKUP(INDICE!$F$2,Nombres!$C$3:$D$636,205,FALSE)</f>
        <v>Criterio Local Contable(***) </v>
      </c>
      <c r="B19" s="215">
        <f>+B14+B15+B16-B17</f>
        <v>0</v>
      </c>
      <c r="C19" s="215">
        <f aca="true" t="shared" si="3" ref="C19:I19">+C14+C15+C16-C17</f>
        <v>0</v>
      </c>
      <c r="D19" s="215">
        <f t="shared" si="3"/>
        <v>0</v>
      </c>
      <c r="E19" s="215">
        <f t="shared" si="3"/>
        <v>0</v>
      </c>
      <c r="F19" s="215">
        <f t="shared" si="3"/>
        <v>0</v>
      </c>
      <c r="G19" s="215">
        <f t="shared" si="3"/>
        <v>0</v>
      </c>
      <c r="H19" s="215">
        <f t="shared" si="3"/>
        <v>0</v>
      </c>
      <c r="I19" s="215">
        <f t="shared" si="3"/>
        <v>0</v>
      </c>
    </row>
    <row r="20" spans="1:12" ht="15.75">
      <c r="A20" s="206"/>
      <c r="B20" s="309">
        <f>+B17-Mexico!B108-Mexico!B109-Mexico!B110-Mexico!B111</f>
        <v>-5.4569682106375694E-12</v>
      </c>
      <c r="C20" s="309">
        <f>+C17-Mexico!C108-Mexico!C109-Mexico!C110-Mexico!C111</f>
        <v>-3.637978807091713E-12</v>
      </c>
      <c r="D20" s="309">
        <f>+D17-Mexico!D108-Mexico!D109-Mexico!D110-Mexico!D111</f>
        <v>5.4569682106375694E-12</v>
      </c>
      <c r="E20" s="309">
        <f>+E17-Mexico!E108-Mexico!E109-Mexico!E110-Mexico!E111</f>
        <v>1.1823431123048067E-11</v>
      </c>
      <c r="F20" s="215">
        <f>+F17-Mexico!F108-Mexico!F109-Mexico!F110-Mexico!F111</f>
        <v>8.185452315956354E-12</v>
      </c>
      <c r="G20" s="215">
        <f>+G17-Mexico!G108-Mexico!G109-Mexico!G110-Mexico!G111</f>
        <v>0</v>
      </c>
      <c r="H20" s="215">
        <f>+H17-Mexico!H108-Mexico!H109-Mexico!H110-Mexico!H111</f>
        <v>0</v>
      </c>
      <c r="I20" s="215">
        <f>+I17-Mexico!I108-Mexico!I109-Mexico!I110-Mexico!I111</f>
        <v>0</v>
      </c>
      <c r="L20" s="224"/>
    </row>
    <row r="21" spans="1:12" ht="15.75" customHeight="1">
      <c r="A21" s="209"/>
      <c r="B21" s="305" t="str">
        <f>HLOOKUP(INDICE!$F$2,Nombres!$C$3:$D$636,12,FALSE)</f>
        <v>Turquía </v>
      </c>
      <c r="C21" s="305"/>
      <c r="D21" s="305"/>
      <c r="E21" s="305"/>
      <c r="F21" s="305"/>
      <c r="G21" s="305"/>
      <c r="H21" s="305"/>
      <c r="I21" s="305"/>
      <c r="L21" s="224"/>
    </row>
    <row r="22" spans="1:9" ht="15.75">
      <c r="A22" s="210"/>
      <c r="B22" s="118">
        <f>+B$4</f>
        <v>44651</v>
      </c>
      <c r="C22" s="118">
        <f aca="true" t="shared" si="4" ref="C22:I22">+C$4</f>
        <v>44742</v>
      </c>
      <c r="D22" s="118">
        <f t="shared" si="4"/>
        <v>44834</v>
      </c>
      <c r="E22" s="118">
        <f t="shared" si="4"/>
        <v>44926</v>
      </c>
      <c r="F22" s="118">
        <f t="shared" si="4"/>
        <v>45016</v>
      </c>
      <c r="G22" s="118">
        <f t="shared" si="4"/>
        <v>45107</v>
      </c>
      <c r="H22" s="118">
        <f t="shared" si="4"/>
        <v>45199</v>
      </c>
      <c r="I22" s="118">
        <f t="shared" si="4"/>
        <v>45291</v>
      </c>
    </row>
    <row r="23" spans="1:12" ht="15">
      <c r="A23" s="211" t="str">
        <f>HLOOKUP(INDICE!$F$2,Nombres!$C$3:$D$636,114,FALSE)</f>
        <v>Depósitos a la vista + Disponibles con preaviso</v>
      </c>
      <c r="B23" s="212">
        <v>17206.0500275138</v>
      </c>
      <c r="C23" s="212">
        <v>19391.3675924777</v>
      </c>
      <c r="D23" s="212">
        <v>22360.03288281655</v>
      </c>
      <c r="E23" s="212">
        <v>23726.634645354417</v>
      </c>
      <c r="F23" s="212">
        <v>24121.382</v>
      </c>
      <c r="G23" s="212">
        <v>0</v>
      </c>
      <c r="H23" s="212">
        <v>0</v>
      </c>
      <c r="I23" s="212">
        <v>0</v>
      </c>
      <c r="L23" s="211"/>
    </row>
    <row r="24" spans="1:12" ht="15">
      <c r="A24" s="211" t="str">
        <f>HLOOKUP(INDICE!$F$2,Nombres!$C$3:$D$636,115,FALSE)</f>
        <v>Depósitos a plazo</v>
      </c>
      <c r="B24" s="212">
        <v>14132.110339974888</v>
      </c>
      <c r="C24" s="212">
        <v>16050.10596355297</v>
      </c>
      <c r="D24" s="212">
        <v>18548.650531165636</v>
      </c>
      <c r="E24" s="212">
        <v>19902.104422080152</v>
      </c>
      <c r="F24" s="212">
        <v>25684.759000000002</v>
      </c>
      <c r="G24" s="212">
        <v>0</v>
      </c>
      <c r="H24" s="212">
        <v>0</v>
      </c>
      <c r="I24" s="212">
        <v>0</v>
      </c>
      <c r="L24" s="211"/>
    </row>
    <row r="25" spans="1:12" ht="15">
      <c r="A25" s="211" t="str">
        <f>HLOOKUP(INDICE!$F$2,Nombres!$C$3:$D$636,116,FALSE)</f>
        <v>Recursos fuera de balance (*)</v>
      </c>
      <c r="B25" s="212">
        <v>3450.739855444339</v>
      </c>
      <c r="C25" s="212">
        <v>4089.1168440465954</v>
      </c>
      <c r="D25" s="212">
        <v>4828.476889976947</v>
      </c>
      <c r="E25" s="212">
        <v>6637.075654269134</v>
      </c>
      <c r="F25" s="212">
        <v>7491.351</v>
      </c>
      <c r="G25" s="212">
        <v>0</v>
      </c>
      <c r="H25" s="212">
        <v>0</v>
      </c>
      <c r="I25" s="212">
        <v>0</v>
      </c>
      <c r="L25" s="211"/>
    </row>
    <row r="26" spans="1:12" ht="15">
      <c r="A26" s="213" t="str">
        <f>HLOOKUP(INDICE!$F$2,Nombres!$C$3:$D$636,208,FALSE)</f>
        <v> Recursos de clientes en gestión (**)</v>
      </c>
      <c r="B26" s="213">
        <v>34788.900222933036</v>
      </c>
      <c r="C26" s="213">
        <v>39530.590400077264</v>
      </c>
      <c r="D26" s="213">
        <v>45737.16030395914</v>
      </c>
      <c r="E26" s="213">
        <v>50265.8147217037</v>
      </c>
      <c r="F26" s="213">
        <v>57297.49199999999</v>
      </c>
      <c r="G26" s="213">
        <v>0</v>
      </c>
      <c r="H26" s="213">
        <v>0</v>
      </c>
      <c r="I26" s="213">
        <v>0</v>
      </c>
      <c r="L26" s="213"/>
    </row>
    <row r="27" spans="1:9" ht="15">
      <c r="A27" s="211" t="str">
        <f>HLOOKUP(INDICE!$F$2,Nombres!$C$3:$D$636,118,FALSE)</f>
        <v>Vista+Plazo</v>
      </c>
      <c r="B27" s="212">
        <f aca="true" t="shared" si="5" ref="B27:I27">+B23+B24</f>
        <v>31338.160367488686</v>
      </c>
      <c r="C27" s="212">
        <f t="shared" si="5"/>
        <v>35441.47355603067</v>
      </c>
      <c r="D27" s="212">
        <f t="shared" si="5"/>
        <v>40908.68341398219</v>
      </c>
      <c r="E27" s="212">
        <f t="shared" si="5"/>
        <v>43628.739067434566</v>
      </c>
      <c r="F27" s="212">
        <f t="shared" si="5"/>
        <v>49806.141</v>
      </c>
      <c r="G27" s="212">
        <f t="shared" si="5"/>
        <v>0</v>
      </c>
      <c r="H27" s="212">
        <f t="shared" si="5"/>
        <v>0</v>
      </c>
      <c r="I27" s="212">
        <f t="shared" si="5"/>
        <v>0</v>
      </c>
    </row>
    <row r="28" spans="1:9" ht="15.75">
      <c r="A28" s="206"/>
      <c r="B28" s="215">
        <f>+B23+B24+B25-B26</f>
        <v>0</v>
      </c>
      <c r="C28" s="215">
        <f aca="true" t="shared" si="6" ref="C28:I28">+C23+C24+C25-C26</f>
        <v>0</v>
      </c>
      <c r="D28" s="215">
        <f t="shared" si="6"/>
        <v>0</v>
      </c>
      <c r="E28" s="215">
        <f t="shared" si="6"/>
        <v>0</v>
      </c>
      <c r="F28" s="215">
        <f t="shared" si="6"/>
        <v>0</v>
      </c>
      <c r="G28" s="215">
        <f t="shared" si="6"/>
        <v>0</v>
      </c>
      <c r="H28" s="215">
        <f t="shared" si="6"/>
        <v>0</v>
      </c>
      <c r="I28" s="215">
        <f t="shared" si="6"/>
        <v>0</v>
      </c>
    </row>
    <row r="29" spans="1:9" ht="15.75">
      <c r="A29" s="213"/>
      <c r="B29" s="215">
        <f>+B26-Turquia!B108-Turquia!B109-Turquia!B110</f>
        <v>7.275957614183426E-12</v>
      </c>
      <c r="C29" s="215">
        <f>+C26-Turquia!C108-Turquia!C109-Turquia!C110</f>
        <v>-1.0913936421275139E-11</v>
      </c>
      <c r="D29" s="215">
        <f>+D26-Turquia!D108-Turquia!D109-Turquia!D110</f>
        <v>0</v>
      </c>
      <c r="E29" s="215">
        <f>+E26-Turquia!E108-Turquia!E109-Turquia!E110</f>
        <v>-3.637978807091713E-12</v>
      </c>
      <c r="F29" s="215">
        <f>+F26-Turquia!F108-Turquia!F109-Turquia!F110</f>
        <v>-4.547473508864641E-12</v>
      </c>
      <c r="G29" s="215">
        <f>+G26-Turquia!G108-Turquia!G109-Turquia!G110</f>
        <v>0</v>
      </c>
      <c r="H29" s="215">
        <f>+H26-Turquia!H108-Turquia!H109-Turquia!H110</f>
        <v>0</v>
      </c>
      <c r="I29" s="215">
        <f>+I26-Turquia!I108-Turquia!I109-Turquia!I110</f>
        <v>0</v>
      </c>
    </row>
    <row r="30" spans="1:12" ht="15.75" customHeight="1">
      <c r="A30" s="209"/>
      <c r="B30" s="305" t="str">
        <f>HLOOKUP(INDICE!$F$2,Nombres!$C$3:$D$636,296,FALSE)</f>
        <v>Turquia solo Banco</v>
      </c>
      <c r="C30" s="305"/>
      <c r="D30" s="305"/>
      <c r="E30" s="305"/>
      <c r="F30" s="305"/>
      <c r="G30" s="305"/>
      <c r="H30" s="305"/>
      <c r="I30" s="305"/>
      <c r="L30" s="224"/>
    </row>
    <row r="31" spans="1:9" ht="15.75">
      <c r="A31" s="210"/>
      <c r="B31" s="118">
        <f>+B$4</f>
        <v>44651</v>
      </c>
      <c r="C31" s="118">
        <f aca="true" t="shared" si="7" ref="C31:I31">+C$4</f>
        <v>44742</v>
      </c>
      <c r="D31" s="118">
        <f t="shared" si="7"/>
        <v>44834</v>
      </c>
      <c r="E31" s="118">
        <f t="shared" si="7"/>
        <v>44926</v>
      </c>
      <c r="F31" s="118">
        <f t="shared" si="7"/>
        <v>45016</v>
      </c>
      <c r="G31" s="118">
        <f t="shared" si="7"/>
        <v>45107</v>
      </c>
      <c r="H31" s="118">
        <f t="shared" si="7"/>
        <v>45199</v>
      </c>
      <c r="I31" s="118">
        <f t="shared" si="7"/>
        <v>45291</v>
      </c>
    </row>
    <row r="32" spans="1:9" ht="15">
      <c r="A32" s="211" t="str">
        <f>HLOOKUP(INDICE!$F$2,Nombres!$C$3:$D$636,289,FALSE)</f>
        <v>Depósitos Vista TL</v>
      </c>
      <c r="B32" s="212">
        <v>2876.544478380621</v>
      </c>
      <c r="C32" s="212">
        <v>3550.8477897636476</v>
      </c>
      <c r="D32" s="212">
        <v>4340.421062660713</v>
      </c>
      <c r="E32" s="212">
        <v>5450.901259823792</v>
      </c>
      <c r="F32" s="212">
        <v>6033.093370454413</v>
      </c>
      <c r="G32" s="212">
        <v>0</v>
      </c>
      <c r="H32" s="212">
        <v>0</v>
      </c>
      <c r="I32" s="212">
        <v>0</v>
      </c>
    </row>
    <row r="33" spans="1:9" ht="15">
      <c r="A33" s="211" t="str">
        <f>HLOOKUP(INDICE!$F$2,Nombres!$C$3:$D$636,290,FALSE)</f>
        <v>Depósitos Plazo TL</v>
      </c>
      <c r="B33" s="212">
        <v>8040.546426619719</v>
      </c>
      <c r="C33" s="212">
        <v>9164.889901844706</v>
      </c>
      <c r="D33" s="212">
        <v>11377.830726828655</v>
      </c>
      <c r="E33" s="212">
        <v>14649.605428087025</v>
      </c>
      <c r="F33" s="212">
        <v>20550.41128765907</v>
      </c>
      <c r="G33" s="212">
        <v>0</v>
      </c>
      <c r="H33" s="212">
        <v>0</v>
      </c>
      <c r="I33" s="212">
        <v>0</v>
      </c>
    </row>
    <row r="34" spans="1:9" ht="15">
      <c r="A34" s="213" t="str">
        <f>HLOOKUP(INDICE!$F$2,Nombres!$C$3:$D$636,291,FALSE)</f>
        <v>Total Depósitos TL</v>
      </c>
      <c r="B34" s="213">
        <v>10917.09090500034</v>
      </c>
      <c r="C34" s="213">
        <v>12715.737691608356</v>
      </c>
      <c r="D34" s="213">
        <v>15718.251789489368</v>
      </c>
      <c r="E34" s="213">
        <v>20100.50668791082</v>
      </c>
      <c r="F34" s="213">
        <v>26583.504658113485</v>
      </c>
      <c r="G34" s="213">
        <v>0</v>
      </c>
      <c r="H34" s="213">
        <v>0</v>
      </c>
      <c r="I34" s="213">
        <v>0</v>
      </c>
    </row>
    <row r="35" spans="1:9" ht="15">
      <c r="A35" s="211" t="str">
        <f>HLOOKUP(INDICE!$F$2,Nombres!$C$3:$D$636,292,FALSE)</f>
        <v>Depósitos Vista FC</v>
      </c>
      <c r="B35" s="212">
        <v>14127.227936779947</v>
      </c>
      <c r="C35" s="212">
        <v>13601.30515135936</v>
      </c>
      <c r="D35" s="212">
        <v>13435.591085459286</v>
      </c>
      <c r="E35" s="212">
        <v>13506.375702064548</v>
      </c>
      <c r="F35" s="212">
        <v>13266.957236863782</v>
      </c>
      <c r="G35" s="212">
        <v>0</v>
      </c>
      <c r="H35" s="212">
        <v>0</v>
      </c>
      <c r="I35" s="212">
        <v>0</v>
      </c>
    </row>
    <row r="36" spans="1:9" ht="15">
      <c r="A36" s="211" t="str">
        <f>HLOOKUP(INDICE!$F$2,Nombres!$C$3:$D$636,293,FALSE)</f>
        <v>Depósitos Plazo FC</v>
      </c>
      <c r="B36" s="212">
        <v>7500.736960630843</v>
      </c>
      <c r="C36" s="212">
        <v>7077.297926761379</v>
      </c>
      <c r="D36" s="212">
        <v>7330.197400836271</v>
      </c>
      <c r="E36" s="212">
        <v>4453.18039629788</v>
      </c>
      <c r="F36" s="212">
        <v>3232.1877201773077</v>
      </c>
      <c r="G36" s="212">
        <v>0</v>
      </c>
      <c r="H36" s="212">
        <v>0</v>
      </c>
      <c r="I36" s="212">
        <v>0</v>
      </c>
    </row>
    <row r="37" spans="1:9" ht="15">
      <c r="A37" s="213" t="str">
        <f>HLOOKUP(INDICE!$F$2,Nombres!$C$3:$D$636,294,FALSE)</f>
        <v>Total Depósitos FC</v>
      </c>
      <c r="B37" s="213">
        <v>21627.964897410788</v>
      </c>
      <c r="C37" s="213">
        <v>20678.603078120737</v>
      </c>
      <c r="D37" s="213">
        <v>20765.788486295558</v>
      </c>
      <c r="E37" s="213">
        <v>17959.55609836243</v>
      </c>
      <c r="F37" s="213">
        <v>16499.144957041088</v>
      </c>
      <c r="G37" s="213">
        <v>0</v>
      </c>
      <c r="H37" s="213">
        <v>0</v>
      </c>
      <c r="I37" s="213">
        <v>0</v>
      </c>
    </row>
    <row r="38" spans="1:9" ht="15">
      <c r="A38" s="221" t="str">
        <f>HLOOKUP(INDICE!$F$2,Nombres!$C$3:$D$636,295,FALSE)</f>
        <v>(TL Lira Turca FC Moneda Extranjera)</v>
      </c>
      <c r="B38" s="213"/>
      <c r="C38" s="213"/>
      <c r="D38" s="213"/>
      <c r="E38" s="213"/>
      <c r="F38" s="213"/>
      <c r="G38" s="213"/>
      <c r="H38" s="213"/>
      <c r="I38" s="213"/>
    </row>
    <row r="39" spans="1:9" ht="15.75" customHeight="1">
      <c r="A39" s="213"/>
      <c r="B39" s="213"/>
      <c r="C39" s="213"/>
      <c r="D39" s="213"/>
      <c r="E39" s="213"/>
      <c r="F39" s="213"/>
      <c r="G39" s="213"/>
      <c r="H39" s="213"/>
      <c r="I39" s="213"/>
    </row>
    <row r="40" spans="1:12" ht="15.75" customHeight="1">
      <c r="A40" s="209"/>
      <c r="B40" s="305" t="str">
        <f>HLOOKUP(INDICE!$F$2,Nombres!$C$3:$D$636,283,FALSE)</f>
        <v>América del Sur </v>
      </c>
      <c r="C40" s="305"/>
      <c r="D40" s="305"/>
      <c r="E40" s="305"/>
      <c r="F40" s="305"/>
      <c r="G40" s="305"/>
      <c r="H40" s="305"/>
      <c r="I40" s="305"/>
      <c r="L40" s="224"/>
    </row>
    <row r="41" spans="1:9" ht="15.75">
      <c r="A41" s="210"/>
      <c r="B41" s="118">
        <f>+B$4</f>
        <v>44651</v>
      </c>
      <c r="C41" s="118">
        <f aca="true" t="shared" si="8" ref="C41:I41">+C$4</f>
        <v>44742</v>
      </c>
      <c r="D41" s="118">
        <f t="shared" si="8"/>
        <v>44834</v>
      </c>
      <c r="E41" s="118">
        <f t="shared" si="8"/>
        <v>44926</v>
      </c>
      <c r="F41" s="118">
        <f t="shared" si="8"/>
        <v>45016</v>
      </c>
      <c r="G41" s="118">
        <f t="shared" si="8"/>
        <v>45107</v>
      </c>
      <c r="H41" s="118">
        <f t="shared" si="8"/>
        <v>45199</v>
      </c>
      <c r="I41" s="118">
        <f t="shared" si="8"/>
        <v>45291</v>
      </c>
    </row>
    <row r="42" spans="1:12" ht="15">
      <c r="A42" s="211" t="s">
        <v>6</v>
      </c>
      <c r="B42" s="212">
        <v>4587.559188638272</v>
      </c>
      <c r="C42" s="212">
        <v>5426.669002353198</v>
      </c>
      <c r="D42" s="212">
        <v>6161.3588620764585</v>
      </c>
      <c r="E42" s="212">
        <v>7700.635699205371</v>
      </c>
      <c r="F42" s="212">
        <v>9212.723971790001</v>
      </c>
      <c r="G42" s="212">
        <v>0</v>
      </c>
      <c r="H42" s="212">
        <v>0</v>
      </c>
      <c r="I42" s="212">
        <v>0</v>
      </c>
      <c r="L42" s="211"/>
    </row>
    <row r="43" spans="1:12" ht="15">
      <c r="A43" s="211" t="s">
        <v>7</v>
      </c>
      <c r="B43" s="212">
        <v>15.757439451161154</v>
      </c>
      <c r="C43" s="212">
        <v>12.099599983889041</v>
      </c>
      <c r="D43" s="212">
        <v>9.750217862301017</v>
      </c>
      <c r="E43" s="212">
        <v>7.125677750405243</v>
      </c>
      <c r="F43" s="212">
        <v>8.370000000000001</v>
      </c>
      <c r="G43" s="212">
        <v>0</v>
      </c>
      <c r="H43" s="212">
        <v>0</v>
      </c>
      <c r="I43" s="212">
        <v>0</v>
      </c>
      <c r="L43" s="211"/>
    </row>
    <row r="44" spans="1:12" ht="15">
      <c r="A44" s="211" t="s">
        <v>8</v>
      </c>
      <c r="B44" s="212">
        <v>13246.160869560643</v>
      </c>
      <c r="C44" s="212">
        <v>14995.20202151338</v>
      </c>
      <c r="D44" s="212">
        <v>14748.210152247164</v>
      </c>
      <c r="E44" s="212">
        <v>15392.682717272402</v>
      </c>
      <c r="F44" s="212">
        <v>16041.97668226</v>
      </c>
      <c r="G44" s="212">
        <v>0</v>
      </c>
      <c r="H44" s="212">
        <v>0</v>
      </c>
      <c r="I44" s="212">
        <v>0</v>
      </c>
      <c r="L44" s="211"/>
    </row>
    <row r="45" spans="1:12" ht="15">
      <c r="A45" s="211" t="s">
        <v>9</v>
      </c>
      <c r="B45" s="212">
        <v>16618.924649096305</v>
      </c>
      <c r="C45" s="212">
        <v>16881.626281766574</v>
      </c>
      <c r="D45" s="212">
        <v>18656.316925428797</v>
      </c>
      <c r="E45" s="212">
        <v>17530.877712294336</v>
      </c>
      <c r="F45" s="212">
        <v>17879.151350480002</v>
      </c>
      <c r="G45" s="212">
        <v>0</v>
      </c>
      <c r="H45" s="212">
        <v>0</v>
      </c>
      <c r="I45" s="212">
        <v>0</v>
      </c>
      <c r="L45" s="211"/>
    </row>
    <row r="46" spans="1:12" ht="15">
      <c r="A46" s="211" t="s">
        <v>10</v>
      </c>
      <c r="B46" s="212">
        <f aca="true" t="shared" si="9" ref="B46:I46">+B47-B45-B44-B43-B42</f>
        <v>15355.951990885736</v>
      </c>
      <c r="C46" s="212">
        <f t="shared" si="9"/>
        <v>15500.248729714313</v>
      </c>
      <c r="D46" s="212">
        <f t="shared" si="9"/>
        <v>15765.298573775422</v>
      </c>
      <c r="E46" s="212">
        <f t="shared" si="9"/>
        <v>15530.88563427758</v>
      </c>
      <c r="F46" s="212">
        <f t="shared" si="9"/>
        <v>15610.575226770005</v>
      </c>
      <c r="G46" s="212">
        <f t="shared" si="9"/>
        <v>0</v>
      </c>
      <c r="H46" s="212">
        <f t="shared" si="9"/>
        <v>0</v>
      </c>
      <c r="I46" s="212">
        <f t="shared" si="9"/>
        <v>0</v>
      </c>
      <c r="L46" s="211"/>
    </row>
    <row r="47" spans="1:12" ht="15">
      <c r="A47" s="213" t="str">
        <f>HLOOKUP(INDICE!$F$2,Nombres!$C$3:$D$636,208,FALSE)</f>
        <v> Recursos de clientes en gestión (**)</v>
      </c>
      <c r="B47" s="213">
        <v>49824.354137632115</v>
      </c>
      <c r="C47" s="213">
        <v>52815.84563533135</v>
      </c>
      <c r="D47" s="213">
        <v>55340.934731390145</v>
      </c>
      <c r="E47" s="213">
        <v>56162.20744080009</v>
      </c>
      <c r="F47" s="213">
        <v>58752.79723130001</v>
      </c>
      <c r="G47" s="213">
        <v>0</v>
      </c>
      <c r="H47" s="213">
        <v>0</v>
      </c>
      <c r="I47" s="213">
        <v>0</v>
      </c>
      <c r="L47" s="213"/>
    </row>
    <row r="48" spans="1:9" ht="15.75">
      <c r="A48" s="206"/>
      <c r="B48" s="215">
        <f>+B42+B43+B44+B45+B46-B47</f>
        <v>0</v>
      </c>
      <c r="C48" s="215">
        <f aca="true" t="shared" si="10" ref="C48:I48">+C42+C43+C44+C45+C46-C47</f>
        <v>0</v>
      </c>
      <c r="D48" s="215">
        <f t="shared" si="10"/>
        <v>0</v>
      </c>
      <c r="E48" s="215">
        <f t="shared" si="10"/>
        <v>0</v>
      </c>
      <c r="F48" s="215">
        <f t="shared" si="10"/>
        <v>0</v>
      </c>
      <c r="G48" s="215">
        <f t="shared" si="10"/>
        <v>0</v>
      </c>
      <c r="H48" s="215">
        <f t="shared" si="10"/>
        <v>0</v>
      </c>
      <c r="I48" s="215">
        <f t="shared" si="10"/>
        <v>0</v>
      </c>
    </row>
    <row r="51" ht="15">
      <c r="A51" s="223" t="str">
        <f>HLOOKUP(INDICE!$F$2,Nombres!$C$3:$D$636,206,FALSE)</f>
        <v>Incluye fondos de inversión, carteras gestionadas , fondos de pensiones y otros recursos fuera de balance.(*)</v>
      </c>
    </row>
    <row r="52" ht="15">
      <c r="A52" s="223" t="str">
        <f>HLOOKUP(INDICE!$F$2,Nombres!$C$3:$D$636,207,FALSE)</f>
        <v>No incluye las cesiones temporales de activos.  (**)</v>
      </c>
    </row>
    <row r="53" ht="15">
      <c r="A53" s="223"/>
    </row>
    <row r="54" spans="2:9" ht="15">
      <c r="B54" s="293"/>
      <c r="C54" s="293"/>
      <c r="D54" s="293"/>
      <c r="E54" s="293"/>
      <c r="F54" s="293"/>
      <c r="G54" s="293"/>
      <c r="H54" s="293"/>
      <c r="I54" s="293"/>
    </row>
    <row r="55" spans="2:9" ht="15.75">
      <c r="B55" s="215">
        <f>+B42-Argentina!B108-Argentina!B109-Argentina!B110-Argentina!B111</f>
        <v>-2.2737367544323206E-13</v>
      </c>
      <c r="C55" s="215">
        <f>+C42-Argentina!C108-Argentina!C109-Argentina!C110-Argentina!C111</f>
        <v>2.2737367544323206E-13</v>
      </c>
      <c r="D55" s="215">
        <f>+D42-Argentina!D108-Argentina!D109-Argentina!D110-Argentina!D111</f>
        <v>-2.2737367544323206E-13</v>
      </c>
      <c r="E55" s="215">
        <f>+E42-Argentina!E108-Argentina!E109-Argentina!E110-Argentina!E111</f>
        <v>-1.1368683772161603E-12</v>
      </c>
      <c r="F55" s="215">
        <f>+F42-Argentina!F108-Argentina!F109-Argentina!F110-Argentina!F111</f>
        <v>1.3642420526593924E-12</v>
      </c>
      <c r="G55" s="215">
        <f>+G42-Argentina!G108-Argentina!G109-Argentina!G110-Argentina!G111</f>
        <v>0</v>
      </c>
      <c r="H55" s="215">
        <f>+H42-Argentina!H108-Argentina!H109-Argentina!H110-Argentina!H111</f>
        <v>0</v>
      </c>
      <c r="I55" s="215">
        <f>+I42-Argentina!I108-Argentina!I109-Argentina!I110-Argentina!I111</f>
        <v>0</v>
      </c>
    </row>
    <row r="56" spans="2:9" ht="15.75">
      <c r="B56" s="215">
        <f>+B43-Chile!B108-Chile!B109-Chile!B110-Chile!B111</f>
        <v>0</v>
      </c>
      <c r="C56" s="215">
        <f>+C43-Chile!C108-Chile!C109-Chile!C110-Chile!C111</f>
        <v>0</v>
      </c>
      <c r="D56" s="215">
        <f>+D43-Chile!D108-Chile!D109-Chile!D110-Chile!D111</f>
        <v>0</v>
      </c>
      <c r="E56" s="215">
        <f>+E43-Chile!E108-Chile!E109-Chile!E110-Chile!E111</f>
        <v>0</v>
      </c>
      <c r="F56" s="215">
        <f>+F43-Chile!F108-Chile!F109-Chile!F110-Chile!F111</f>
        <v>0</v>
      </c>
      <c r="G56" s="215">
        <f>+G43-Chile!G108-Chile!G109-Chile!G110-Chile!G111</f>
        <v>0</v>
      </c>
      <c r="H56" s="215">
        <f>+H43-Chile!H108-Chile!H109-Chile!H110-Chile!H111</f>
        <v>0</v>
      </c>
      <c r="I56" s="215">
        <f>+I43-Chile!I108-Chile!I109-Chile!I110-Chile!I111</f>
        <v>0</v>
      </c>
    </row>
    <row r="57" spans="2:9" ht="15.75">
      <c r="B57" s="215">
        <f>+B44-Colombia!B108-Colombia!B109-Colombia!B110-Colombia!B111</f>
        <v>0</v>
      </c>
      <c r="C57" s="215">
        <f>+C44-Colombia!C108-Colombia!C109-Colombia!C110-Colombia!C111</f>
        <v>-1.3642420526593924E-12</v>
      </c>
      <c r="D57" s="215">
        <f>+D44-Colombia!D108-Colombia!D109-Colombia!D110-Colombia!D111</f>
        <v>2.7284841053187847E-12</v>
      </c>
      <c r="E57" s="215">
        <f>+E44-Colombia!E108-Colombia!E109-Colombia!E110-Colombia!E111</f>
        <v>-1.3642420526593924E-12</v>
      </c>
      <c r="F57" s="215">
        <f>+F44-Colombia!F108-Colombia!F109-Colombia!F110-Colombia!F111</f>
        <v>-1.3642420526593924E-12</v>
      </c>
      <c r="G57" s="215">
        <f>+G44-Colombia!G108-Colombia!G109-Colombia!G110-Colombia!G111</f>
        <v>0</v>
      </c>
      <c r="H57" s="215">
        <f>+H44-Colombia!H108-Colombia!H109-Colombia!H110-Colombia!H111</f>
        <v>0</v>
      </c>
      <c r="I57" s="215">
        <f>+I44-Colombia!I108-Colombia!I109-Colombia!I110-Colombia!I111</f>
        <v>0</v>
      </c>
    </row>
    <row r="58" spans="2:9" ht="15.75">
      <c r="B58" s="215">
        <f>+B45-Peru!B108-Peru!B109-Peru!B110-Peru!B111</f>
        <v>2.5011104298755527E-12</v>
      </c>
      <c r="C58" s="215">
        <f>+C45-Peru!C108-Peru!C109-Peru!C110-Peru!C111</f>
        <v>-1.8189894035458565E-12</v>
      </c>
      <c r="D58" s="215">
        <f>+D45-Peru!D108-Peru!D109-Peru!D110-Peru!D111</f>
        <v>-9.094947017729282E-13</v>
      </c>
      <c r="E58" s="215">
        <f>+E45-Peru!E108-Peru!E109-Peru!E110-Peru!E111</f>
        <v>1.5916157281026244E-12</v>
      </c>
      <c r="F58" s="215">
        <f>+F45-Peru!F108-Peru!F109-Peru!F110-Peru!F111</f>
        <v>3.183231456205249E-12</v>
      </c>
      <c r="G58" s="215">
        <f>+G45-Peru!G108-Peru!G109-Peru!G110-Peru!G111</f>
        <v>0</v>
      </c>
      <c r="H58" s="215">
        <f>+H45-Peru!H108-Peru!H109-Peru!H110-Peru!H111</f>
        <v>0</v>
      </c>
      <c r="I58" s="215">
        <f>+I45-Peru!I108-Peru!I109-Peru!I110-Peru!I111</f>
        <v>0</v>
      </c>
    </row>
    <row r="59" spans="2:9" ht="15.75">
      <c r="B59" s="215">
        <f>+B47-AdS!B108-AdS!B109-AdS!B110-AdS!B111</f>
        <v>9.094947017729282E-12</v>
      </c>
      <c r="C59" s="215">
        <f>+C47-AdS!C108-AdS!C109-AdS!C110-AdS!C111</f>
        <v>-1.8189894035458565E-12</v>
      </c>
      <c r="D59" s="215">
        <f>+D47-AdS!D108-AdS!D109-AdS!D110-AdS!D111</f>
        <v>5.4569682106375694E-12</v>
      </c>
      <c r="E59" s="215">
        <f>+E47-AdS!E108-AdS!E109-AdS!E110-AdS!E111</f>
        <v>9.094947017729282E-12</v>
      </c>
      <c r="F59" s="215">
        <f>+F47-AdS!F108-AdS!F109-AdS!F110-AdS!F111</f>
        <v>9.094947017729282E-12</v>
      </c>
      <c r="G59" s="215">
        <f>+G47-AdS!G108-AdS!G109-AdS!G110-AdS!G111</f>
        <v>0</v>
      </c>
      <c r="H59" s="215">
        <f>+H47-AdS!H108-AdS!H109-AdS!H110-AdS!H111</f>
        <v>0</v>
      </c>
      <c r="I59" s="215">
        <f>+I47-AdS!I108-AdS!I109-AdS!I110-AdS!I111</f>
        <v>0</v>
      </c>
    </row>
    <row r="60" spans="2:9" ht="15">
      <c r="B60" s="293"/>
      <c r="C60" s="293"/>
      <c r="D60" s="293"/>
      <c r="E60" s="293"/>
      <c r="F60" s="293"/>
      <c r="G60" s="293"/>
      <c r="H60" s="293"/>
      <c r="I60" s="293"/>
    </row>
    <row r="61" spans="2:9" ht="15">
      <c r="B61" s="293"/>
      <c r="C61" s="293"/>
      <c r="D61" s="293"/>
      <c r="E61" s="293"/>
      <c r="F61" s="293"/>
      <c r="G61" s="293"/>
      <c r="H61" s="293"/>
      <c r="I61" s="293"/>
    </row>
    <row r="62" spans="2:9" ht="15">
      <c r="B62" s="293"/>
      <c r="C62" s="293"/>
      <c r="D62" s="293"/>
      <c r="E62" s="293"/>
      <c r="F62" s="293"/>
      <c r="G62" s="293"/>
      <c r="H62" s="293"/>
      <c r="I62" s="293"/>
    </row>
    <row r="63" spans="2:9" ht="15">
      <c r="B63" s="293"/>
      <c r="C63" s="293"/>
      <c r="D63" s="293"/>
      <c r="E63" s="293"/>
      <c r="F63" s="293"/>
      <c r="G63" s="293"/>
      <c r="H63" s="293"/>
      <c r="I63" s="293"/>
    </row>
    <row r="64" spans="2:9" ht="15">
      <c r="B64" s="293"/>
      <c r="C64" s="293"/>
      <c r="D64" s="293"/>
      <c r="E64" s="293"/>
      <c r="F64" s="293"/>
      <c r="G64" s="293"/>
      <c r="H64" s="293"/>
      <c r="I64" s="293"/>
    </row>
    <row r="65" spans="2:9" ht="15">
      <c r="B65" s="293"/>
      <c r="C65" s="293"/>
      <c r="D65" s="293"/>
      <c r="E65" s="293"/>
      <c r="F65" s="293"/>
      <c r="G65" s="293"/>
      <c r="H65" s="293"/>
      <c r="I65" s="293"/>
    </row>
    <row r="1001" ht="15">
      <c r="A1001" s="205" t="s">
        <v>391</v>
      </c>
    </row>
  </sheetData>
  <sheetProtection/>
  <mergeCells count="5">
    <mergeCell ref="B3:I3"/>
    <mergeCell ref="B12:I12"/>
    <mergeCell ref="B21:I21"/>
    <mergeCell ref="B30:I30"/>
    <mergeCell ref="B40:I40"/>
  </mergeCells>
  <conditionalFormatting sqref="B10:I10">
    <cfRule type="cellIs" priority="9" dxfId="261" operator="notBetween">
      <formula>0.5</formula>
      <formula>-0.5</formula>
    </cfRule>
  </conditionalFormatting>
  <conditionalFormatting sqref="B19:I19">
    <cfRule type="cellIs" priority="8" dxfId="261" operator="notBetween">
      <formula>0.5</formula>
      <formula>-0.5</formula>
    </cfRule>
  </conditionalFormatting>
  <conditionalFormatting sqref="B28:I28">
    <cfRule type="cellIs" priority="7" dxfId="261" operator="notBetween">
      <formula>0.5</formula>
      <formula>-0.5</formula>
    </cfRule>
  </conditionalFormatting>
  <conditionalFormatting sqref="B48:I48">
    <cfRule type="cellIs" priority="6" dxfId="261" operator="notBetween">
      <formula>0.5</formula>
      <formula>-0.5</formula>
    </cfRule>
  </conditionalFormatting>
  <conditionalFormatting sqref="B11">
    <cfRule type="cellIs" priority="5" dxfId="261" operator="notBetween">
      <formula>0.5</formula>
      <formula>-0.5</formula>
    </cfRule>
  </conditionalFormatting>
  <conditionalFormatting sqref="C11:I11">
    <cfRule type="cellIs" priority="4" dxfId="261" operator="notBetween">
      <formula>0.5</formula>
      <formula>-0.5</formula>
    </cfRule>
  </conditionalFormatting>
  <conditionalFormatting sqref="B20:I20">
    <cfRule type="cellIs" priority="3" dxfId="261" operator="notBetween">
      <formula>0.5</formula>
      <formula>-0.5</formula>
    </cfRule>
  </conditionalFormatting>
  <conditionalFormatting sqref="B29:I29">
    <cfRule type="cellIs" priority="2" dxfId="261" operator="notBetween">
      <formula>0.5</formula>
      <formula>-0.5</formula>
    </cfRule>
  </conditionalFormatting>
  <conditionalFormatting sqref="B55:I59">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7" max="9" width="0" style="0" hidden="1" customWidth="1"/>
  </cols>
  <sheetData>
    <row r="1" spans="1:9" ht="18">
      <c r="A1" s="252" t="str">
        <f>HLOOKUP(INDICE!$F$2,Nombres!$C$3:$D$636,242,FALSE)</f>
        <v>Carteras Coap</v>
      </c>
      <c r="B1" s="203"/>
      <c r="C1" s="203"/>
      <c r="D1" s="203"/>
      <c r="E1" s="203"/>
      <c r="F1" s="203"/>
      <c r="G1" s="203"/>
      <c r="H1" s="203"/>
      <c r="I1" s="203"/>
    </row>
    <row r="2" spans="1:9" ht="15.75">
      <c r="A2" s="83" t="str">
        <f>HLOOKUP(INDICE!$F$2,Nombres!$C$3:$D$636,32,FALSE)</f>
        <v>(Millones de euros)</v>
      </c>
      <c r="B2" s="206"/>
      <c r="C2" s="206"/>
      <c r="D2" s="206"/>
      <c r="E2" s="206"/>
      <c r="F2" s="206"/>
      <c r="G2" s="205"/>
      <c r="H2" s="205"/>
      <c r="I2" s="205"/>
    </row>
    <row r="3" spans="1:9" ht="15.75">
      <c r="A3" s="208"/>
      <c r="B3" s="206"/>
      <c r="C3" s="206"/>
      <c r="D3" s="206"/>
      <c r="E3" s="206"/>
      <c r="F3" s="206"/>
      <c r="G3" s="205"/>
      <c r="H3" s="205"/>
      <c r="I3" s="205"/>
    </row>
    <row r="4" spans="1:9" ht="15.75" customHeight="1">
      <c r="A4" s="209"/>
      <c r="B4" s="306" t="str">
        <f>HLOOKUP(INDICE!$F$2,Nombres!$C$3:$D$636,239,FALSE)</f>
        <v>Total Cartera COAP</v>
      </c>
      <c r="C4" s="305"/>
      <c r="D4" s="305"/>
      <c r="E4" s="305"/>
      <c r="F4" s="305"/>
      <c r="G4" s="305"/>
      <c r="H4" s="305"/>
      <c r="I4" s="305"/>
    </row>
    <row r="5" spans="1:9" ht="15.75">
      <c r="A5" s="210"/>
      <c r="B5" s="118">
        <f>+España!B32</f>
        <v>44651</v>
      </c>
      <c r="C5" s="118">
        <f>+España!C32</f>
        <v>44742</v>
      </c>
      <c r="D5" s="118">
        <f>+España!D32</f>
        <v>44834</v>
      </c>
      <c r="E5" s="118">
        <f>+España!E32</f>
        <v>44926</v>
      </c>
      <c r="F5" s="118">
        <f>+España!F32</f>
        <v>45016</v>
      </c>
      <c r="G5" s="118">
        <f>+España!G32</f>
        <v>45107</v>
      </c>
      <c r="H5" s="118">
        <f>+España!H32</f>
        <v>45199</v>
      </c>
      <c r="I5" s="118">
        <f>+España!I32</f>
        <v>45291</v>
      </c>
    </row>
    <row r="6" spans="1:9" ht="15">
      <c r="A6" s="253" t="str">
        <f>HLOOKUP(INDICE!$F$2,Nombres!$C$3:$D$636,230,FALSE)</f>
        <v>Grupo BBVA</v>
      </c>
      <c r="B6" s="214">
        <v>51977</v>
      </c>
      <c r="C6" s="214">
        <v>54356</v>
      </c>
      <c r="D6" s="214">
        <v>57778</v>
      </c>
      <c r="E6" s="214">
        <v>57887</v>
      </c>
      <c r="F6" s="214">
        <v>63661</v>
      </c>
      <c r="G6" s="214">
        <v>0</v>
      </c>
      <c r="H6" s="214">
        <v>0</v>
      </c>
      <c r="I6" s="214">
        <v>0</v>
      </c>
    </row>
    <row r="7" spans="1:9" ht="15">
      <c r="A7" s="254" t="str">
        <f>HLOOKUP(INDICE!$F$2,Nombres!$C$3:$D$636,231,FALSE)</f>
        <v>Balance Euro</v>
      </c>
      <c r="B7" s="212">
        <v>28795</v>
      </c>
      <c r="C7" s="212">
        <v>29645</v>
      </c>
      <c r="D7" s="212">
        <v>29984</v>
      </c>
      <c r="E7" s="212">
        <v>30220</v>
      </c>
      <c r="F7" s="212">
        <v>32852</v>
      </c>
      <c r="G7" s="212">
        <v>0</v>
      </c>
      <c r="H7" s="212">
        <v>0</v>
      </c>
      <c r="I7" s="212">
        <v>0</v>
      </c>
    </row>
    <row r="8" spans="1:9" ht="15">
      <c r="A8" s="255" t="str">
        <f>HLOOKUP(INDICE!$F$2,Nombres!$C$3:$D$636,232,FALSE)</f>
        <v>España</v>
      </c>
      <c r="B8" s="212">
        <v>16867</v>
      </c>
      <c r="C8" s="212">
        <v>17694</v>
      </c>
      <c r="D8" s="212">
        <v>18161</v>
      </c>
      <c r="E8" s="212">
        <v>18607</v>
      </c>
      <c r="F8" s="212">
        <v>20119</v>
      </c>
      <c r="G8" s="212">
        <v>0</v>
      </c>
      <c r="H8" s="212">
        <v>0</v>
      </c>
      <c r="I8" s="212">
        <v>0</v>
      </c>
    </row>
    <row r="9" spans="1:9" ht="15">
      <c r="A9" s="255" t="str">
        <f>HLOOKUP(INDICE!$F$2,Nombres!$C$3:$D$636,233,FALSE)</f>
        <v>Italia</v>
      </c>
      <c r="B9" s="212">
        <v>8254</v>
      </c>
      <c r="C9" s="212">
        <v>8242</v>
      </c>
      <c r="D9" s="212">
        <v>7722</v>
      </c>
      <c r="E9" s="212">
        <v>7399</v>
      </c>
      <c r="F9" s="212">
        <v>7386</v>
      </c>
      <c r="G9" s="212">
        <v>0</v>
      </c>
      <c r="H9" s="212">
        <v>0</v>
      </c>
      <c r="I9" s="212">
        <v>0</v>
      </c>
    </row>
    <row r="10" spans="1:9" ht="15">
      <c r="A10" s="256" t="str">
        <f>HLOOKUP(INDICE!$F$2,Nombres!$C$3:$D$636,234,FALSE)</f>
        <v>Resto</v>
      </c>
      <c r="B10" s="257">
        <v>3674</v>
      </c>
      <c r="C10" s="257">
        <v>3709</v>
      </c>
      <c r="D10" s="257">
        <v>4100</v>
      </c>
      <c r="E10" s="257">
        <v>4214</v>
      </c>
      <c r="F10" s="257">
        <v>5347</v>
      </c>
      <c r="G10" s="257">
        <v>0</v>
      </c>
      <c r="H10" s="257">
        <v>0</v>
      </c>
      <c r="I10" s="257">
        <v>0</v>
      </c>
    </row>
    <row r="11" spans="1:9" ht="15">
      <c r="A11" s="254" t="str">
        <f>HLOOKUP(INDICE!$F$2,Nombres!$C$3:$D$636,236,FALSE)</f>
        <v>Turquia</v>
      </c>
      <c r="B11" s="212">
        <v>6704</v>
      </c>
      <c r="C11" s="212">
        <v>7310</v>
      </c>
      <c r="D11" s="212">
        <v>8434</v>
      </c>
      <c r="E11" s="212">
        <v>8476</v>
      </c>
      <c r="F11" s="257">
        <v>10176</v>
      </c>
      <c r="G11" s="212">
        <v>0</v>
      </c>
      <c r="H11" s="212">
        <v>0</v>
      </c>
      <c r="I11" s="212">
        <v>0</v>
      </c>
    </row>
    <row r="12" spans="1:9" ht="15">
      <c r="A12" s="254" t="str">
        <f>HLOOKUP(INDICE!$F$2,Nombres!$C$3:$D$636,237,FALSE)</f>
        <v>Mexico</v>
      </c>
      <c r="B12" s="212">
        <v>10501</v>
      </c>
      <c r="C12" s="212">
        <v>10754</v>
      </c>
      <c r="D12" s="212">
        <v>12256</v>
      </c>
      <c r="E12" s="212">
        <v>12427</v>
      </c>
      <c r="F12" s="257">
        <v>14381</v>
      </c>
      <c r="G12" s="212">
        <v>0</v>
      </c>
      <c r="H12" s="212">
        <v>0</v>
      </c>
      <c r="I12" s="212">
        <v>0</v>
      </c>
    </row>
    <row r="13" spans="1:9" ht="15">
      <c r="A13" s="254" t="str">
        <f>HLOOKUP(INDICE!$F$2,Nombres!$C$3:$D$636,238,FALSE)</f>
        <v>Amércia del Sur</v>
      </c>
      <c r="B13" s="212">
        <v>5977</v>
      </c>
      <c r="C13" s="212">
        <v>6647</v>
      </c>
      <c r="D13" s="212">
        <v>7104</v>
      </c>
      <c r="E13" s="212">
        <v>6764</v>
      </c>
      <c r="F13" s="257">
        <v>6252</v>
      </c>
      <c r="G13" s="212">
        <v>0</v>
      </c>
      <c r="H13" s="212">
        <v>0</v>
      </c>
      <c r="I13" s="212">
        <v>0</v>
      </c>
    </row>
    <row r="14" spans="1:9" ht="15">
      <c r="A14" s="308"/>
      <c r="B14" s="258">
        <f aca="true" t="shared" si="0" ref="B14:G14">+B6-B8-B9-B10-B11-B12-B13</f>
        <v>0</v>
      </c>
      <c r="C14" s="258">
        <f t="shared" si="0"/>
        <v>0</v>
      </c>
      <c r="D14" s="258">
        <f t="shared" si="0"/>
        <v>1</v>
      </c>
      <c r="E14" s="258">
        <f t="shared" si="0"/>
        <v>0</v>
      </c>
      <c r="F14" s="258">
        <f t="shared" si="0"/>
        <v>0</v>
      </c>
      <c r="G14" s="258">
        <f t="shared" si="0"/>
        <v>0</v>
      </c>
      <c r="H14" s="258">
        <f>+H6-H8-H9-H10-H11-H12-H13</f>
        <v>0</v>
      </c>
      <c r="I14" s="258" t="e">
        <f>+I6-I8-I9-I10-#REF!-I11-I12-I13</f>
        <v>#REF!</v>
      </c>
    </row>
    <row r="15" spans="1:9" ht="15">
      <c r="A15" s="308"/>
      <c r="B15" s="258"/>
      <c r="C15" s="258"/>
      <c r="D15" s="258"/>
      <c r="E15" s="258"/>
      <c r="F15" s="258"/>
      <c r="G15" s="258"/>
      <c r="H15" s="258"/>
      <c r="I15" s="258"/>
    </row>
    <row r="16" spans="1:9" ht="15">
      <c r="A16" s="308"/>
      <c r="B16" s="258"/>
      <c r="C16" s="258"/>
      <c r="D16" s="258"/>
      <c r="E16" s="258"/>
      <c r="F16" s="258"/>
      <c r="G16" s="258"/>
      <c r="H16" s="258"/>
      <c r="I16" s="258"/>
    </row>
    <row r="17" spans="1:9" ht="15.75" customHeight="1">
      <c r="A17" s="209"/>
      <c r="B17" s="306" t="str">
        <f>HLOOKUP(INDICE!$F$2,Nombres!$C$3:$D$636,240,FALSE)</f>
        <v>Cartera COAP a Coste Amortizado</v>
      </c>
      <c r="C17" s="305"/>
      <c r="D17" s="305"/>
      <c r="E17" s="305"/>
      <c r="F17" s="305"/>
      <c r="G17" s="305"/>
      <c r="H17" s="305"/>
      <c r="I17" s="305"/>
    </row>
    <row r="18" spans="1:9" ht="15.75" customHeight="1">
      <c r="A18" s="210"/>
      <c r="B18" s="118">
        <f aca="true" t="shared" si="1" ref="B18:I18">+B$5</f>
        <v>44651</v>
      </c>
      <c r="C18" s="118">
        <f t="shared" si="1"/>
        <v>44742</v>
      </c>
      <c r="D18" s="118">
        <f t="shared" si="1"/>
        <v>44834</v>
      </c>
      <c r="E18" s="118">
        <f t="shared" si="1"/>
        <v>44926</v>
      </c>
      <c r="F18" s="118">
        <f t="shared" si="1"/>
        <v>45016</v>
      </c>
      <c r="G18" s="118">
        <f t="shared" si="1"/>
        <v>45107</v>
      </c>
      <c r="H18" s="118">
        <f t="shared" si="1"/>
        <v>45199</v>
      </c>
      <c r="I18" s="118">
        <f t="shared" si="1"/>
        <v>45291</v>
      </c>
    </row>
    <row r="19" spans="1:9" ht="15">
      <c r="A19" s="253" t="str">
        <f>HLOOKUP(INDICE!$F$2,Nombres!$C$3:$D$636,230,FALSE)</f>
        <v>Grupo BBVA</v>
      </c>
      <c r="B19" s="214">
        <v>20629.094219</v>
      </c>
      <c r="C19" s="214">
        <v>22021</v>
      </c>
      <c r="D19" s="214">
        <v>24903</v>
      </c>
      <c r="E19" s="214">
        <v>26781</v>
      </c>
      <c r="F19" s="214">
        <v>33011</v>
      </c>
      <c r="G19" s="214">
        <v>0</v>
      </c>
      <c r="H19" s="214">
        <v>0</v>
      </c>
      <c r="I19" s="214">
        <v>0</v>
      </c>
    </row>
    <row r="20" spans="1:9" ht="15">
      <c r="A20" s="254" t="str">
        <f>HLOOKUP(INDICE!$F$2,Nombres!$C$3:$D$636,231,FALSE)</f>
        <v>Balance Euro</v>
      </c>
      <c r="B20" s="212">
        <v>14488.094219</v>
      </c>
      <c r="C20" s="212">
        <v>14959</v>
      </c>
      <c r="D20" s="212">
        <v>15735</v>
      </c>
      <c r="E20" s="212">
        <v>16836</v>
      </c>
      <c r="F20" s="212">
        <v>19542</v>
      </c>
      <c r="G20" s="212">
        <v>0</v>
      </c>
      <c r="H20" s="212">
        <v>0</v>
      </c>
      <c r="I20" s="212">
        <v>0</v>
      </c>
    </row>
    <row r="21" spans="1:9" ht="15">
      <c r="A21" s="255" t="str">
        <f>HLOOKUP(INDICE!$F$2,Nombres!$C$3:$D$636,232,FALSE)</f>
        <v>España</v>
      </c>
      <c r="B21" s="212">
        <v>11169.094219</v>
      </c>
      <c r="C21" s="212">
        <v>11645</v>
      </c>
      <c r="D21" s="212">
        <v>12163</v>
      </c>
      <c r="E21" s="212">
        <v>12617</v>
      </c>
      <c r="F21" s="212">
        <v>14127</v>
      </c>
      <c r="G21" s="212">
        <v>0</v>
      </c>
      <c r="H21" s="212">
        <v>0</v>
      </c>
      <c r="I21" s="212">
        <v>0</v>
      </c>
    </row>
    <row r="22" spans="1:9" ht="15">
      <c r="A22" s="255" t="str">
        <f>HLOOKUP(INDICE!$F$2,Nombres!$C$3:$D$636,233,FALSE)</f>
        <v>Italia</v>
      </c>
      <c r="B22" s="212">
        <v>3245</v>
      </c>
      <c r="C22" s="212">
        <v>3240</v>
      </c>
      <c r="D22" s="212">
        <v>3236</v>
      </c>
      <c r="E22" s="212">
        <v>3233</v>
      </c>
      <c r="F22" s="212">
        <v>3228</v>
      </c>
      <c r="G22" s="212">
        <v>0</v>
      </c>
      <c r="H22" s="212">
        <v>0</v>
      </c>
      <c r="I22" s="212">
        <v>0</v>
      </c>
    </row>
    <row r="23" spans="1:9" ht="15">
      <c r="A23" s="256" t="str">
        <f>HLOOKUP(INDICE!$F$2,Nombres!$C$3:$D$636,234,FALSE)</f>
        <v>Resto</v>
      </c>
      <c r="B23" s="212">
        <v>74</v>
      </c>
      <c r="C23" s="212">
        <v>74</v>
      </c>
      <c r="D23" s="212">
        <v>336</v>
      </c>
      <c r="E23" s="212">
        <v>986</v>
      </c>
      <c r="F23" s="212">
        <v>2187</v>
      </c>
      <c r="G23" s="212">
        <v>0</v>
      </c>
      <c r="H23" s="212">
        <v>0</v>
      </c>
      <c r="I23" s="212">
        <v>0</v>
      </c>
    </row>
    <row r="24" spans="1:9" ht="15">
      <c r="A24" s="254" t="str">
        <f>HLOOKUP(INDICE!$F$2,Nombres!$C$3:$D$636,236,FALSE)</f>
        <v>Turquia</v>
      </c>
      <c r="B24" s="212">
        <v>3641</v>
      </c>
      <c r="C24" s="212">
        <v>4129</v>
      </c>
      <c r="D24" s="212">
        <v>5213</v>
      </c>
      <c r="E24" s="212">
        <v>5281</v>
      </c>
      <c r="F24" s="212">
        <v>7019</v>
      </c>
      <c r="G24" s="212">
        <v>0</v>
      </c>
      <c r="H24" s="212">
        <v>0</v>
      </c>
      <c r="I24" s="212">
        <v>0</v>
      </c>
    </row>
    <row r="25" spans="1:9" ht="15">
      <c r="A25" s="254" t="str">
        <f>HLOOKUP(INDICE!$F$2,Nombres!$C$3:$D$636,237,FALSE)</f>
        <v>Mexico</v>
      </c>
      <c r="B25" s="212">
        <v>2294</v>
      </c>
      <c r="C25" s="212">
        <v>2693</v>
      </c>
      <c r="D25" s="212">
        <v>3705</v>
      </c>
      <c r="E25" s="212">
        <v>4492</v>
      </c>
      <c r="F25" s="212">
        <v>6230</v>
      </c>
      <c r="G25" s="212">
        <v>0</v>
      </c>
      <c r="H25" s="212">
        <v>0</v>
      </c>
      <c r="I25" s="212">
        <v>0</v>
      </c>
    </row>
    <row r="26" spans="1:9" ht="15">
      <c r="A26" s="254" t="str">
        <f>HLOOKUP(INDICE!$F$2,Nombres!$C$3:$D$636,238,FALSE)</f>
        <v>Amércia del Sur</v>
      </c>
      <c r="B26" s="212">
        <v>206</v>
      </c>
      <c r="C26" s="212">
        <v>240</v>
      </c>
      <c r="D26" s="212">
        <v>250</v>
      </c>
      <c r="E26" s="212">
        <v>172</v>
      </c>
      <c r="F26" s="212">
        <v>220</v>
      </c>
      <c r="G26" s="212">
        <v>0</v>
      </c>
      <c r="H26" s="212">
        <v>0</v>
      </c>
      <c r="I26" s="212">
        <v>0</v>
      </c>
    </row>
    <row r="27" spans="1:9" ht="15">
      <c r="A27" s="308"/>
      <c r="B27" s="258">
        <f aca="true" t="shared" si="2" ref="B27:G27">+B19-B21-B22-B23-B24-B25-B26</f>
        <v>-1.8189894035458565E-12</v>
      </c>
      <c r="C27" s="258">
        <f t="shared" si="2"/>
        <v>0</v>
      </c>
      <c r="D27" s="258">
        <f t="shared" si="2"/>
        <v>0</v>
      </c>
      <c r="E27" s="258">
        <f t="shared" si="2"/>
        <v>0</v>
      </c>
      <c r="F27" s="258">
        <f t="shared" si="2"/>
        <v>0</v>
      </c>
      <c r="G27" s="258">
        <f t="shared" si="2"/>
        <v>0</v>
      </c>
      <c r="H27" s="258">
        <f>+H19-H21-H22-H23-H24-H25-H26</f>
        <v>0</v>
      </c>
      <c r="I27" s="258" t="e">
        <f>+I19-I21-I22-I23-#REF!-I24-I25-I26</f>
        <v>#REF!</v>
      </c>
    </row>
    <row r="28" spans="1:9" ht="15.75">
      <c r="A28" s="308"/>
      <c r="B28" s="205"/>
      <c r="C28" s="205"/>
      <c r="D28" s="205"/>
      <c r="E28" s="205"/>
      <c r="F28" s="217"/>
      <c r="G28" s="217"/>
      <c r="H28" s="217"/>
      <c r="I28" s="217"/>
    </row>
    <row r="29" spans="1:9" ht="15.75">
      <c r="A29" s="206"/>
      <c r="B29" s="217"/>
      <c r="C29" s="217"/>
      <c r="D29" s="217"/>
      <c r="E29" s="217"/>
      <c r="F29" s="217"/>
      <c r="G29" s="205"/>
      <c r="H29" s="205"/>
      <c r="I29" s="205"/>
    </row>
    <row r="30" spans="1:9" ht="15.75" customHeight="1">
      <c r="A30" s="209"/>
      <c r="B30" s="306" t="str">
        <f>HLOOKUP(INDICE!$F$2,Nombres!$C$3:$D$636,241,FALSE)</f>
        <v>Cartera COAP a Valor Razonable</v>
      </c>
      <c r="C30" s="305"/>
      <c r="D30" s="305"/>
      <c r="E30" s="305"/>
      <c r="F30" s="305"/>
      <c r="G30" s="305"/>
      <c r="H30" s="305"/>
      <c r="I30" s="305"/>
    </row>
    <row r="31" spans="1:9" ht="15.75">
      <c r="A31" s="210"/>
      <c r="B31" s="118">
        <f aca="true" t="shared" si="3" ref="B31:I31">+B$5</f>
        <v>44651</v>
      </c>
      <c r="C31" s="118">
        <f t="shared" si="3"/>
        <v>44742</v>
      </c>
      <c r="D31" s="118">
        <f t="shared" si="3"/>
        <v>44834</v>
      </c>
      <c r="E31" s="118">
        <f t="shared" si="3"/>
        <v>44926</v>
      </c>
      <c r="F31" s="118">
        <f t="shared" si="3"/>
        <v>45016</v>
      </c>
      <c r="G31" s="118">
        <f t="shared" si="3"/>
        <v>45107</v>
      </c>
      <c r="H31" s="118">
        <f t="shared" si="3"/>
        <v>45199</v>
      </c>
      <c r="I31" s="118">
        <f t="shared" si="3"/>
        <v>45291</v>
      </c>
    </row>
    <row r="32" spans="1:9" ht="15.75" customHeight="1">
      <c r="A32" s="253" t="str">
        <f>HLOOKUP(INDICE!$F$2,Nombres!$C$3:$D$636,230,FALSE)</f>
        <v>Grupo BBVA</v>
      </c>
      <c r="B32" s="214">
        <v>31347.905781</v>
      </c>
      <c r="C32" s="214">
        <v>32335</v>
      </c>
      <c r="D32" s="214">
        <v>32874</v>
      </c>
      <c r="E32" s="214">
        <v>31106</v>
      </c>
      <c r="F32" s="214">
        <v>30650</v>
      </c>
      <c r="G32" s="214">
        <v>0</v>
      </c>
      <c r="H32" s="214">
        <v>0</v>
      </c>
      <c r="I32" s="214">
        <v>0</v>
      </c>
    </row>
    <row r="33" spans="1:9" ht="15">
      <c r="A33" s="211" t="str">
        <f>HLOOKUP(INDICE!$F$2,Nombres!$C$3:$D$636,231,FALSE)</f>
        <v>Balance Euro</v>
      </c>
      <c r="B33" s="212">
        <v>14306.905781000001</v>
      </c>
      <c r="C33" s="212">
        <v>14686</v>
      </c>
      <c r="D33" s="212">
        <v>14248</v>
      </c>
      <c r="E33" s="212">
        <v>13384</v>
      </c>
      <c r="F33" s="212">
        <v>13310</v>
      </c>
      <c r="G33" s="212">
        <v>0</v>
      </c>
      <c r="H33" s="212">
        <v>0</v>
      </c>
      <c r="I33" s="212">
        <v>0</v>
      </c>
    </row>
    <row r="34" spans="1:9" ht="15">
      <c r="A34" s="256" t="str">
        <f>HLOOKUP(INDICE!$F$2,Nombres!$C$3:$D$636,232,FALSE)</f>
        <v>España</v>
      </c>
      <c r="B34" s="212">
        <v>5697.905781</v>
      </c>
      <c r="C34" s="212">
        <v>6049</v>
      </c>
      <c r="D34" s="212">
        <v>5998</v>
      </c>
      <c r="E34" s="212">
        <v>5990</v>
      </c>
      <c r="F34" s="212">
        <v>5992</v>
      </c>
      <c r="G34" s="212">
        <v>0</v>
      </c>
      <c r="H34" s="212">
        <v>0</v>
      </c>
      <c r="I34" s="212">
        <v>0</v>
      </c>
    </row>
    <row r="35" spans="1:9" ht="15">
      <c r="A35" s="256" t="str">
        <f>HLOOKUP(INDICE!$F$2,Nombres!$C$3:$D$636,233,FALSE)</f>
        <v>Italia</v>
      </c>
      <c r="B35" s="212">
        <v>5009</v>
      </c>
      <c r="C35" s="212">
        <v>5002</v>
      </c>
      <c r="D35" s="212">
        <v>4486</v>
      </c>
      <c r="E35" s="212">
        <v>4166</v>
      </c>
      <c r="F35" s="212">
        <v>4158</v>
      </c>
      <c r="G35" s="212">
        <v>0</v>
      </c>
      <c r="H35" s="212">
        <v>0</v>
      </c>
      <c r="I35" s="212">
        <v>0</v>
      </c>
    </row>
    <row r="36" spans="1:9" ht="15">
      <c r="A36" s="256" t="str">
        <f>HLOOKUP(INDICE!$F$2,Nombres!$C$3:$D$636,234,FALSE)</f>
        <v>Resto</v>
      </c>
      <c r="B36" s="212">
        <v>3600</v>
      </c>
      <c r="C36" s="212">
        <v>3635</v>
      </c>
      <c r="D36" s="212">
        <v>3764</v>
      </c>
      <c r="E36" s="212">
        <v>3228</v>
      </c>
      <c r="F36" s="212">
        <v>3160</v>
      </c>
      <c r="G36" s="212">
        <v>0</v>
      </c>
      <c r="H36" s="212">
        <v>0</v>
      </c>
      <c r="I36" s="212">
        <v>0</v>
      </c>
    </row>
    <row r="37" spans="1:9" ht="15">
      <c r="A37" s="211" t="str">
        <f>HLOOKUP(INDICE!$F$2,Nombres!$C$3:$D$636,236,FALSE)</f>
        <v>Turquia</v>
      </c>
      <c r="B37" s="212">
        <v>3063</v>
      </c>
      <c r="C37" s="212">
        <v>3181</v>
      </c>
      <c r="D37" s="212">
        <v>3221</v>
      </c>
      <c r="E37" s="212">
        <v>3195</v>
      </c>
      <c r="F37" s="212">
        <v>3157</v>
      </c>
      <c r="G37" s="212">
        <v>0</v>
      </c>
      <c r="H37" s="212">
        <v>0</v>
      </c>
      <c r="I37" s="212">
        <v>0</v>
      </c>
    </row>
    <row r="38" spans="1:9" ht="15">
      <c r="A38" s="211" t="str">
        <f>HLOOKUP(INDICE!$F$2,Nombres!$C$3:$D$636,237,FALSE)</f>
        <v>Mexico</v>
      </c>
      <c r="B38" s="212">
        <v>8207</v>
      </c>
      <c r="C38" s="212">
        <v>8061</v>
      </c>
      <c r="D38" s="212">
        <v>8551</v>
      </c>
      <c r="E38" s="212">
        <v>7935</v>
      </c>
      <c r="F38" s="212">
        <v>8151</v>
      </c>
      <c r="G38" s="212">
        <v>0</v>
      </c>
      <c r="H38" s="212">
        <v>0</v>
      </c>
      <c r="I38" s="212">
        <v>0</v>
      </c>
    </row>
    <row r="39" spans="1:9" ht="15">
      <c r="A39" s="211" t="str">
        <f>HLOOKUP(INDICE!$F$2,Nombres!$C$3:$D$636,238,FALSE)</f>
        <v>Amércia del Sur</v>
      </c>
      <c r="B39" s="212">
        <v>5771</v>
      </c>
      <c r="C39" s="212">
        <v>6407</v>
      </c>
      <c r="D39" s="212">
        <v>6854</v>
      </c>
      <c r="E39" s="212">
        <v>6592</v>
      </c>
      <c r="F39" s="212">
        <v>6032</v>
      </c>
      <c r="G39" s="212">
        <v>0</v>
      </c>
      <c r="H39" s="212">
        <v>0</v>
      </c>
      <c r="I39" s="212">
        <v>0</v>
      </c>
    </row>
    <row r="40" spans="2:9" ht="15">
      <c r="B40" s="258">
        <f aca="true" t="shared" si="4" ref="B40:G40">+B32-B34-B35-B36-B37-B38-B39</f>
        <v>0</v>
      </c>
      <c r="C40" s="258">
        <f t="shared" si="4"/>
        <v>0</v>
      </c>
      <c r="D40" s="258">
        <f t="shared" si="4"/>
        <v>0</v>
      </c>
      <c r="E40" s="258">
        <f t="shared" si="4"/>
        <v>0</v>
      </c>
      <c r="F40" s="258">
        <f t="shared" si="4"/>
        <v>0</v>
      </c>
      <c r="G40" s="258">
        <f t="shared" si="4"/>
        <v>0</v>
      </c>
      <c r="H40" s="258">
        <f>+H32-H34-H35-H36-H37-H38-H39</f>
        <v>0</v>
      </c>
      <c r="I40" s="258" t="e">
        <f>+I32-I34-I35-I36-#REF!-I37-I38-I39</f>
        <v>#REF!</v>
      </c>
    </row>
    <row r="997" ht="15">
      <c r="A997" s="205" t="s">
        <v>391</v>
      </c>
    </row>
  </sheetData>
  <sheetProtection/>
  <mergeCells count="3">
    <mergeCell ref="B4:I4"/>
    <mergeCell ref="B17:I17"/>
    <mergeCell ref="B30:I30"/>
  </mergeCells>
  <conditionalFormatting sqref="B14:I16">
    <cfRule type="cellIs" priority="3" dxfId="261" operator="notBetween">
      <formula>1</formula>
      <formula>-1</formula>
    </cfRule>
  </conditionalFormatting>
  <conditionalFormatting sqref="B27:I27">
    <cfRule type="cellIs" priority="2" dxfId="261" operator="notBetween">
      <formula>1</formula>
      <formula>-1</formula>
    </cfRule>
  </conditionalFormatting>
  <conditionalFormatting sqref="B40:I40">
    <cfRule type="cellIs" priority="1" dxfId="261"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999"/>
  <sheetViews>
    <sheetView showGridLines="0" zoomScalePageLayoutView="0" workbookViewId="0" topLeftCell="A1">
      <selection activeCell="A1" sqref="A1"/>
    </sheetView>
  </sheetViews>
  <sheetFormatPr defaultColWidth="11.421875" defaultRowHeight="15"/>
  <cols>
    <col min="1" max="1" width="79.140625" style="31" customWidth="1"/>
    <col min="2" max="4" width="11.421875" style="31" customWidth="1"/>
    <col min="5" max="5" width="10.421875" style="31" customWidth="1"/>
    <col min="6" max="6" width="11.421875" style="31" customWidth="1"/>
    <col min="7" max="7" width="11.8515625" style="31" hidden="1" customWidth="1"/>
    <col min="8" max="9" width="11.57421875" style="31" hidden="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300">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3942.77399988</v>
      </c>
      <c r="C8" s="41">
        <v>4594.90599999</v>
      </c>
      <c r="D8" s="41">
        <v>5252.03599999</v>
      </c>
      <c r="E8" s="42">
        <v>5333.88700331</v>
      </c>
      <c r="F8" s="41">
        <v>5641.95400006</v>
      </c>
      <c r="G8" s="50">
        <v>0</v>
      </c>
      <c r="H8" s="50">
        <v>0</v>
      </c>
      <c r="I8" s="50">
        <v>0</v>
      </c>
    </row>
    <row r="9" spans="1:9" ht="15">
      <c r="A9" s="43" t="str">
        <f>HLOOKUP(INDICE!$F$2,Nombres!$C$3:$D$636,34,FALSE)</f>
        <v>Comisiones netas</v>
      </c>
      <c r="B9" s="44">
        <v>1246.52199995</v>
      </c>
      <c r="C9" s="44">
        <v>1412.56500005</v>
      </c>
      <c r="D9" s="44">
        <v>1384.8320001000002</v>
      </c>
      <c r="E9" s="45">
        <v>1328.3990002699998</v>
      </c>
      <c r="F9" s="44">
        <v>1439.0629999400003</v>
      </c>
      <c r="G9" s="44">
        <v>0</v>
      </c>
      <c r="H9" s="44">
        <v>0</v>
      </c>
      <c r="I9" s="44">
        <v>0</v>
      </c>
    </row>
    <row r="10" spans="1:9" ht="15">
      <c r="A10" s="43" t="str">
        <f>HLOOKUP(INDICE!$F$2,Nombres!$C$3:$D$636,35,FALSE)</f>
        <v>Resultados de operaciones financieras</v>
      </c>
      <c r="B10" s="44">
        <v>579.61799999</v>
      </c>
      <c r="C10" s="44">
        <v>515.9979999999999</v>
      </c>
      <c r="D10" s="44">
        <v>573.3480000100001</v>
      </c>
      <c r="E10" s="45">
        <v>269.0639999999999</v>
      </c>
      <c r="F10" s="44">
        <v>438.14999994999994</v>
      </c>
      <c r="G10" s="44">
        <v>0</v>
      </c>
      <c r="H10" s="44">
        <v>0</v>
      </c>
      <c r="I10" s="44">
        <v>0</v>
      </c>
    </row>
    <row r="11" spans="1:9" ht="15">
      <c r="A11" s="43" t="str">
        <f>HLOOKUP(INDICE!$F$2,Nombres!$C$3:$D$636,96,FALSE)</f>
        <v>Ingresos por dividendos</v>
      </c>
      <c r="B11" s="44">
        <v>3.799000000000042</v>
      </c>
      <c r="C11" s="44">
        <v>72.23799999999991</v>
      </c>
      <c r="D11" s="44">
        <v>2.9960000000000355</v>
      </c>
      <c r="E11" s="45">
        <v>44.181000000000054</v>
      </c>
      <c r="F11" s="44">
        <v>4.297999999999965</v>
      </c>
      <c r="G11" s="44">
        <v>0</v>
      </c>
      <c r="H11" s="44">
        <v>0</v>
      </c>
      <c r="I11" s="44">
        <v>0</v>
      </c>
    </row>
    <row r="12" spans="1:9" ht="15">
      <c r="A12" s="43" t="str">
        <f>HLOOKUP(INDICE!$F$2,Nombres!$C$3:$D$636,97,FALSE)</f>
        <v>Part. gananc/pdas inversiones en dependientes, neg conjunt y asoc</v>
      </c>
      <c r="B12" s="44">
        <v>4.848000000000002</v>
      </c>
      <c r="C12" s="44">
        <v>9.84</v>
      </c>
      <c r="D12" s="44">
        <v>0.7449999999999992</v>
      </c>
      <c r="E12" s="45">
        <v>5.187000000000004</v>
      </c>
      <c r="F12" s="44">
        <v>6.272000000000001</v>
      </c>
      <c r="G12" s="44">
        <v>0</v>
      </c>
      <c r="H12" s="44">
        <v>0</v>
      </c>
      <c r="I12" s="44">
        <v>0</v>
      </c>
    </row>
    <row r="13" spans="1:9" ht="15">
      <c r="A13" s="43" t="str">
        <f>HLOOKUP(INDICE!$F$2,Nombres!$C$3:$D$636,98,FALSE)</f>
        <v>Otros productos/cargas de explotación</v>
      </c>
      <c r="B13" s="44">
        <v>-382.85799999</v>
      </c>
      <c r="C13" s="44">
        <v>-583.5210000100001</v>
      </c>
      <c r="D13" s="44">
        <v>-375.8990000100003</v>
      </c>
      <c r="E13" s="45">
        <v>-492.18910697999985</v>
      </c>
      <c r="F13" s="44">
        <v>-571.6110000100001</v>
      </c>
      <c r="G13" s="44">
        <v>0</v>
      </c>
      <c r="H13" s="44">
        <v>0</v>
      </c>
      <c r="I13" s="44">
        <v>0</v>
      </c>
    </row>
    <row r="14" spans="1:9" ht="15">
      <c r="A14" s="41" t="str">
        <f>HLOOKUP(INDICE!$F$2,Nombres!$C$3:$D$636,37,FALSE)</f>
        <v>Margen bruto</v>
      </c>
      <c r="B14" s="41">
        <f>+SUM(B8:B13)</f>
        <v>5394.702999829999</v>
      </c>
      <c r="C14" s="41">
        <f aca="true" t="shared" si="0" ref="C14:I14">+SUM(C8:C13)</f>
        <v>6022.02600003</v>
      </c>
      <c r="D14" s="41">
        <f t="shared" si="0"/>
        <v>6838.05800009</v>
      </c>
      <c r="E14" s="42">
        <f t="shared" si="0"/>
        <v>6488.528896600002</v>
      </c>
      <c r="F14" s="41">
        <f t="shared" si="0"/>
        <v>6958.12599994</v>
      </c>
      <c r="G14" s="50">
        <f t="shared" si="0"/>
        <v>0</v>
      </c>
      <c r="H14" s="50">
        <f t="shared" si="0"/>
        <v>0</v>
      </c>
      <c r="I14" s="50">
        <f t="shared" si="0"/>
        <v>0</v>
      </c>
    </row>
    <row r="15" spans="1:9" ht="15">
      <c r="A15" s="43" t="str">
        <f>HLOOKUP(INDICE!$F$2,Nombres!$C$3:$D$636,38,FALSE)</f>
        <v>Gastos de explotación</v>
      </c>
      <c r="B15" s="44">
        <v>-2405.63799999</v>
      </c>
      <c r="C15" s="44">
        <v>-2617.93300003</v>
      </c>
      <c r="D15" s="44">
        <v>-2802.81699993</v>
      </c>
      <c r="E15" s="45">
        <v>-2874.9080013499997</v>
      </c>
      <c r="F15" s="44">
        <v>-3016.0949999500003</v>
      </c>
      <c r="G15" s="44">
        <v>0</v>
      </c>
      <c r="H15" s="44">
        <v>0</v>
      </c>
      <c r="I15" s="44">
        <v>0</v>
      </c>
    </row>
    <row r="16" spans="1:9" ht="15">
      <c r="A16" s="43" t="str">
        <f>HLOOKUP(INDICE!$F$2,Nombres!$C$3:$D$636,39,FALSE)</f>
        <v>  Gastos de administración</v>
      </c>
      <c r="B16" s="44">
        <v>-2093.08199997</v>
      </c>
      <c r="C16" s="44">
        <v>-2278.37300006</v>
      </c>
      <c r="D16" s="44">
        <v>-2464.56799995</v>
      </c>
      <c r="E16" s="45">
        <v>-2537.0410013299997</v>
      </c>
      <c r="F16" s="44">
        <v>-2677.5749999400005</v>
      </c>
      <c r="G16" s="44">
        <v>0</v>
      </c>
      <c r="H16" s="44">
        <v>0</v>
      </c>
      <c r="I16" s="44">
        <v>0</v>
      </c>
    </row>
    <row r="17" spans="1:9" ht="15">
      <c r="A17" s="46" t="str">
        <f>HLOOKUP(INDICE!$F$2,Nombres!$C$3:$D$636,40,FALSE)</f>
        <v>  Gastos de personal</v>
      </c>
      <c r="B17" s="44">
        <v>-1238.07800005</v>
      </c>
      <c r="C17" s="44">
        <v>-1343.65099998</v>
      </c>
      <c r="D17" s="44">
        <v>-1471.41300003</v>
      </c>
      <c r="E17" s="45">
        <v>-1547.40300019</v>
      </c>
      <c r="F17" s="44">
        <v>-1550.6919999399997</v>
      </c>
      <c r="G17" s="44">
        <v>0</v>
      </c>
      <c r="H17" s="44">
        <v>0</v>
      </c>
      <c r="I17" s="44">
        <v>0</v>
      </c>
    </row>
    <row r="18" spans="1:9" ht="15">
      <c r="A18" s="46" t="str">
        <f>HLOOKUP(INDICE!$F$2,Nombres!$C$3:$D$636,41,FALSE)</f>
        <v>  Otros gastos de administración</v>
      </c>
      <c r="B18" s="44">
        <v>-855.0039999200001</v>
      </c>
      <c r="C18" s="44">
        <v>-934.72200008</v>
      </c>
      <c r="D18" s="44">
        <v>-993.15499992</v>
      </c>
      <c r="E18" s="45">
        <v>-989.63800114</v>
      </c>
      <c r="F18" s="44">
        <v>-1126.8829999999998</v>
      </c>
      <c r="G18" s="44">
        <v>0</v>
      </c>
      <c r="H18" s="44">
        <v>0</v>
      </c>
      <c r="I18" s="44">
        <v>0</v>
      </c>
    </row>
    <row r="19" spans="1:9" ht="15">
      <c r="A19" s="43" t="str">
        <f>HLOOKUP(INDICE!$F$2,Nombres!$C$3:$D$636,42,FALSE)</f>
        <v>  Amortización</v>
      </c>
      <c r="B19" s="44">
        <v>-312.55600002</v>
      </c>
      <c r="C19" s="44">
        <v>-339.55999997000004</v>
      </c>
      <c r="D19" s="44">
        <v>-338.24899998</v>
      </c>
      <c r="E19" s="45">
        <v>-337.86700002</v>
      </c>
      <c r="F19" s="44">
        <v>-338.52000001</v>
      </c>
      <c r="G19" s="44">
        <v>0</v>
      </c>
      <c r="H19" s="44">
        <v>0</v>
      </c>
      <c r="I19" s="44">
        <v>0</v>
      </c>
    </row>
    <row r="20" spans="1:9" ht="15">
      <c r="A20" s="41" t="str">
        <f>HLOOKUP(INDICE!$F$2,Nombres!$C$3:$D$636,43,FALSE)</f>
        <v>Margen neto</v>
      </c>
      <c r="B20" s="41">
        <f>+B14+B15</f>
        <v>2989.0649998399986</v>
      </c>
      <c r="C20" s="41">
        <f aca="true" t="shared" si="1" ref="C20:I20">+C14+C15</f>
        <v>3404.0930000000003</v>
      </c>
      <c r="D20" s="41">
        <f t="shared" si="1"/>
        <v>4035.24100016</v>
      </c>
      <c r="E20" s="42">
        <f t="shared" si="1"/>
        <v>3613.620895250002</v>
      </c>
      <c r="F20" s="41">
        <f t="shared" si="1"/>
        <v>3942.0309999899996</v>
      </c>
      <c r="G20" s="50">
        <f t="shared" si="1"/>
        <v>0</v>
      </c>
      <c r="H20" s="50">
        <f t="shared" si="1"/>
        <v>0</v>
      </c>
      <c r="I20" s="50">
        <f t="shared" si="1"/>
        <v>0</v>
      </c>
    </row>
    <row r="21" spans="1:9" ht="15">
      <c r="A21" s="43" t="str">
        <f>HLOOKUP(INDICE!$F$2,Nombres!$C$3:$D$636,44,FALSE)</f>
        <v>Deterioro de activos financieros no valorados a valor razonable con cambios en resultados</v>
      </c>
      <c r="B21" s="44">
        <v>-736.9199999499999</v>
      </c>
      <c r="C21" s="44">
        <v>-703.6320000599998</v>
      </c>
      <c r="D21" s="44">
        <v>-939.9120000199996</v>
      </c>
      <c r="E21" s="45">
        <v>-998.3589999800004</v>
      </c>
      <c r="F21" s="44">
        <v>-968.06099993</v>
      </c>
      <c r="G21" s="44">
        <v>0</v>
      </c>
      <c r="H21" s="44">
        <v>0</v>
      </c>
      <c r="I21" s="44">
        <v>0</v>
      </c>
    </row>
    <row r="22" spans="1:9" ht="15">
      <c r="A22" s="43" t="str">
        <f>HLOOKUP(INDICE!$F$2,Nombres!$C$3:$D$636,247,FALSE)</f>
        <v>Provisiones o reversión de provisiones</v>
      </c>
      <c r="B22" s="44">
        <v>-47.838999990000005</v>
      </c>
      <c r="C22" s="44">
        <v>-64.00399997999997</v>
      </c>
      <c r="D22" s="44">
        <v>-129.09100003</v>
      </c>
      <c r="E22" s="45">
        <v>-50.083999980000016</v>
      </c>
      <c r="F22" s="44">
        <v>-13.88299999</v>
      </c>
      <c r="G22" s="44">
        <v>0</v>
      </c>
      <c r="H22" s="44">
        <v>0</v>
      </c>
      <c r="I22" s="44">
        <v>0</v>
      </c>
    </row>
    <row r="23" spans="1:9" ht="15">
      <c r="A23" s="43" t="str">
        <f>HLOOKUP(INDICE!$F$2,Nombres!$C$3:$D$636,248,FALSE)</f>
        <v>Otros resultados</v>
      </c>
      <c r="B23" s="44">
        <v>20.417</v>
      </c>
      <c r="C23" s="44">
        <v>-2.694046449999986</v>
      </c>
      <c r="D23" s="44">
        <v>18.904000000000096</v>
      </c>
      <c r="E23" s="45">
        <v>-6.484000000000108</v>
      </c>
      <c r="F23" s="44">
        <v>-15.885000000000003</v>
      </c>
      <c r="G23" s="44">
        <v>0</v>
      </c>
      <c r="H23" s="44">
        <v>0</v>
      </c>
      <c r="I23" s="44">
        <v>0</v>
      </c>
    </row>
    <row r="24" spans="1:9" ht="15">
      <c r="A24" s="41" t="str">
        <f>HLOOKUP(INDICE!$F$2,Nombres!$C$3:$D$636,46,FALSE)</f>
        <v>Resultado antes de impuestos</v>
      </c>
      <c r="B24" s="50">
        <f aca="true" t="shared" si="2" ref="B24:I24">+B20+B21+B22+B23</f>
        <v>2224.7229998999987</v>
      </c>
      <c r="C24" s="50">
        <f t="shared" si="2"/>
        <v>2633.7629535100004</v>
      </c>
      <c r="D24" s="50">
        <f t="shared" si="2"/>
        <v>2985.1420001100005</v>
      </c>
      <c r="E24" s="42">
        <f t="shared" si="2"/>
        <v>2558.6938952900014</v>
      </c>
      <c r="F24" s="50">
        <f t="shared" si="2"/>
        <v>2944.2020000699995</v>
      </c>
      <c r="G24" s="50">
        <f t="shared" si="2"/>
        <v>0</v>
      </c>
      <c r="H24" s="50">
        <f t="shared" si="2"/>
        <v>0</v>
      </c>
      <c r="I24" s="50">
        <f t="shared" si="2"/>
        <v>0</v>
      </c>
    </row>
    <row r="25" spans="1:9" ht="15">
      <c r="A25" s="43" t="str">
        <f>HLOOKUP(INDICE!$F$2,Nombres!$C$3:$D$636,47,FALSE)</f>
        <v>Impuesto sobre beneficios</v>
      </c>
      <c r="B25" s="44">
        <v>-903.3990000300001</v>
      </c>
      <c r="C25" s="44">
        <v>-679.6337835899999</v>
      </c>
      <c r="D25" s="44">
        <v>-1004.70999996</v>
      </c>
      <c r="E25" s="45">
        <v>-849.8679991799999</v>
      </c>
      <c r="F25" s="44">
        <v>-949.8000000099998</v>
      </c>
      <c r="G25" s="44">
        <v>0</v>
      </c>
      <c r="H25" s="44">
        <v>0</v>
      </c>
      <c r="I25" s="44">
        <v>0</v>
      </c>
    </row>
    <row r="26" spans="1:9" ht="15">
      <c r="A26" s="41" t="str">
        <f>HLOOKUP(INDICE!$F$2,Nombres!$C$3:$D$636,48,FALSE)</f>
        <v>Resultado del ejercicio</v>
      </c>
      <c r="B26" s="50">
        <f aca="true" t="shared" si="3" ref="B26:I26">+B24+B25</f>
        <v>1321.3239998699987</v>
      </c>
      <c r="C26" s="50">
        <f t="shared" si="3"/>
        <v>1954.1291699200005</v>
      </c>
      <c r="D26" s="50">
        <f t="shared" si="3"/>
        <v>1980.4320001500005</v>
      </c>
      <c r="E26" s="42">
        <f t="shared" si="3"/>
        <v>1708.8258961100014</v>
      </c>
      <c r="F26" s="50">
        <f t="shared" si="3"/>
        <v>1994.4020000599996</v>
      </c>
      <c r="G26" s="50">
        <f t="shared" si="3"/>
        <v>0</v>
      </c>
      <c r="H26" s="50">
        <f t="shared" si="3"/>
        <v>0</v>
      </c>
      <c r="I26" s="50">
        <f t="shared" si="3"/>
        <v>0</v>
      </c>
    </row>
    <row r="27" spans="1:9" ht="15">
      <c r="A27" s="43" t="str">
        <f>HLOOKUP(INDICE!$F$2,Nombres!$C$3:$D$636,49,FALSE)</f>
        <v>Minoritarios</v>
      </c>
      <c r="B27" s="44">
        <v>3.4049999899999825</v>
      </c>
      <c r="C27" s="44">
        <v>-120.03699996999994</v>
      </c>
      <c r="D27" s="44">
        <v>-142.62600002000005</v>
      </c>
      <c r="E27" s="45">
        <v>-146.12899994</v>
      </c>
      <c r="F27" s="44">
        <v>-148.11300001</v>
      </c>
      <c r="G27" s="44">
        <v>0</v>
      </c>
      <c r="H27" s="44">
        <v>0</v>
      </c>
      <c r="I27" s="44">
        <v>0</v>
      </c>
    </row>
    <row r="28" spans="1:9" ht="15">
      <c r="A28" s="47" t="str">
        <f>HLOOKUP(INDICE!$F$2,Nombres!$C$3:$D$636,305,FALSE)</f>
        <v>Resultado atribuido excluyendo impactos no recurrentes</v>
      </c>
      <c r="B28" s="47">
        <f>+B26+B27</f>
        <v>1324.7289998599988</v>
      </c>
      <c r="C28" s="47">
        <f aca="true" t="shared" si="4" ref="C28:I28">+C26+C27</f>
        <v>1834.0921699500007</v>
      </c>
      <c r="D28" s="47">
        <f t="shared" si="4"/>
        <v>1837.8060001300005</v>
      </c>
      <c r="E28" s="47">
        <f t="shared" si="4"/>
        <v>1562.6968961700013</v>
      </c>
      <c r="F28" s="47">
        <f t="shared" si="4"/>
        <v>1846.2890000499997</v>
      </c>
      <c r="G28" s="47">
        <f t="shared" si="4"/>
        <v>0</v>
      </c>
      <c r="H28" s="47">
        <f t="shared" si="4"/>
        <v>0</v>
      </c>
      <c r="I28" s="47">
        <f t="shared" si="4"/>
        <v>0</v>
      </c>
    </row>
    <row r="29" spans="1:16" ht="15">
      <c r="A29" s="43" t="str">
        <f>HLOOKUP(INDICE!$F$2,Nombres!$C$3:$D$636,319,FALSE)</f>
        <v>Impacto neto de la compra de oficinas en España</v>
      </c>
      <c r="B29" s="44">
        <v>0</v>
      </c>
      <c r="C29" s="44">
        <v>-201.39716995</v>
      </c>
      <c r="D29" s="44">
        <v>0</v>
      </c>
      <c r="E29" s="45">
        <v>0</v>
      </c>
      <c r="F29" s="44">
        <v>0</v>
      </c>
      <c r="G29" s="44">
        <v>0</v>
      </c>
      <c r="H29" s="44">
        <v>0</v>
      </c>
      <c r="I29" s="44">
        <v>0</v>
      </c>
      <c r="M29" s="284"/>
      <c r="N29" s="284"/>
      <c r="O29" s="284"/>
      <c r="P29" s="284"/>
    </row>
    <row r="30" spans="1:9" ht="15">
      <c r="A30" s="47" t="str">
        <f>HLOOKUP(INDICE!$F$2,Nombres!$C$3:$D$636,50,FALSE)</f>
        <v>Resultado atribuido</v>
      </c>
      <c r="B30" s="47">
        <f>+B28+B29</f>
        <v>1324.7289998599988</v>
      </c>
      <c r="C30" s="47">
        <f aca="true" t="shared" si="5" ref="C30:I30">+C28+C29</f>
        <v>1632.6950000000006</v>
      </c>
      <c r="D30" s="47">
        <f t="shared" si="5"/>
        <v>1837.8060001300005</v>
      </c>
      <c r="E30" s="47">
        <f t="shared" si="5"/>
        <v>1562.6968961700013</v>
      </c>
      <c r="F30" s="47">
        <f t="shared" si="5"/>
        <v>1846.2890000499997</v>
      </c>
      <c r="G30" s="47">
        <f t="shared" si="5"/>
        <v>0</v>
      </c>
      <c r="H30" s="47">
        <f t="shared" si="5"/>
        <v>0</v>
      </c>
      <c r="I30" s="47">
        <f t="shared" si="5"/>
        <v>0</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297"/>
      <c r="B33" s="297"/>
      <c r="C33" s="297"/>
      <c r="D33" s="297"/>
      <c r="E33" s="297"/>
      <c r="F33" s="297"/>
      <c r="G33" s="297"/>
      <c r="H33" s="297"/>
      <c r="I33" s="297"/>
    </row>
    <row r="34" spans="1:9" ht="15" customHeight="1">
      <c r="A34" s="297"/>
      <c r="B34" s="297"/>
      <c r="C34" s="297"/>
      <c r="D34" s="297"/>
      <c r="E34" s="297"/>
      <c r="F34" s="297"/>
      <c r="G34" s="297"/>
      <c r="H34" s="297"/>
      <c r="I34" s="297"/>
    </row>
    <row r="35" spans="1:9" ht="15">
      <c r="A35" s="297"/>
      <c r="B35" s="297"/>
      <c r="C35" s="297"/>
      <c r="D35" s="297"/>
      <c r="E35" s="297"/>
      <c r="F35" s="297"/>
      <c r="G35" s="297"/>
      <c r="H35" s="297"/>
      <c r="I35" s="297"/>
    </row>
    <row r="36" spans="1:9" ht="15">
      <c r="A36" s="43"/>
      <c r="B36" s="49"/>
      <c r="C36" s="49"/>
      <c r="D36" s="49"/>
      <c r="E36" s="49"/>
      <c r="F36" s="279"/>
      <c r="G36" s="49"/>
      <c r="H36" s="49"/>
      <c r="I36" s="49"/>
    </row>
    <row r="37" spans="2:9" ht="15">
      <c r="B37" s="263"/>
      <c r="C37" s="263"/>
      <c r="D37" s="263"/>
      <c r="E37" s="263"/>
      <c r="F37" s="263"/>
      <c r="G37" s="263"/>
      <c r="H37" s="263"/>
      <c r="I37" s="263"/>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298">
        <f>+España!B6</f>
        <v>2022</v>
      </c>
      <c r="C42" s="298"/>
      <c r="D42" s="298"/>
      <c r="E42" s="299"/>
      <c r="F42" s="300">
        <f>+España!F6</f>
        <v>2023</v>
      </c>
      <c r="G42" s="298"/>
      <c r="H42" s="298"/>
      <c r="I42" s="298"/>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3938.081762288063</v>
      </c>
      <c r="C44" s="41">
        <v>4449.964123819138</v>
      </c>
      <c r="D44" s="41">
        <v>5084.194448744268</v>
      </c>
      <c r="E44" s="42">
        <v>5663.0352899185345</v>
      </c>
      <c r="F44" s="41">
        <v>5641.95400006</v>
      </c>
      <c r="G44" s="50">
        <v>0</v>
      </c>
      <c r="H44" s="50">
        <v>0</v>
      </c>
      <c r="I44" s="50">
        <v>0</v>
      </c>
    </row>
    <row r="45" spans="1:9" ht="15">
      <c r="A45" s="43" t="str">
        <f>HLOOKUP(INDICE!$F$2,Nombres!$C$3:$D$636,34,FALSE)</f>
        <v>Comisiones netas</v>
      </c>
      <c r="B45" s="44">
        <v>1242.4237255398662</v>
      </c>
      <c r="C45" s="44">
        <v>1386.5815771643286</v>
      </c>
      <c r="D45" s="44">
        <v>1364.162829861364</v>
      </c>
      <c r="E45" s="45">
        <v>1398.5974283959772</v>
      </c>
      <c r="F45" s="44">
        <v>1439.06299994</v>
      </c>
      <c r="G45" s="44">
        <v>0</v>
      </c>
      <c r="H45" s="44">
        <v>0</v>
      </c>
      <c r="I45" s="44">
        <v>0</v>
      </c>
    </row>
    <row r="46" spans="1:9" ht="15">
      <c r="A46" s="43" t="str">
        <f>HLOOKUP(INDICE!$F$2,Nombres!$C$3:$D$636,35,FALSE)</f>
        <v>Resultados de operaciones financieras</v>
      </c>
      <c r="B46" s="44">
        <v>539.018119521808</v>
      </c>
      <c r="C46" s="44">
        <v>487.28692899259136</v>
      </c>
      <c r="D46" s="44">
        <v>544.7018300039942</v>
      </c>
      <c r="E46" s="45">
        <v>331.280124858708</v>
      </c>
      <c r="F46" s="44">
        <v>438.14999994999994</v>
      </c>
      <c r="G46" s="44">
        <v>0</v>
      </c>
      <c r="H46" s="44">
        <v>0</v>
      </c>
      <c r="I46" s="44">
        <v>0</v>
      </c>
    </row>
    <row r="47" spans="1:9" ht="15">
      <c r="A47" s="43" t="str">
        <f>HLOOKUP(INDICE!$F$2,Nombres!$C$3:$D$636,96,FALSE)</f>
        <v>Ingresos por dividendos</v>
      </c>
      <c r="B47" s="44">
        <v>3.4771809717455975</v>
      </c>
      <c r="C47" s="44">
        <v>71.26616168859397</v>
      </c>
      <c r="D47" s="44">
        <v>2.9334886064617267</v>
      </c>
      <c r="E47" s="45">
        <v>44.941364497274535</v>
      </c>
      <c r="F47" s="44">
        <v>4.297999999999965</v>
      </c>
      <c r="G47" s="44">
        <v>0</v>
      </c>
      <c r="H47" s="44">
        <v>0</v>
      </c>
      <c r="I47" s="44">
        <v>0</v>
      </c>
    </row>
    <row r="48" spans="1:9" ht="15">
      <c r="A48" s="43" t="str">
        <f>HLOOKUP(INDICE!$F$2,Nombres!$C$3:$D$636,97,FALSE)</f>
        <v>Part. gananc/pdas inversiones en dependientes, neg conjunt y asoc</v>
      </c>
      <c r="B48" s="44">
        <v>5.551833603145706</v>
      </c>
      <c r="C48" s="44">
        <v>10.56378657735611</v>
      </c>
      <c r="D48" s="44">
        <v>1.3480709767279304</v>
      </c>
      <c r="E48" s="45">
        <v>3.739649017717774</v>
      </c>
      <c r="F48" s="44">
        <v>6.272</v>
      </c>
      <c r="G48" s="44">
        <v>0</v>
      </c>
      <c r="H48" s="44">
        <v>0</v>
      </c>
      <c r="I48" s="44">
        <v>0</v>
      </c>
    </row>
    <row r="49" spans="1:9" ht="15">
      <c r="A49" s="43" t="str">
        <f>HLOOKUP(INDICE!$F$2,Nombres!$C$3:$D$636,98,FALSE)</f>
        <v>Otros productos/cargas de explotación</v>
      </c>
      <c r="B49" s="44">
        <v>-483.1863656805781</v>
      </c>
      <c r="C49" s="44">
        <v>-627.0878844480799</v>
      </c>
      <c r="D49" s="44">
        <v>-347.46237058811073</v>
      </c>
      <c r="E49" s="45">
        <v>-392.87653237110754</v>
      </c>
      <c r="F49" s="44">
        <v>-571.61100001</v>
      </c>
      <c r="G49" s="44">
        <v>0</v>
      </c>
      <c r="H49" s="44">
        <v>0</v>
      </c>
      <c r="I49" s="44">
        <v>0</v>
      </c>
    </row>
    <row r="50" spans="1:9" ht="15">
      <c r="A50" s="41" t="str">
        <f>HLOOKUP(INDICE!$F$2,Nombres!$C$3:$D$636,37,FALSE)</f>
        <v>Margen bruto</v>
      </c>
      <c r="B50" s="41">
        <f>+SUM(B44:B49)</f>
        <v>5245.366256244051</v>
      </c>
      <c r="C50" s="41">
        <f aca="true" t="shared" si="6" ref="C50:I50">+SUM(C44:C49)</f>
        <v>5778.5746937939275</v>
      </c>
      <c r="D50" s="41">
        <f t="shared" si="6"/>
        <v>6649.878297604706</v>
      </c>
      <c r="E50" s="42">
        <f t="shared" si="6"/>
        <v>7048.717324317105</v>
      </c>
      <c r="F50" s="41">
        <f t="shared" si="6"/>
        <v>6958.12599994</v>
      </c>
      <c r="G50" s="50">
        <f t="shared" si="6"/>
        <v>0</v>
      </c>
      <c r="H50" s="50">
        <f t="shared" si="6"/>
        <v>0</v>
      </c>
      <c r="I50" s="50">
        <f t="shared" si="6"/>
        <v>0</v>
      </c>
    </row>
    <row r="51" spans="1:9" ht="15">
      <c r="A51" s="43" t="str">
        <f>HLOOKUP(INDICE!$F$2,Nombres!$C$3:$D$636,38,FALSE)</f>
        <v>Gastos de explotación</v>
      </c>
      <c r="B51" s="44">
        <v>-2400.3065186559797</v>
      </c>
      <c r="C51" s="44">
        <v>-2557.711381080643</v>
      </c>
      <c r="D51" s="44">
        <v>-2740.287201221844</v>
      </c>
      <c r="E51" s="45">
        <v>-3003.246125941324</v>
      </c>
      <c r="F51" s="44">
        <v>-3016.09499995</v>
      </c>
      <c r="G51" s="44">
        <v>0</v>
      </c>
      <c r="H51" s="44">
        <v>0</v>
      </c>
      <c r="I51" s="44">
        <v>0</v>
      </c>
    </row>
    <row r="52" spans="1:9" ht="15">
      <c r="A52" s="43" t="str">
        <f>HLOOKUP(INDICE!$F$2,Nombres!$C$3:$D$636,39,FALSE)</f>
        <v>  Gastos de administración</v>
      </c>
      <c r="B52" s="44">
        <v>-2081.034757665025</v>
      </c>
      <c r="C52" s="44">
        <v>-2217.020964069962</v>
      </c>
      <c r="D52" s="44">
        <v>-2402.6153558310148</v>
      </c>
      <c r="E52" s="45">
        <v>-2659.392198166735</v>
      </c>
      <c r="F52" s="44">
        <v>-2677.57499994</v>
      </c>
      <c r="G52" s="44">
        <v>0</v>
      </c>
      <c r="H52" s="44">
        <v>0</v>
      </c>
      <c r="I52" s="44">
        <v>0</v>
      </c>
    </row>
    <row r="53" spans="1:9" ht="15">
      <c r="A53" s="46" t="str">
        <f>HLOOKUP(INDICE!$F$2,Nombres!$C$3:$D$636,40,FALSE)</f>
        <v>  Gastos de personal</v>
      </c>
      <c r="B53" s="44">
        <v>-1226.5841080193122</v>
      </c>
      <c r="C53" s="44">
        <v>-1306.9958124638968</v>
      </c>
      <c r="D53" s="44">
        <v>-1437.3045098988855</v>
      </c>
      <c r="E53" s="45">
        <v>-1619.801998604681</v>
      </c>
      <c r="F53" s="44">
        <v>-1550.69199994</v>
      </c>
      <c r="G53" s="44">
        <v>0</v>
      </c>
      <c r="H53" s="44">
        <v>0</v>
      </c>
      <c r="I53" s="44">
        <v>0</v>
      </c>
    </row>
    <row r="54" spans="1:9" ht="15">
      <c r="A54" s="46" t="str">
        <f>HLOOKUP(INDICE!$F$2,Nombres!$C$3:$D$636,41,FALSE)</f>
        <v>  Otros gastos de administración</v>
      </c>
      <c r="B54" s="44">
        <v>-854.4506496457129</v>
      </c>
      <c r="C54" s="44">
        <v>-910.025151606065</v>
      </c>
      <c r="D54" s="44">
        <v>-965.3108459321293</v>
      </c>
      <c r="E54" s="45">
        <v>-1039.590199562054</v>
      </c>
      <c r="F54" s="44">
        <v>-1126.883</v>
      </c>
      <c r="G54" s="44">
        <v>0</v>
      </c>
      <c r="H54" s="44">
        <v>0</v>
      </c>
      <c r="I54" s="44">
        <v>0</v>
      </c>
    </row>
    <row r="55" spans="1:9" ht="15">
      <c r="A55" s="43" t="str">
        <f>HLOOKUP(INDICE!$F$2,Nombres!$C$3:$D$636,42,FALSE)</f>
        <v>  Amortización</v>
      </c>
      <c r="B55" s="44">
        <v>-319.27176099095476</v>
      </c>
      <c r="C55" s="44">
        <v>-340.690417010681</v>
      </c>
      <c r="D55" s="44">
        <v>-337.6718453908293</v>
      </c>
      <c r="E55" s="45">
        <v>-343.85392777458884</v>
      </c>
      <c r="F55" s="44">
        <v>-338.52000001</v>
      </c>
      <c r="G55" s="44">
        <v>0</v>
      </c>
      <c r="H55" s="44">
        <v>0</v>
      </c>
      <c r="I55" s="44">
        <v>0</v>
      </c>
    </row>
    <row r="56" spans="1:9" ht="15">
      <c r="A56" s="41" t="str">
        <f>HLOOKUP(INDICE!$F$2,Nombres!$C$3:$D$636,43,FALSE)</f>
        <v>Margen neto</v>
      </c>
      <c r="B56" s="41">
        <f>+B50+B51</f>
        <v>2845.0597375880716</v>
      </c>
      <c r="C56" s="41">
        <f aca="true" t="shared" si="7" ref="C56:I56">+C50+C51</f>
        <v>3220.8633127132844</v>
      </c>
      <c r="D56" s="41">
        <f t="shared" si="7"/>
        <v>3909.591096382862</v>
      </c>
      <c r="E56" s="42">
        <f t="shared" si="7"/>
        <v>4045.4711983757807</v>
      </c>
      <c r="F56" s="41">
        <f t="shared" si="7"/>
        <v>3942.03099999</v>
      </c>
      <c r="G56" s="50">
        <f t="shared" si="7"/>
        <v>0</v>
      </c>
      <c r="H56" s="50">
        <f t="shared" si="7"/>
        <v>0</v>
      </c>
      <c r="I56" s="50">
        <f t="shared" si="7"/>
        <v>0</v>
      </c>
    </row>
    <row r="57" spans="1:9" ht="15">
      <c r="A57" s="43" t="str">
        <f>HLOOKUP(INDICE!$F$2,Nombres!$C$3:$D$636,44,FALSE)</f>
        <v>Deterioro de activos financieros no valorados a valor razonable con cambios en resultados</v>
      </c>
      <c r="B57" s="44">
        <v>-750.8754974577985</v>
      </c>
      <c r="C57" s="44">
        <v>-709.2773432373187</v>
      </c>
      <c r="D57" s="44">
        <v>-922.5568429817646</v>
      </c>
      <c r="E57" s="45">
        <v>-1025.8163690795436</v>
      </c>
      <c r="F57" s="44">
        <v>-968.06099993</v>
      </c>
      <c r="G57" s="44">
        <v>0</v>
      </c>
      <c r="H57" s="44">
        <v>0</v>
      </c>
      <c r="I57" s="44">
        <v>0</v>
      </c>
    </row>
    <row r="58" spans="1:9" ht="15">
      <c r="A58" s="43" t="str">
        <f>HLOOKUP(INDICE!$F$2,Nombres!$C$3:$D$636,247,FALSE)</f>
        <v>Provisiones o reversión de provisiones</v>
      </c>
      <c r="B58" s="44">
        <v>-43.69858347468379</v>
      </c>
      <c r="C58" s="44">
        <v>-55.79232887710622</v>
      </c>
      <c r="D58" s="44">
        <v>-129.37084861549337</v>
      </c>
      <c r="E58" s="45">
        <v>-54.42537859131634</v>
      </c>
      <c r="F58" s="44">
        <v>-13.882999990000002</v>
      </c>
      <c r="G58" s="44">
        <v>0</v>
      </c>
      <c r="H58" s="44">
        <v>0</v>
      </c>
      <c r="I58" s="44">
        <v>0</v>
      </c>
    </row>
    <row r="59" spans="1:9" ht="15">
      <c r="A59" s="43" t="str">
        <f>HLOOKUP(INDICE!$F$2,Nombres!$C$3:$D$636,248,FALSE)</f>
        <v>Otros resultados</v>
      </c>
      <c r="B59" s="44">
        <v>19.20787432459921</v>
      </c>
      <c r="C59" s="44">
        <v>-4.052926257365028</v>
      </c>
      <c r="D59" s="44">
        <v>18.979440699055417</v>
      </c>
      <c r="E59" s="45">
        <v>-3.4958996567193665</v>
      </c>
      <c r="F59" s="44">
        <v>-15.885000000000002</v>
      </c>
      <c r="G59" s="44">
        <v>0</v>
      </c>
      <c r="H59" s="44">
        <v>0</v>
      </c>
      <c r="I59" s="44">
        <v>0</v>
      </c>
    </row>
    <row r="60" spans="1:9" ht="15">
      <c r="A60" s="41" t="str">
        <f>HLOOKUP(INDICE!$F$2,Nombres!$C$3:$D$636,46,FALSE)</f>
        <v>Resultado antes de impuestos</v>
      </c>
      <c r="B60" s="50">
        <f aca="true" t="shared" si="8" ref="B60:I60">+B56+B57+B58+B59</f>
        <v>2069.6935309801884</v>
      </c>
      <c r="C60" s="50">
        <f t="shared" si="8"/>
        <v>2451.7407143414944</v>
      </c>
      <c r="D60" s="50">
        <f t="shared" si="8"/>
        <v>2876.6428454846596</v>
      </c>
      <c r="E60" s="42">
        <f t="shared" si="8"/>
        <v>2961.733551048201</v>
      </c>
      <c r="F60" s="50">
        <f t="shared" si="8"/>
        <v>2944.20200007</v>
      </c>
      <c r="G60" s="50">
        <f t="shared" si="8"/>
        <v>0</v>
      </c>
      <c r="H60" s="50">
        <f t="shared" si="8"/>
        <v>0</v>
      </c>
      <c r="I60" s="50">
        <f t="shared" si="8"/>
        <v>0</v>
      </c>
    </row>
    <row r="61" spans="1:9" ht="15">
      <c r="A61" s="43" t="str">
        <f>HLOOKUP(INDICE!$F$2,Nombres!$C$3:$D$636,47,FALSE)</f>
        <v>Impuesto sobre beneficios</v>
      </c>
      <c r="B61" s="44">
        <v>-858.2154329644663</v>
      </c>
      <c r="C61" s="44">
        <v>-631.8309009179447</v>
      </c>
      <c r="D61" s="44">
        <v>-961.5432847887391</v>
      </c>
      <c r="E61" s="45">
        <v>-963.2776355870001</v>
      </c>
      <c r="F61" s="44">
        <v>-949.8000000100001</v>
      </c>
      <c r="G61" s="44">
        <v>0</v>
      </c>
      <c r="H61" s="44">
        <v>0</v>
      </c>
      <c r="I61" s="44">
        <v>0</v>
      </c>
    </row>
    <row r="62" spans="1:9" ht="15">
      <c r="A62" s="41" t="str">
        <f>HLOOKUP(INDICE!$F$2,Nombres!$C$3:$D$636,48,FALSE)</f>
        <v>Resultado del ejercicio</v>
      </c>
      <c r="B62" s="50">
        <f aca="true" t="shared" si="9" ref="B62:I62">+B60+B61</f>
        <v>1211.478098015722</v>
      </c>
      <c r="C62" s="50">
        <f t="shared" si="9"/>
        <v>1819.9098134235496</v>
      </c>
      <c r="D62" s="50">
        <f t="shared" si="9"/>
        <v>1915.0995606959204</v>
      </c>
      <c r="E62" s="42">
        <f t="shared" si="9"/>
        <v>1998.4559154612011</v>
      </c>
      <c r="F62" s="50">
        <f t="shared" si="9"/>
        <v>1994.4020000599999</v>
      </c>
      <c r="G62" s="50">
        <f t="shared" si="9"/>
        <v>0</v>
      </c>
      <c r="H62" s="50">
        <f t="shared" si="9"/>
        <v>0</v>
      </c>
      <c r="I62" s="50">
        <f t="shared" si="9"/>
        <v>0</v>
      </c>
    </row>
    <row r="63" spans="1:9" ht="15">
      <c r="A63" s="43" t="str">
        <f>HLOOKUP(INDICE!$F$2,Nombres!$C$3:$D$636,49,FALSE)</f>
        <v>Minoritarios</v>
      </c>
      <c r="B63" s="44">
        <v>102.89119836013043</v>
      </c>
      <c r="C63" s="44">
        <v>-66.34269383186322</v>
      </c>
      <c r="D63" s="44">
        <v>-134.74489670542525</v>
      </c>
      <c r="E63" s="45">
        <v>-233.86260300868457</v>
      </c>
      <c r="F63" s="44">
        <v>-148.11300001</v>
      </c>
      <c r="G63" s="44">
        <v>0</v>
      </c>
      <c r="H63" s="44">
        <v>0</v>
      </c>
      <c r="I63" s="44">
        <v>0</v>
      </c>
    </row>
    <row r="64" spans="1:9" ht="15">
      <c r="A64" s="47" t="str">
        <f>HLOOKUP(INDICE!$F$2,Nombres!$C$3:$D$636,305,FALSE)</f>
        <v>Resultado atribuido excluyendo impactos no recurrentes</v>
      </c>
      <c r="B64" s="47">
        <f>+B62+B63</f>
        <v>1314.3692963758524</v>
      </c>
      <c r="C64" s="47">
        <f aca="true" t="shared" si="10" ref="C64:I64">+C62+C63</f>
        <v>1753.5671195916864</v>
      </c>
      <c r="D64" s="47">
        <f t="shared" si="10"/>
        <v>1780.3546639904953</v>
      </c>
      <c r="E64" s="47">
        <f t="shared" si="10"/>
        <v>1764.5933124525166</v>
      </c>
      <c r="F64" s="47">
        <f t="shared" si="10"/>
        <v>1846.28900005</v>
      </c>
      <c r="G64" s="47">
        <f t="shared" si="10"/>
        <v>0</v>
      </c>
      <c r="H64" s="47">
        <f t="shared" si="10"/>
        <v>0</v>
      </c>
      <c r="I64" s="47">
        <f t="shared" si="10"/>
        <v>0</v>
      </c>
    </row>
    <row r="65" spans="1:9" ht="15">
      <c r="A65" s="43" t="str">
        <f>HLOOKUP(INDICE!$F$2,Nombres!$C$3:$D$636,319,FALSE)</f>
        <v>Impacto neto de la compra de oficinas en España</v>
      </c>
      <c r="B65" s="44">
        <v>0</v>
      </c>
      <c r="C65" s="44">
        <v>-201.39716995</v>
      </c>
      <c r="D65" s="44">
        <v>0</v>
      </c>
      <c r="E65" s="45">
        <v>0</v>
      </c>
      <c r="F65" s="44">
        <v>0</v>
      </c>
      <c r="G65" s="44">
        <v>0</v>
      </c>
      <c r="H65" s="44">
        <v>0</v>
      </c>
      <c r="I65" s="44">
        <v>0</v>
      </c>
    </row>
    <row r="66" spans="1:9" ht="15">
      <c r="A66" s="47" t="str">
        <f>HLOOKUP(INDICE!$F$2,Nombres!$C$3:$D$636,50,FALSE)</f>
        <v>Resultado atribuido</v>
      </c>
      <c r="B66" s="47">
        <f>+B64+B65</f>
        <v>1314.3692963758524</v>
      </c>
      <c r="C66" s="47">
        <f aca="true" t="shared" si="11" ref="C66:I66">+C64+C65</f>
        <v>1552.1699496416863</v>
      </c>
      <c r="D66" s="47">
        <f t="shared" si="11"/>
        <v>1780.3546639904953</v>
      </c>
      <c r="E66" s="47">
        <f t="shared" si="11"/>
        <v>1764.5933124525166</v>
      </c>
      <c r="F66" s="47">
        <f t="shared" si="11"/>
        <v>1846.28900005</v>
      </c>
      <c r="G66" s="47">
        <f t="shared" si="11"/>
        <v>0</v>
      </c>
      <c r="H66" s="47">
        <f t="shared" si="11"/>
        <v>0</v>
      </c>
      <c r="I66" s="47">
        <f t="shared" si="11"/>
        <v>0</v>
      </c>
    </row>
    <row r="67" spans="1:9" ht="15">
      <c r="A67" s="43"/>
      <c r="B67" s="48">
        <v>0</v>
      </c>
      <c r="C67" s="48">
        <v>0</v>
      </c>
      <c r="D67" s="48">
        <v>0</v>
      </c>
      <c r="E67" s="48">
        <v>0</v>
      </c>
      <c r="F67" s="48">
        <v>0</v>
      </c>
      <c r="G67" s="48">
        <v>0</v>
      </c>
      <c r="H67" s="48">
        <v>0</v>
      </c>
      <c r="I67" s="48">
        <v>0</v>
      </c>
    </row>
    <row r="68" spans="1:9" ht="12.75" customHeight="1">
      <c r="A68" s="278"/>
      <c r="B68" s="48">
        <v>0</v>
      </c>
      <c r="C68" s="48">
        <v>0</v>
      </c>
      <c r="D68" s="48">
        <v>0</v>
      </c>
      <c r="E68" s="48">
        <v>0</v>
      </c>
      <c r="F68" s="48">
        <v>0</v>
      </c>
      <c r="G68" s="48">
        <v>0</v>
      </c>
      <c r="H68" s="48">
        <v>0</v>
      </c>
      <c r="I68" s="48">
        <v>0</v>
      </c>
    </row>
    <row r="69" spans="1:9" ht="24" customHeight="1">
      <c r="A69" s="297"/>
      <c r="B69" s="297"/>
      <c r="C69" s="297"/>
      <c r="D69" s="297"/>
      <c r="E69" s="297"/>
      <c r="F69" s="297"/>
      <c r="G69" s="297"/>
      <c r="H69" s="297"/>
      <c r="I69" s="297"/>
    </row>
    <row r="70" spans="1:9" ht="15" customHeight="1">
      <c r="A70" s="297"/>
      <c r="B70" s="297"/>
      <c r="C70" s="297"/>
      <c r="D70" s="297"/>
      <c r="E70" s="297"/>
      <c r="F70" s="297"/>
      <c r="G70" s="297"/>
      <c r="H70" s="297"/>
      <c r="I70" s="297"/>
    </row>
    <row r="71" spans="1:9" ht="15">
      <c r="A71" s="43"/>
      <c r="B71" s="262"/>
      <c r="C71" s="262"/>
      <c r="D71" s="262"/>
      <c r="E71" s="262"/>
      <c r="F71" s="262"/>
      <c r="G71" s="262"/>
      <c r="H71" s="262"/>
      <c r="I71" s="262"/>
    </row>
    <row r="72" spans="1:9" ht="15">
      <c r="A72"/>
      <c r="B72" s="262"/>
      <c r="C72" s="262"/>
      <c r="D72" s="262"/>
      <c r="E72" s="262"/>
      <c r="F72" s="262"/>
      <c r="G72" s="262"/>
      <c r="H72" s="262"/>
      <c r="I72" s="262"/>
    </row>
    <row r="73" spans="2:9" ht="15">
      <c r="B73" s="262"/>
      <c r="C73" s="262"/>
      <c r="D73" s="262"/>
      <c r="E73" s="262"/>
      <c r="F73" s="262"/>
      <c r="G73" s="262"/>
      <c r="H73" s="262"/>
      <c r="I73" s="262"/>
    </row>
    <row r="85" ht="15">
      <c r="A85"/>
    </row>
    <row r="999" ht="15">
      <c r="A999" s="31" t="s">
        <v>391</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8" operator="notBetween">
      <formula>0.4</formula>
      <formula>-0.4</formula>
    </cfRule>
  </conditionalFormatting>
  <conditionalFormatting sqref="B37:I37">
    <cfRule type="cellIs" priority="43" dxfId="18" operator="notBetween">
      <formula>0.4</formula>
      <formula>-0.4</formula>
    </cfRule>
  </conditionalFormatting>
  <conditionalFormatting sqref="E31">
    <cfRule type="cellIs" priority="35" dxfId="261" operator="notBetween">
      <formula>0.5</formula>
      <formula>-0.5</formula>
    </cfRule>
  </conditionalFormatting>
  <conditionalFormatting sqref="C31">
    <cfRule type="cellIs" priority="33" dxfId="261" operator="notBetween">
      <formula>0.5</formula>
      <formula>-0.5</formula>
    </cfRule>
  </conditionalFormatting>
  <conditionalFormatting sqref="H31">
    <cfRule type="cellIs" priority="38" dxfId="261" operator="notBetween">
      <formula>0.5</formula>
      <formula>-0.5</formula>
    </cfRule>
  </conditionalFormatting>
  <conditionalFormatting sqref="I31">
    <cfRule type="cellIs" priority="42" dxfId="261" operator="notBetween">
      <formula>0.5</formula>
      <formula>-0.5</formula>
    </cfRule>
  </conditionalFormatting>
  <conditionalFormatting sqref="B71:G71">
    <cfRule type="cellIs" priority="41" dxfId="18" operator="notBetween">
      <formula>0.4</formula>
      <formula>-0.4</formula>
    </cfRule>
  </conditionalFormatting>
  <conditionalFormatting sqref="G31">
    <cfRule type="cellIs" priority="37" dxfId="261" operator="notBetween">
      <formula>0.5</formula>
      <formula>-0.5</formula>
    </cfRule>
  </conditionalFormatting>
  <conditionalFormatting sqref="H71">
    <cfRule type="cellIs" priority="40" dxfId="18" operator="notBetween">
      <formula>0.4</formula>
      <formula>-0.4</formula>
    </cfRule>
  </conditionalFormatting>
  <conditionalFormatting sqref="I71">
    <cfRule type="cellIs" priority="39" dxfId="18" operator="notBetween">
      <formula>0.4</formula>
      <formula>-0.4</formula>
    </cfRule>
  </conditionalFormatting>
  <conditionalFormatting sqref="F31">
    <cfRule type="cellIs" priority="36" dxfId="261" operator="notBetween">
      <formula>0.5</formula>
      <formula>-0.5</formula>
    </cfRule>
  </conditionalFormatting>
  <conditionalFormatting sqref="D31">
    <cfRule type="cellIs" priority="34" dxfId="261" operator="notBetween">
      <formula>0.5</formula>
      <formula>-0.5</formula>
    </cfRule>
  </conditionalFormatting>
  <conditionalFormatting sqref="D32">
    <cfRule type="cellIs" priority="30" dxfId="261" operator="notBetween">
      <formula>0.5</formula>
      <formula>-0.5</formula>
    </cfRule>
  </conditionalFormatting>
  <conditionalFormatting sqref="B31:I31">
    <cfRule type="cellIs" priority="32" dxfId="261" operator="notBetween">
      <formula>0.5</formula>
      <formula>-0.5</formula>
    </cfRule>
  </conditionalFormatting>
  <conditionalFormatting sqref="C32">
    <cfRule type="cellIs" priority="31" dxfId="261" operator="notBetween">
      <formula>0.5</formula>
      <formula>-0.5</formula>
    </cfRule>
  </conditionalFormatting>
  <conditionalFormatting sqref="B32:I32">
    <cfRule type="cellIs" priority="29" dxfId="261" operator="notBetween">
      <formula>0.5</formula>
      <formula>-0.5</formula>
    </cfRule>
  </conditionalFormatting>
  <conditionalFormatting sqref="F31">
    <cfRule type="cellIs" priority="28" dxfId="261" operator="notBetween">
      <formula>0.5</formula>
      <formula>-0.5</formula>
    </cfRule>
  </conditionalFormatting>
  <conditionalFormatting sqref="G31">
    <cfRule type="cellIs" priority="27" dxfId="261" operator="notBetween">
      <formula>0.5</formula>
      <formula>-0.5</formula>
    </cfRule>
  </conditionalFormatting>
  <conditionalFormatting sqref="H31">
    <cfRule type="cellIs" priority="26" dxfId="261" operator="notBetween">
      <formula>0.5</formula>
      <formula>-0.5</formula>
    </cfRule>
  </conditionalFormatting>
  <conditionalFormatting sqref="I31">
    <cfRule type="cellIs" priority="25" dxfId="261" operator="notBetween">
      <formula>0.5</formula>
      <formula>-0.5</formula>
    </cfRule>
  </conditionalFormatting>
  <conditionalFormatting sqref="D31">
    <cfRule type="cellIs" priority="24" dxfId="261" operator="notBetween">
      <formula>0.5</formula>
      <formula>-0.5</formula>
    </cfRule>
  </conditionalFormatting>
  <conditionalFormatting sqref="C31">
    <cfRule type="cellIs" priority="23" dxfId="261" operator="notBetween">
      <formula>0.5</formula>
      <formula>-0.5</formula>
    </cfRule>
  </conditionalFormatting>
  <conditionalFormatting sqref="B31">
    <cfRule type="cellIs" priority="22" dxfId="261" operator="notBetween">
      <formula>0.5</formula>
      <formula>-0.5</formula>
    </cfRule>
  </conditionalFormatting>
  <conditionalFormatting sqref="F32:I32">
    <cfRule type="cellIs" priority="21" dxfId="261" operator="notBetween">
      <formula>0.5</formula>
      <formula>-0.5</formula>
    </cfRule>
  </conditionalFormatting>
  <conditionalFormatting sqref="B72:G72">
    <cfRule type="cellIs" priority="20" dxfId="18" operator="notBetween">
      <formula>0.4</formula>
      <formula>-0.4</formula>
    </cfRule>
  </conditionalFormatting>
  <conditionalFormatting sqref="H72">
    <cfRule type="cellIs" priority="19" dxfId="18" operator="notBetween">
      <formula>0.4</formula>
      <formula>-0.4</formula>
    </cfRule>
  </conditionalFormatting>
  <conditionalFormatting sqref="I72">
    <cfRule type="cellIs" priority="18" dxfId="18" operator="notBetween">
      <formula>0.4</formula>
      <formula>-0.4</formula>
    </cfRule>
  </conditionalFormatting>
  <conditionalFormatting sqref="E67">
    <cfRule type="cellIs" priority="13" dxfId="261" operator="notBetween">
      <formula>0.5</formula>
      <formula>-0.5</formula>
    </cfRule>
  </conditionalFormatting>
  <conditionalFormatting sqref="C67">
    <cfRule type="cellIs" priority="11" dxfId="261" operator="notBetween">
      <formula>0.5</formula>
      <formula>-0.5</formula>
    </cfRule>
  </conditionalFormatting>
  <conditionalFormatting sqref="H67">
    <cfRule type="cellIs" priority="16" dxfId="261" operator="notBetween">
      <formula>0.5</formula>
      <formula>-0.5</formula>
    </cfRule>
  </conditionalFormatting>
  <conditionalFormatting sqref="I67">
    <cfRule type="cellIs" priority="17" dxfId="261" operator="notBetween">
      <formula>0.5</formula>
      <formula>-0.5</formula>
    </cfRule>
  </conditionalFormatting>
  <conditionalFormatting sqref="G67">
    <cfRule type="cellIs" priority="15" dxfId="261" operator="notBetween">
      <formula>0.5</formula>
      <formula>-0.5</formula>
    </cfRule>
  </conditionalFormatting>
  <conditionalFormatting sqref="F67">
    <cfRule type="cellIs" priority="14" dxfId="261" operator="notBetween">
      <formula>0.5</formula>
      <formula>-0.5</formula>
    </cfRule>
  </conditionalFormatting>
  <conditionalFormatting sqref="D67">
    <cfRule type="cellIs" priority="12" dxfId="261" operator="notBetween">
      <formula>0.5</formula>
      <formula>-0.5</formula>
    </cfRule>
  </conditionalFormatting>
  <conditionalFormatting sqref="B67:I67">
    <cfRule type="cellIs" priority="10" dxfId="261" operator="notBetween">
      <formula>0.5</formula>
      <formula>-0.5</formula>
    </cfRule>
  </conditionalFormatting>
  <conditionalFormatting sqref="F67">
    <cfRule type="cellIs" priority="9" dxfId="261" operator="notBetween">
      <formula>0.5</formula>
      <formula>-0.5</formula>
    </cfRule>
  </conditionalFormatting>
  <conditionalFormatting sqref="G67">
    <cfRule type="cellIs" priority="8" dxfId="261" operator="notBetween">
      <formula>0.5</formula>
      <formula>-0.5</formula>
    </cfRule>
  </conditionalFormatting>
  <conditionalFormatting sqref="H67">
    <cfRule type="cellIs" priority="7" dxfId="261" operator="notBetween">
      <formula>0.5</formula>
      <formula>-0.5</formula>
    </cfRule>
  </conditionalFormatting>
  <conditionalFormatting sqref="I67">
    <cfRule type="cellIs" priority="6" dxfId="261" operator="notBetween">
      <formula>0.5</formula>
      <formula>-0.5</formula>
    </cfRule>
  </conditionalFormatting>
  <conditionalFormatting sqref="D67">
    <cfRule type="cellIs" priority="5" dxfId="261" operator="notBetween">
      <formula>0.5</formula>
      <formula>-0.5</formula>
    </cfRule>
  </conditionalFormatting>
  <conditionalFormatting sqref="C67">
    <cfRule type="cellIs" priority="4" dxfId="261" operator="notBetween">
      <formula>0.5</formula>
      <formula>-0.5</formula>
    </cfRule>
  </conditionalFormatting>
  <conditionalFormatting sqref="B67:I67">
    <cfRule type="cellIs" priority="3" dxfId="261" operator="notBetween">
      <formula>0.5</formula>
      <formula>-0.5</formula>
    </cfRule>
  </conditionalFormatting>
  <conditionalFormatting sqref="B68:I68">
    <cfRule type="cellIs" priority="2" dxfId="261" operator="notBetween">
      <formula>0.5</formula>
      <formula>-0.5</formula>
    </cfRule>
  </conditionalFormatting>
  <conditionalFormatting sqref="B68:I68">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6" width="11.421875" style="31" customWidth="1"/>
    <col min="7" max="9" width="0" style="31" hidden="1" customWidth="1"/>
    <col min="10"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+España!B32</f>
        <v>44651</v>
      </c>
      <c r="C5" s="53">
        <f>+España!C32</f>
        <v>44742</v>
      </c>
      <c r="D5" s="53">
        <f>+España!D32</f>
        <v>44834</v>
      </c>
      <c r="E5" s="53">
        <f>+España!E32</f>
        <v>44926</v>
      </c>
      <c r="F5" s="53">
        <f>+España!F32</f>
        <v>45016</v>
      </c>
      <c r="G5" s="53">
        <f>+España!G32</f>
        <v>45107</v>
      </c>
      <c r="H5" s="53">
        <f>+España!H32</f>
        <v>45199</v>
      </c>
      <c r="I5" s="53">
        <f>+España!I32</f>
        <v>45291</v>
      </c>
    </row>
    <row r="6" spans="1:18" ht="15">
      <c r="A6" s="43" t="str">
        <f>HLOOKUP(INDICE!$F$2,Nombres!$C$3:$D$636,52,FALSE)</f>
        <v>Efectivo, saldos en efectivo en bancos centrales y otros depósitos a la vista</v>
      </c>
      <c r="B6" s="44">
        <v>70936.578</v>
      </c>
      <c r="C6" s="44">
        <v>81507.862</v>
      </c>
      <c r="D6" s="44">
        <v>88076.127</v>
      </c>
      <c r="E6" s="44">
        <v>79755.783</v>
      </c>
      <c r="F6" s="44">
        <v>83267.438</v>
      </c>
      <c r="G6" s="44">
        <v>0</v>
      </c>
      <c r="H6" s="44">
        <v>0</v>
      </c>
      <c r="I6" s="44">
        <v>0</v>
      </c>
      <c r="J6" s="54"/>
      <c r="K6" s="54"/>
      <c r="O6" s="54"/>
      <c r="P6" s="54"/>
      <c r="Q6" s="54"/>
      <c r="R6" s="54"/>
    </row>
    <row r="7" spans="1:18" ht="15">
      <c r="A7" s="43" t="str">
        <f>HLOOKUP(INDICE!$F$2,Nombres!$C$3:$D$636,131,FALSE)</f>
        <v>Activos financieros mantenidos para negociar</v>
      </c>
      <c r="B7" s="44">
        <v>112131.153</v>
      </c>
      <c r="C7" s="44">
        <v>120822.86</v>
      </c>
      <c r="D7" s="44">
        <v>119965.921</v>
      </c>
      <c r="E7" s="44">
        <v>110671.495</v>
      </c>
      <c r="F7" s="44">
        <v>119877.197</v>
      </c>
      <c r="G7" s="44">
        <v>0</v>
      </c>
      <c r="H7" s="44">
        <v>0</v>
      </c>
      <c r="I7" s="44">
        <v>0</v>
      </c>
      <c r="J7" s="54"/>
      <c r="K7" s="54"/>
      <c r="O7" s="54"/>
      <c r="P7" s="54"/>
      <c r="Q7" s="54"/>
      <c r="R7" s="54"/>
    </row>
    <row r="8" spans="1:18" ht="15">
      <c r="A8" s="43" t="str">
        <f>HLOOKUP(INDICE!$F$2,Nombres!$C$3:$D$636,132,FALSE)</f>
        <v>Activos financieros no destinados a negociación valorados obligatoriamente a valor razonable con cambios en resultados</v>
      </c>
      <c r="B8" s="44">
        <v>6624.612</v>
      </c>
      <c r="C8" s="44">
        <v>6774.555</v>
      </c>
      <c r="D8" s="44">
        <v>7290.057</v>
      </c>
      <c r="E8" s="44">
        <v>6888.171</v>
      </c>
      <c r="F8" s="44">
        <v>7226.921</v>
      </c>
      <c r="G8" s="44">
        <v>0</v>
      </c>
      <c r="H8" s="44">
        <v>0</v>
      </c>
      <c r="I8" s="44">
        <v>0</v>
      </c>
      <c r="J8" s="54"/>
      <c r="K8" s="54"/>
      <c r="O8" s="54"/>
      <c r="P8" s="54"/>
      <c r="Q8" s="54"/>
      <c r="R8" s="54"/>
    </row>
    <row r="9" spans="1:18" ht="15">
      <c r="A9" s="43" t="str">
        <f>HLOOKUP(INDICE!$F$2,Nombres!$C$3:$D$636,133,FALSE)</f>
        <v>Activos financieros designados a valor razonable con cambios en resultados</v>
      </c>
      <c r="B9" s="44">
        <v>1035.864</v>
      </c>
      <c r="C9" s="44">
        <v>1003.087</v>
      </c>
      <c r="D9" s="44">
        <v>977.632</v>
      </c>
      <c r="E9" s="44">
        <v>912.847</v>
      </c>
      <c r="F9" s="44">
        <v>996.759</v>
      </c>
      <c r="G9" s="44">
        <v>0</v>
      </c>
      <c r="H9" s="44">
        <v>0</v>
      </c>
      <c r="I9" s="44">
        <v>0</v>
      </c>
      <c r="J9" s="54"/>
      <c r="K9" s="54"/>
      <c r="O9" s="54"/>
      <c r="P9" s="54"/>
      <c r="Q9" s="54"/>
      <c r="R9" s="54"/>
    </row>
    <row r="10" spans="1:18" ht="15">
      <c r="A10" s="43" t="str">
        <f>HLOOKUP(INDICE!$F$2,Nombres!$C$3:$D$636,134,FALSE)</f>
        <v>Activos financieros designados a valor razonable con cambios en otro resultado global acumulado</v>
      </c>
      <c r="B10" s="44">
        <v>71078.877</v>
      </c>
      <c r="C10" s="44">
        <v>69569.263</v>
      </c>
      <c r="D10" s="44">
        <v>69373.563</v>
      </c>
      <c r="E10" s="44">
        <v>65374.403</v>
      </c>
      <c r="F10" s="44">
        <v>66277.337</v>
      </c>
      <c r="G10" s="44">
        <v>0</v>
      </c>
      <c r="H10" s="44">
        <v>0</v>
      </c>
      <c r="I10" s="44">
        <v>0</v>
      </c>
      <c r="J10" s="54"/>
      <c r="K10" s="54"/>
      <c r="O10" s="54"/>
      <c r="P10" s="54"/>
      <c r="Q10" s="54"/>
      <c r="R10" s="54"/>
    </row>
    <row r="11" spans="1:18" ht="15">
      <c r="A11" s="43" t="str">
        <f>HLOOKUP(INDICE!$F$2,Nombres!$C$3:$D$636,135,FALSE)</f>
        <v>Activos financieros a coste amortizado</v>
      </c>
      <c r="B11" s="44">
        <v>381838.336</v>
      </c>
      <c r="C11" s="44">
        <v>401102.603</v>
      </c>
      <c r="D11" s="44">
        <v>418031.685</v>
      </c>
      <c r="E11" s="44">
        <v>414421.179</v>
      </c>
      <c r="F11" s="44">
        <v>427259.441</v>
      </c>
      <c r="G11" s="44">
        <v>0</v>
      </c>
      <c r="H11" s="44">
        <v>0</v>
      </c>
      <c r="I11" s="44">
        <v>0</v>
      </c>
      <c r="J11" s="54"/>
      <c r="K11" s="54"/>
      <c r="O11" s="54"/>
      <c r="P11" s="54"/>
      <c r="Q11" s="54"/>
      <c r="R11" s="54"/>
    </row>
    <row r="12" spans="1:18" ht="15">
      <c r="A12" s="55" t="str">
        <f>HLOOKUP(INDICE!$F$2,Nombres!$C$3:$D$636,136,FALSE)</f>
        <v>. Préstamos y anticipos en bancos centrales  y entidades de crédito</v>
      </c>
      <c r="B12" s="56">
        <v>16749.572</v>
      </c>
      <c r="C12" s="56">
        <v>19761.975</v>
      </c>
      <c r="D12" s="56">
        <v>22797.36</v>
      </c>
      <c r="E12" s="56">
        <v>20431.347</v>
      </c>
      <c r="F12" s="56">
        <v>22255.837</v>
      </c>
      <c r="G12" s="56">
        <v>0</v>
      </c>
      <c r="H12" s="56">
        <v>0</v>
      </c>
      <c r="I12" s="56">
        <v>0</v>
      </c>
      <c r="J12" s="54"/>
      <c r="K12" s="54"/>
      <c r="O12" s="54"/>
      <c r="P12" s="54"/>
      <c r="Q12" s="54"/>
      <c r="R12" s="54"/>
    </row>
    <row r="13" spans="1:18" ht="15">
      <c r="A13" s="55" t="str">
        <f>HLOOKUP(INDICE!$F$2,Nombres!$C$3:$D$636,137,FALSE)</f>
        <v>. Préstamos y anticipos a la clientela</v>
      </c>
      <c r="B13" s="56">
        <v>334552.886</v>
      </c>
      <c r="C13" s="56">
        <v>349620.297</v>
      </c>
      <c r="D13" s="56">
        <v>361175.777</v>
      </c>
      <c r="E13" s="56">
        <v>357351.148</v>
      </c>
      <c r="F13" s="56">
        <v>362317.341</v>
      </c>
      <c r="G13" s="56">
        <v>0</v>
      </c>
      <c r="H13" s="56">
        <v>0</v>
      </c>
      <c r="I13" s="56">
        <v>0</v>
      </c>
      <c r="J13" s="54"/>
      <c r="K13" s="54"/>
      <c r="O13" s="54"/>
      <c r="P13" s="54"/>
      <c r="Q13" s="54"/>
      <c r="R13" s="54"/>
    </row>
    <row r="14" spans="1:18" ht="15">
      <c r="A14" s="55" t="str">
        <f>HLOOKUP(INDICE!$F$2,Nombres!$C$3:$D$636,138,FALSE)</f>
        <v>. Valores representativos de deuda</v>
      </c>
      <c r="B14" s="56">
        <v>30535.878</v>
      </c>
      <c r="C14" s="56">
        <v>31720.331</v>
      </c>
      <c r="D14" s="56">
        <v>34058.548</v>
      </c>
      <c r="E14" s="56">
        <v>36638.684</v>
      </c>
      <c r="F14" s="56">
        <v>42686.263</v>
      </c>
      <c r="G14" s="56">
        <v>0</v>
      </c>
      <c r="H14" s="56">
        <v>0</v>
      </c>
      <c r="I14" s="56">
        <v>0</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911.008</v>
      </c>
      <c r="C16" s="44">
        <v>894.393</v>
      </c>
      <c r="D16" s="44">
        <v>902.557</v>
      </c>
      <c r="E16" s="44">
        <v>915.887</v>
      </c>
      <c r="F16" s="44">
        <v>919.642</v>
      </c>
      <c r="G16" s="44">
        <v>0</v>
      </c>
      <c r="H16" s="44">
        <v>0</v>
      </c>
      <c r="I16" s="44">
        <v>0</v>
      </c>
      <c r="J16" s="54"/>
      <c r="K16" s="54"/>
      <c r="O16" s="54"/>
      <c r="P16" s="54"/>
      <c r="Q16" s="54"/>
      <c r="R16" s="54"/>
    </row>
    <row r="17" spans="1:18" ht="15">
      <c r="A17" s="43" t="str">
        <f>HLOOKUP(INDICE!$F$2,Nombres!$C$3:$D$636,56,FALSE)</f>
        <v>Activos tangibles</v>
      </c>
      <c r="B17" s="44">
        <v>7628.42</v>
      </c>
      <c r="C17" s="44">
        <v>8336.727</v>
      </c>
      <c r="D17" s="44">
        <v>8566.853</v>
      </c>
      <c r="E17" s="44">
        <v>8737.019</v>
      </c>
      <c r="F17" s="44">
        <v>8945.243</v>
      </c>
      <c r="G17" s="44">
        <v>0</v>
      </c>
      <c r="H17" s="44">
        <v>0</v>
      </c>
      <c r="I17" s="44">
        <v>0</v>
      </c>
      <c r="J17" s="54"/>
      <c r="K17" s="54"/>
      <c r="O17" s="54"/>
      <c r="P17" s="54"/>
      <c r="Q17" s="54"/>
      <c r="R17" s="54"/>
    </row>
    <row r="18" spans="1:18" ht="15">
      <c r="A18" s="43" t="str">
        <f>HLOOKUP(INDICE!$F$2,Nombres!$C$3:$D$636,141,FALSE)</f>
        <v>Activos Intangibles</v>
      </c>
      <c r="B18" s="44">
        <v>2055.793</v>
      </c>
      <c r="C18" s="44">
        <v>2139.492</v>
      </c>
      <c r="D18" s="44">
        <v>2210.858</v>
      </c>
      <c r="E18" s="44">
        <v>2156.35</v>
      </c>
      <c r="F18" s="44">
        <v>2208.687</v>
      </c>
      <c r="G18" s="44">
        <v>0</v>
      </c>
      <c r="H18" s="44">
        <v>0</v>
      </c>
      <c r="I18" s="44">
        <v>0</v>
      </c>
      <c r="J18" s="54"/>
      <c r="K18" s="54"/>
      <c r="O18" s="54"/>
      <c r="P18" s="54"/>
      <c r="Q18" s="54"/>
      <c r="R18" s="54"/>
    </row>
    <row r="19" spans="1:18" ht="15">
      <c r="A19" s="43" t="str">
        <f>HLOOKUP(INDICE!$F$2,Nombres!$C$3:$D$636,57,FALSE)</f>
        <v>Otros activos</v>
      </c>
      <c r="B19" s="44">
        <v>21465.379999999997</v>
      </c>
      <c r="C19" s="44">
        <v>22575.609999999997</v>
      </c>
      <c r="D19" s="44">
        <v>22494.444</v>
      </c>
      <c r="E19" s="44">
        <v>22259.089</v>
      </c>
      <c r="F19" s="44">
        <v>22585.616999999995</v>
      </c>
      <c r="G19" s="44">
        <v>0</v>
      </c>
      <c r="H19" s="44">
        <v>0</v>
      </c>
      <c r="I19" s="44">
        <v>0</v>
      </c>
      <c r="J19" s="54"/>
      <c r="K19" s="54"/>
      <c r="O19" s="54"/>
      <c r="P19" s="54"/>
      <c r="Q19" s="54"/>
      <c r="R19" s="54"/>
    </row>
    <row r="20" spans="1:18" ht="15">
      <c r="A20" s="47" t="str">
        <f>HLOOKUP(INDICE!$F$2,Nombres!$C$3:$D$636,58,FALSE)</f>
        <v>Total activo / pasivo</v>
      </c>
      <c r="B20" s="47">
        <f aca="true" t="shared" si="0" ref="B20:I20">+SUM(B6:B11,B16:B19)</f>
        <v>675706.021</v>
      </c>
      <c r="C20" s="47">
        <f t="shared" si="0"/>
        <v>714726.4519999999</v>
      </c>
      <c r="D20" s="47">
        <f t="shared" si="0"/>
        <v>737889.6970000002</v>
      </c>
      <c r="E20" s="47">
        <f t="shared" si="0"/>
        <v>712092.223</v>
      </c>
      <c r="F20" s="47">
        <f t="shared" si="0"/>
        <v>739564.282</v>
      </c>
      <c r="G20" s="47">
        <f t="shared" si="0"/>
        <v>0</v>
      </c>
      <c r="H20" s="47">
        <f t="shared" si="0"/>
        <v>0</v>
      </c>
      <c r="I20" s="47">
        <f t="shared" si="0"/>
        <v>0</v>
      </c>
      <c r="J20" s="54"/>
      <c r="K20" s="54"/>
      <c r="O20" s="54"/>
      <c r="P20" s="54"/>
      <c r="Q20" s="54"/>
      <c r="R20" s="54"/>
    </row>
    <row r="21" spans="1:18" ht="15">
      <c r="A21" s="43" t="str">
        <f>HLOOKUP(INDICE!$F$2,Nombres!$C$3:$D$636,59,FALSE)</f>
        <v>Pasivos financieros mantenidos para negociar y designados a valor razonable con cambios en resultados</v>
      </c>
      <c r="B21" s="58">
        <v>85960.376</v>
      </c>
      <c r="C21" s="58">
        <v>102304.847</v>
      </c>
      <c r="D21" s="58">
        <v>104534.31</v>
      </c>
      <c r="E21" s="58">
        <v>95611.195</v>
      </c>
      <c r="F21" s="58">
        <v>107184.694</v>
      </c>
      <c r="G21" s="58">
        <v>0</v>
      </c>
      <c r="H21" s="58">
        <v>0</v>
      </c>
      <c r="I21" s="58">
        <v>0</v>
      </c>
      <c r="O21" s="54"/>
      <c r="P21" s="54"/>
      <c r="Q21" s="54"/>
      <c r="R21" s="54"/>
    </row>
    <row r="22" spans="1:18" ht="15">
      <c r="A22" s="43" t="str">
        <f>HLOOKUP(INDICE!$F$2,Nombres!$C$3:$D$636,142,FALSE)</f>
        <v>Pasivos financieros designados a valor razonable con cambios en resultados</v>
      </c>
      <c r="B22" s="58">
        <v>9761.475</v>
      </c>
      <c r="C22" s="58">
        <v>9878.266</v>
      </c>
      <c r="D22" s="58">
        <v>10677.657</v>
      </c>
      <c r="E22" s="58">
        <v>10579.771</v>
      </c>
      <c r="F22" s="58">
        <v>11309.111</v>
      </c>
      <c r="G22" s="58">
        <v>0</v>
      </c>
      <c r="H22" s="58">
        <v>0</v>
      </c>
      <c r="I22" s="58">
        <v>0</v>
      </c>
      <c r="J22" s="59"/>
      <c r="K22" s="59"/>
      <c r="L22" s="59"/>
      <c r="M22" s="59"/>
      <c r="N22" s="59"/>
      <c r="O22" s="54"/>
      <c r="P22" s="54"/>
      <c r="Q22" s="54"/>
      <c r="R22" s="54"/>
    </row>
    <row r="23" spans="1:18" ht="15">
      <c r="A23" s="43" t="str">
        <f>HLOOKUP(INDICE!$F$2,Nombres!$C$3:$D$636,143,FALSE)</f>
        <v>Pasivos financieros a coste amortizado</v>
      </c>
      <c r="B23" s="58">
        <v>504940.081</v>
      </c>
      <c r="C23" s="58">
        <v>527828.037</v>
      </c>
      <c r="D23" s="58">
        <v>545287.665</v>
      </c>
      <c r="E23" s="58">
        <v>529172.494</v>
      </c>
      <c r="F23" s="58">
        <v>542326.16</v>
      </c>
      <c r="G23" s="58">
        <v>0</v>
      </c>
      <c r="H23" s="58">
        <v>0</v>
      </c>
      <c r="I23" s="58">
        <v>0</v>
      </c>
      <c r="J23" s="59"/>
      <c r="K23" s="59"/>
      <c r="L23" s="59"/>
      <c r="M23" s="59"/>
      <c r="N23" s="59"/>
      <c r="O23" s="54"/>
      <c r="P23" s="54"/>
      <c r="Q23" s="54"/>
      <c r="R23" s="54"/>
    </row>
    <row r="24" spans="1:18" ht="15">
      <c r="A24" s="55" t="str">
        <f>HLOOKUP(INDICE!$F$2,Nombres!$C$3:$D$636,60,FALSE)</f>
        <v>Depósitos de bancos centrales y entidades de crédito</v>
      </c>
      <c r="B24" s="58">
        <v>73160.91500000001</v>
      </c>
      <c r="C24" s="58">
        <v>79126.674</v>
      </c>
      <c r="D24" s="58">
        <v>84196.282</v>
      </c>
      <c r="E24" s="58">
        <v>65257.985</v>
      </c>
      <c r="F24" s="58">
        <v>75109.21800000001</v>
      </c>
      <c r="G24" s="58">
        <v>0</v>
      </c>
      <c r="H24" s="58">
        <v>0</v>
      </c>
      <c r="I24" s="58">
        <v>0</v>
      </c>
      <c r="O24" s="54"/>
      <c r="P24" s="54"/>
      <c r="Q24" s="54"/>
      <c r="R24" s="54"/>
    </row>
    <row r="25" spans="1:18" ht="15">
      <c r="A25" s="55" t="str">
        <f>HLOOKUP(INDICE!$F$2,Nombres!$C$3:$D$636,61,FALSE)</f>
        <v>Depósitos de la clientela</v>
      </c>
      <c r="B25" s="58">
        <v>361194.71</v>
      </c>
      <c r="C25" s="58">
        <v>377539.811</v>
      </c>
      <c r="D25" s="58">
        <v>390277.038</v>
      </c>
      <c r="E25" s="58">
        <v>394403.99</v>
      </c>
      <c r="F25" s="58">
        <v>395879.937</v>
      </c>
      <c r="G25" s="58">
        <v>0</v>
      </c>
      <c r="H25" s="58">
        <v>0</v>
      </c>
      <c r="I25" s="58">
        <v>0</v>
      </c>
      <c r="O25" s="54"/>
      <c r="P25" s="54"/>
      <c r="Q25" s="54"/>
      <c r="R25" s="54"/>
    </row>
    <row r="26" spans="1:18" ht="15">
      <c r="A26" s="55" t="str">
        <f>HLOOKUP(INDICE!$F$2,Nombres!$C$3:$D$636,62,FALSE)</f>
        <v>Valores representativos de deuda emitidos</v>
      </c>
      <c r="B26" s="58">
        <v>53539.702</v>
      </c>
      <c r="C26" s="58">
        <v>54757.069</v>
      </c>
      <c r="D26" s="58">
        <v>54811.115</v>
      </c>
      <c r="E26" s="58">
        <v>55429.375</v>
      </c>
      <c r="F26" s="58">
        <v>54586.157</v>
      </c>
      <c r="G26" s="58">
        <v>0</v>
      </c>
      <c r="H26" s="58">
        <v>0</v>
      </c>
      <c r="I26" s="58">
        <v>0</v>
      </c>
      <c r="O26" s="54"/>
      <c r="P26" s="54"/>
      <c r="Q26" s="54"/>
      <c r="R26" s="54"/>
    </row>
    <row r="27" spans="1:18" ht="15">
      <c r="A27" s="55" t="str">
        <f>HLOOKUP(INDICE!$F$2,Nombres!$C$3:$D$636,144,FALSE)</f>
        <v>. Otros pasivos financieros</v>
      </c>
      <c r="B27" s="58">
        <v>17044.754</v>
      </c>
      <c r="C27" s="58">
        <v>16404.483</v>
      </c>
      <c r="D27" s="58">
        <v>16003.23</v>
      </c>
      <c r="E27" s="58">
        <v>14081.144</v>
      </c>
      <c r="F27" s="58">
        <v>16750.848</v>
      </c>
      <c r="G27" s="58">
        <v>0</v>
      </c>
      <c r="H27" s="58">
        <v>0</v>
      </c>
      <c r="I27" s="58">
        <v>0</v>
      </c>
      <c r="O27" s="54"/>
      <c r="P27" s="54"/>
      <c r="Q27" s="54"/>
      <c r="R27" s="54"/>
    </row>
    <row r="28" spans="1:18" ht="15">
      <c r="A28" s="43" t="str">
        <f>HLOOKUP(INDICE!$F$2,Nombres!$C$3:$D$636,145,FALSE)</f>
        <v>Pasivos amparados por contratos de seguros o reaseguro</v>
      </c>
      <c r="B28" s="58">
        <v>9620.091</v>
      </c>
      <c r="C28" s="58">
        <v>10323.624</v>
      </c>
      <c r="D28" s="58">
        <v>10786.571</v>
      </c>
      <c r="E28" s="58">
        <v>10130.773</v>
      </c>
      <c r="F28" s="58">
        <v>11009.56</v>
      </c>
      <c r="G28" s="58">
        <v>0</v>
      </c>
      <c r="H28" s="58">
        <v>0</v>
      </c>
      <c r="I28" s="58">
        <v>0</v>
      </c>
      <c r="O28" s="54"/>
      <c r="P28" s="54"/>
      <c r="Q28" s="54"/>
      <c r="R28" s="54"/>
    </row>
    <row r="29" spans="1:18" ht="15">
      <c r="A29" s="43" t="str">
        <f>HLOOKUP(INDICE!$F$2,Nombres!$C$3:$D$636,63,FALSE)</f>
        <v>Otros pasivos</v>
      </c>
      <c r="B29" s="58">
        <v>16576.647</v>
      </c>
      <c r="C29" s="58">
        <v>15634.974999999999</v>
      </c>
      <c r="D29" s="58">
        <v>16770.589000000004</v>
      </c>
      <c r="E29" s="58">
        <v>16081.094</v>
      </c>
      <c r="F29" s="58">
        <v>16263.476999999999</v>
      </c>
      <c r="G29" s="58">
        <v>0</v>
      </c>
      <c r="H29" s="58">
        <v>0</v>
      </c>
      <c r="I29" s="58">
        <v>0</v>
      </c>
      <c r="O29" s="54"/>
      <c r="P29" s="54"/>
      <c r="Q29" s="54"/>
      <c r="R29" s="54"/>
    </row>
    <row r="30" spans="1:18" ht="15">
      <c r="A30" s="41" t="str">
        <f>HLOOKUP(INDICE!$F$2,Nombres!$C$3:$D$636,146,FALSE)</f>
        <v>Total pasivo</v>
      </c>
      <c r="B30" s="60">
        <f aca="true" t="shared" si="1" ref="B30:I30">+SUM(B21:B23,B28:B29)</f>
        <v>626858.67</v>
      </c>
      <c r="C30" s="60">
        <f t="shared" si="1"/>
        <v>665969.749</v>
      </c>
      <c r="D30" s="60">
        <f t="shared" si="1"/>
        <v>688056.792</v>
      </c>
      <c r="E30" s="60">
        <f t="shared" si="1"/>
        <v>661575.327</v>
      </c>
      <c r="F30" s="60">
        <f t="shared" si="1"/>
        <v>688093.0020000001</v>
      </c>
      <c r="G30" s="60">
        <f t="shared" si="1"/>
        <v>0</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5509.942</v>
      </c>
      <c r="C32" s="58">
        <v>3348.467</v>
      </c>
      <c r="D32" s="58">
        <v>3651.868</v>
      </c>
      <c r="E32" s="58">
        <v>3623.117</v>
      </c>
      <c r="F32" s="58">
        <v>3680.425</v>
      </c>
      <c r="G32" s="58">
        <v>0</v>
      </c>
      <c r="H32" s="58">
        <v>0</v>
      </c>
      <c r="I32" s="58">
        <v>0</v>
      </c>
      <c r="O32" s="54"/>
      <c r="P32" s="54"/>
      <c r="Q32" s="54"/>
      <c r="R32" s="54"/>
    </row>
    <row r="33" spans="1:18" ht="15" customHeight="1" hidden="1">
      <c r="A33" s="43" t="str">
        <f>HLOOKUP(INDICE!$F$2,Nombres!$C$3:$D$636,148,FALSE)</f>
        <v>Otro resultado global acumulado</v>
      </c>
      <c r="B33" s="58">
        <v>-14108.811</v>
      </c>
      <c r="C33" s="58">
        <v>-16617.39</v>
      </c>
      <c r="D33" s="58">
        <v>-16838.153</v>
      </c>
      <c r="E33" s="58">
        <v>-17641.525</v>
      </c>
      <c r="F33" s="58">
        <v>-16194.917</v>
      </c>
      <c r="G33" s="58">
        <v>0</v>
      </c>
      <c r="H33" s="58">
        <v>0</v>
      </c>
      <c r="I33" s="58">
        <v>0</v>
      </c>
      <c r="O33" s="54"/>
      <c r="P33" s="54"/>
      <c r="Q33" s="54"/>
      <c r="R33" s="54"/>
    </row>
    <row r="34" spans="1:18" ht="15" customHeight="1" hidden="1">
      <c r="A34" s="43" t="str">
        <f>HLOOKUP(INDICE!$F$2,Nombres!$C$3:$D$636,149,FALSE)</f>
        <v>Fondos propios</v>
      </c>
      <c r="B34" s="58">
        <v>57446.217999999986</v>
      </c>
      <c r="C34" s="58">
        <v>62025.626</v>
      </c>
      <c r="D34" s="58">
        <v>63019.19</v>
      </c>
      <c r="E34" s="58">
        <v>64535.304000000004</v>
      </c>
      <c r="F34" s="58">
        <v>63985.772</v>
      </c>
      <c r="G34" s="58">
        <v>0</v>
      </c>
      <c r="H34" s="58">
        <v>0</v>
      </c>
      <c r="I34" s="58">
        <v>0</v>
      </c>
      <c r="O34" s="54"/>
      <c r="P34" s="54"/>
      <c r="Q34" s="54"/>
      <c r="R34" s="54"/>
    </row>
    <row r="35" spans="1:18" ht="15">
      <c r="A35" s="41" t="str">
        <f>HLOOKUP(INDICE!$F$2,Nombres!$C$3:$D$636,150,FALSE)</f>
        <v>Patrimonio neto</v>
      </c>
      <c r="B35" s="60">
        <f aca="true" t="shared" si="2" ref="B35:I35">+B32+B33+B34</f>
        <v>48847.34899999999</v>
      </c>
      <c r="C35" s="60">
        <f t="shared" si="2"/>
        <v>48756.702999999994</v>
      </c>
      <c r="D35" s="60">
        <f t="shared" si="2"/>
        <v>49832.905000000006</v>
      </c>
      <c r="E35" s="60">
        <f t="shared" si="2"/>
        <v>50516.896</v>
      </c>
      <c r="F35" s="60">
        <f t="shared" si="2"/>
        <v>51471.28</v>
      </c>
      <c r="G35" s="60">
        <f t="shared" si="2"/>
        <v>0</v>
      </c>
      <c r="H35" s="60">
        <f t="shared" si="2"/>
        <v>0</v>
      </c>
      <c r="I35" s="60">
        <f t="shared" si="2"/>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+B20</f>
        <v>675706.021</v>
      </c>
      <c r="C37" s="47">
        <f aca="true" t="shared" si="3" ref="C37:I37">+C20</f>
        <v>714726.4519999999</v>
      </c>
      <c r="D37" s="47">
        <f t="shared" si="3"/>
        <v>737889.6970000002</v>
      </c>
      <c r="E37" s="47">
        <f t="shared" si="3"/>
        <v>712092.223</v>
      </c>
      <c r="F37" s="47">
        <f t="shared" si="3"/>
        <v>739564.282</v>
      </c>
      <c r="G37" s="47">
        <f t="shared" si="3"/>
        <v>0</v>
      </c>
      <c r="H37" s="47">
        <f t="shared" si="3"/>
        <v>0</v>
      </c>
      <c r="I37" s="47">
        <f t="shared" si="3"/>
        <v>0</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297"/>
      <c r="B40" s="297"/>
      <c r="C40" s="297"/>
      <c r="D40" s="297"/>
      <c r="E40" s="297"/>
      <c r="F40" s="297"/>
      <c r="G40" s="297"/>
      <c r="H40" s="297"/>
      <c r="I40" s="297"/>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73">
        <v>-0.001000039977952838</v>
      </c>
      <c r="C43" s="273">
        <v>-2.0139850676059723E-08</v>
      </c>
      <c r="D43" s="273">
        <v>2.991873770952225E-08</v>
      </c>
      <c r="E43" s="273">
        <v>-3.0499999411404133E-05</v>
      </c>
      <c r="F43" s="273">
        <v>3.969762474298477E-08</v>
      </c>
      <c r="G43" s="273">
        <v>0</v>
      </c>
      <c r="H43" s="273">
        <v>0</v>
      </c>
      <c r="I43" s="273">
        <v>0</v>
      </c>
    </row>
    <row r="44" ht="15">
      <c r="B44" s="54"/>
    </row>
    <row r="46" ht="15">
      <c r="B46" s="54"/>
    </row>
    <row r="1000" ht="15">
      <c r="A1000" s="31" t="s">
        <v>391</v>
      </c>
    </row>
  </sheetData>
  <sheetProtection/>
  <mergeCells count="1">
    <mergeCell ref="A40:I40"/>
  </mergeCells>
  <conditionalFormatting sqref="F39:I39">
    <cfRule type="cellIs" priority="11" dxfId="261" operator="notBetween">
      <formula>0.5</formula>
      <formula>-0.5</formula>
    </cfRule>
  </conditionalFormatting>
  <conditionalFormatting sqref="I38">
    <cfRule type="cellIs" priority="10" dxfId="75" operator="notBetween">
      <formula>0.001</formula>
      <formula>-0.001</formula>
    </cfRule>
  </conditionalFormatting>
  <conditionalFormatting sqref="H38">
    <cfRule type="cellIs" priority="9" dxfId="75" operator="notBetween">
      <formula>0.001</formula>
      <formula>-0.001</formula>
    </cfRule>
  </conditionalFormatting>
  <conditionalFormatting sqref="G38">
    <cfRule type="cellIs" priority="8" dxfId="75" operator="notBetween">
      <formula>0.001</formula>
      <formula>-0.001</formula>
    </cfRule>
  </conditionalFormatting>
  <conditionalFormatting sqref="F38">
    <cfRule type="cellIs" priority="7" dxfId="75" operator="notBetween">
      <formula>0.001</formula>
      <formula>-0.001</formula>
    </cfRule>
  </conditionalFormatting>
  <conditionalFormatting sqref="B39:E39">
    <cfRule type="cellIs" priority="6" dxfId="261" operator="notBetween">
      <formula>0.5</formula>
      <formula>-0.5</formula>
    </cfRule>
  </conditionalFormatting>
  <conditionalFormatting sqref="E38">
    <cfRule type="cellIs" priority="5" dxfId="75" operator="notBetween">
      <formula>0.001</formula>
      <formula>-0.001</formula>
    </cfRule>
  </conditionalFormatting>
  <conditionalFormatting sqref="D38">
    <cfRule type="cellIs" priority="4" dxfId="75" operator="notBetween">
      <formula>0.001</formula>
      <formula>-0.001</formula>
    </cfRule>
  </conditionalFormatting>
  <conditionalFormatting sqref="C38">
    <cfRule type="cellIs" priority="3" dxfId="75" operator="notBetween">
      <formula>0.001</formula>
      <formula>-0.001</formula>
    </cfRule>
  </conditionalFormatting>
  <conditionalFormatting sqref="B38">
    <cfRule type="cellIs" priority="2" dxfId="75" operator="notBetween">
      <formula>0.001</formula>
      <formula>-0.001</formula>
    </cfRule>
  </conditionalFormatting>
  <conditionalFormatting sqref="B43:I43">
    <cfRule type="cellIs" priority="1" dxfId="261"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1">
      <selection activeCell="A1" sqref="A1"/>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v>2022</v>
      </c>
      <c r="C6" s="298"/>
      <c r="D6" s="298"/>
      <c r="E6" s="299"/>
      <c r="F6" s="298">
        <v>2023</v>
      </c>
      <c r="G6" s="298"/>
      <c r="H6" s="298"/>
      <c r="I6" s="298"/>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855.98929159</v>
      </c>
      <c r="C8" s="41">
        <v>901.6803123599999</v>
      </c>
      <c r="D8" s="41">
        <v>929.5831248</v>
      </c>
      <c r="E8" s="42">
        <v>1086.61002732</v>
      </c>
      <c r="F8" s="50">
        <v>1183.1265969400001</v>
      </c>
      <c r="G8" s="50">
        <v>0</v>
      </c>
      <c r="H8" s="50">
        <v>0</v>
      </c>
      <c r="I8" s="50">
        <v>0</v>
      </c>
    </row>
    <row r="9" spans="1:9" ht="15">
      <c r="A9" s="43" t="str">
        <f>HLOOKUP(INDICE!$F$2,Nombres!$C$3:$D$636,34,FALSE)</f>
        <v>Comisiones netas</v>
      </c>
      <c r="B9" s="44">
        <v>535.91236317</v>
      </c>
      <c r="C9" s="44">
        <v>573.70166227</v>
      </c>
      <c r="D9" s="44">
        <v>525.69555074</v>
      </c>
      <c r="E9" s="45">
        <v>520.7846413</v>
      </c>
      <c r="F9" s="44">
        <v>535.73882741</v>
      </c>
      <c r="G9" s="44">
        <v>0</v>
      </c>
      <c r="H9" s="44">
        <v>0</v>
      </c>
      <c r="I9" s="44">
        <v>0</v>
      </c>
    </row>
    <row r="10" spans="1:9" ht="15">
      <c r="A10" s="43" t="str">
        <f>HLOOKUP(INDICE!$F$2,Nombres!$C$3:$D$636,35,FALSE)</f>
        <v>Resultados de operaciones financieras</v>
      </c>
      <c r="B10" s="44">
        <v>189.81198705999998</v>
      </c>
      <c r="C10" s="44">
        <v>98.29681838999998</v>
      </c>
      <c r="D10" s="44">
        <v>41.02341377000002</v>
      </c>
      <c r="E10" s="45">
        <v>66.6324375</v>
      </c>
      <c r="F10" s="44">
        <v>119.69593746000001</v>
      </c>
      <c r="G10" s="44">
        <v>0</v>
      </c>
      <c r="H10" s="44">
        <v>0</v>
      </c>
      <c r="I10" s="44">
        <v>0</v>
      </c>
    </row>
    <row r="11" spans="1:9" ht="15">
      <c r="A11" s="43" t="str">
        <f>HLOOKUP(INDICE!$F$2,Nombres!$C$3:$D$636,36,FALSE)</f>
        <v>Otros ingresos y cargas de explotación</v>
      </c>
      <c r="B11" s="44">
        <v>72.99327926000001</v>
      </c>
      <c r="C11" s="44">
        <v>-178.81962994000003</v>
      </c>
      <c r="D11" s="44">
        <v>74.41022848999995</v>
      </c>
      <c r="E11" s="45">
        <v>-182.6010966199999</v>
      </c>
      <c r="F11" s="44">
        <v>-112.19607180000006</v>
      </c>
      <c r="G11" s="44">
        <v>0</v>
      </c>
      <c r="H11" s="44">
        <v>0</v>
      </c>
      <c r="I11" s="44">
        <v>0</v>
      </c>
    </row>
    <row r="12" spans="1:9" ht="15">
      <c r="A12" s="41" t="str">
        <f>HLOOKUP(INDICE!$F$2,Nombres!$C$3:$D$636,37,FALSE)</f>
        <v>Margen bruto</v>
      </c>
      <c r="B12" s="41">
        <f>+SUM(B8:B11)</f>
        <v>1654.7069210799998</v>
      </c>
      <c r="C12" s="41">
        <f aca="true" t="shared" si="0" ref="C12:I12">+SUM(C8:C11)</f>
        <v>1394.8591630800001</v>
      </c>
      <c r="D12" s="41">
        <f t="shared" si="0"/>
        <v>1570.7123178</v>
      </c>
      <c r="E12" s="42">
        <f t="shared" si="0"/>
        <v>1491.4260095</v>
      </c>
      <c r="F12" s="50">
        <f t="shared" si="0"/>
        <v>1726.36529001</v>
      </c>
      <c r="G12" s="50">
        <f t="shared" si="0"/>
        <v>0</v>
      </c>
      <c r="H12" s="50">
        <f t="shared" si="0"/>
        <v>0</v>
      </c>
      <c r="I12" s="50">
        <f t="shared" si="0"/>
        <v>0</v>
      </c>
    </row>
    <row r="13" spans="1:9" ht="15">
      <c r="A13" s="43" t="str">
        <f>HLOOKUP(INDICE!$F$2,Nombres!$C$3:$D$636,38,FALSE)</f>
        <v>Gastos de explotación</v>
      </c>
      <c r="B13" s="44">
        <v>-708.8829448500001</v>
      </c>
      <c r="C13" s="44">
        <v>-716.2412029300001</v>
      </c>
      <c r="D13" s="44">
        <v>-718.6222397700001</v>
      </c>
      <c r="E13" s="45">
        <v>-757.59103274</v>
      </c>
      <c r="F13" s="44">
        <v>-752.7970695700001</v>
      </c>
      <c r="G13" s="44">
        <v>0</v>
      </c>
      <c r="H13" s="44">
        <v>0</v>
      </c>
      <c r="I13" s="44">
        <v>0</v>
      </c>
    </row>
    <row r="14" spans="1:9" ht="15">
      <c r="A14" s="43" t="str">
        <f>HLOOKUP(INDICE!$F$2,Nombres!$C$3:$D$636,39,FALSE)</f>
        <v>  Gastos de administración</v>
      </c>
      <c r="B14" s="44">
        <v>-604.25991721</v>
      </c>
      <c r="C14" s="44">
        <v>-612.10696429</v>
      </c>
      <c r="D14" s="44">
        <v>-620.28507813</v>
      </c>
      <c r="E14" s="45">
        <v>-661.1305150999999</v>
      </c>
      <c r="F14" s="44">
        <v>-658.43635293</v>
      </c>
      <c r="G14" s="44">
        <v>0</v>
      </c>
      <c r="H14" s="44">
        <v>0</v>
      </c>
      <c r="I14" s="44">
        <v>0</v>
      </c>
    </row>
    <row r="15" spans="1:9" ht="15">
      <c r="A15" s="46" t="str">
        <f>HLOOKUP(INDICE!$F$2,Nombres!$C$3:$D$636,40,FALSE)</f>
        <v>  Gastos de personal</v>
      </c>
      <c r="B15" s="44">
        <v>-382.61152544999993</v>
      </c>
      <c r="C15" s="44">
        <v>-385.73259683000003</v>
      </c>
      <c r="D15" s="44">
        <v>-400.77492399000005</v>
      </c>
      <c r="E15" s="45">
        <v>-439.25569838</v>
      </c>
      <c r="F15" s="44">
        <v>-413.91706</v>
      </c>
      <c r="G15" s="44">
        <v>0</v>
      </c>
      <c r="H15" s="44">
        <v>0</v>
      </c>
      <c r="I15" s="44">
        <v>0</v>
      </c>
    </row>
    <row r="16" spans="1:9" ht="15">
      <c r="A16" s="46" t="str">
        <f>HLOOKUP(INDICE!$F$2,Nombres!$C$3:$D$636,41,FALSE)</f>
        <v>  Otros gastos de administración</v>
      </c>
      <c r="B16" s="44">
        <v>-221.64839176</v>
      </c>
      <c r="C16" s="44">
        <v>-226.37436746000003</v>
      </c>
      <c r="D16" s="44">
        <v>-219.51015413999997</v>
      </c>
      <c r="E16" s="45">
        <v>-221.87481672</v>
      </c>
      <c r="F16" s="44">
        <v>-244.51929293000006</v>
      </c>
      <c r="G16" s="44">
        <v>0</v>
      </c>
      <c r="H16" s="44">
        <v>0</v>
      </c>
      <c r="I16" s="44">
        <v>0</v>
      </c>
    </row>
    <row r="17" spans="1:9" ht="15">
      <c r="A17" s="43" t="str">
        <f>HLOOKUP(INDICE!$F$2,Nombres!$C$3:$D$636,42,FALSE)</f>
        <v>  Amortización</v>
      </c>
      <c r="B17" s="44">
        <v>-104.62302763999999</v>
      </c>
      <c r="C17" s="44">
        <v>-104.13423863999999</v>
      </c>
      <c r="D17" s="44">
        <v>-98.33716164</v>
      </c>
      <c r="E17" s="45">
        <v>-96.46051764</v>
      </c>
      <c r="F17" s="44">
        <v>-94.36071663999999</v>
      </c>
      <c r="G17" s="44">
        <v>0</v>
      </c>
      <c r="H17" s="44">
        <v>0</v>
      </c>
      <c r="I17" s="44">
        <v>0</v>
      </c>
    </row>
    <row r="18" spans="1:9" ht="15">
      <c r="A18" s="41" t="str">
        <f>HLOOKUP(INDICE!$F$2,Nombres!$C$3:$D$636,43,FALSE)</f>
        <v>Margen neto</v>
      </c>
      <c r="B18" s="41">
        <f>+B12+B13</f>
        <v>945.8239762299997</v>
      </c>
      <c r="C18" s="41">
        <f aca="true" t="shared" si="1" ref="C18:I18">+C12+C13</f>
        <v>678.61796015</v>
      </c>
      <c r="D18" s="41">
        <f t="shared" si="1"/>
        <v>852.0900780299999</v>
      </c>
      <c r="E18" s="42">
        <f t="shared" si="1"/>
        <v>733.83497676</v>
      </c>
      <c r="F18" s="50">
        <f t="shared" si="1"/>
        <v>973.56822044</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-89.41895772000001</v>
      </c>
      <c r="C19" s="44">
        <v>-103.64080666000004</v>
      </c>
      <c r="D19" s="44">
        <v>-139.18189951</v>
      </c>
      <c r="E19" s="45">
        <v>-190.22596105000002</v>
      </c>
      <c r="F19" s="44">
        <v>-113.52553180999999</v>
      </c>
      <c r="G19" s="44">
        <v>0</v>
      </c>
      <c r="H19" s="44">
        <v>0</v>
      </c>
      <c r="I19" s="44">
        <v>0</v>
      </c>
    </row>
    <row r="20" spans="1:9" ht="15">
      <c r="A20" s="43" t="str">
        <f>HLOOKUP(INDICE!$F$2,Nombres!$C$3:$D$636,45,FALSE)</f>
        <v>Provisiones o reversión de provisiones y otros resultados</v>
      </c>
      <c r="B20" s="44">
        <v>-19.422081659999996</v>
      </c>
      <c r="C20" s="44">
        <v>-7.6821140799999945</v>
      </c>
      <c r="D20" s="44">
        <v>-10.027557550000004</v>
      </c>
      <c r="E20" s="45">
        <v>-40.634351299999985</v>
      </c>
      <c r="F20" s="44">
        <v>-8.743872220000005</v>
      </c>
      <c r="G20" s="44">
        <v>0</v>
      </c>
      <c r="H20" s="44">
        <v>0</v>
      </c>
      <c r="I20" s="44">
        <v>0</v>
      </c>
    </row>
    <row r="21" spans="1:9" ht="15">
      <c r="A21" s="41" t="str">
        <f>HLOOKUP(INDICE!$F$2,Nombres!$C$3:$D$636,46,FALSE)</f>
        <v>Resultado antes de impuestos</v>
      </c>
      <c r="B21" s="41">
        <f>+B18+B19+B20</f>
        <v>836.9829368499998</v>
      </c>
      <c r="C21" s="41">
        <f aca="true" t="shared" si="2" ref="C21:I21">+C18+C19+C20</f>
        <v>567.29503941</v>
      </c>
      <c r="D21" s="41">
        <f t="shared" si="2"/>
        <v>702.8806209699999</v>
      </c>
      <c r="E21" s="42">
        <f t="shared" si="2"/>
        <v>502.97466441</v>
      </c>
      <c r="F21" s="50">
        <f t="shared" si="2"/>
        <v>851.2988164100001</v>
      </c>
      <c r="G21" s="50">
        <f t="shared" si="2"/>
        <v>0</v>
      </c>
      <c r="H21" s="50">
        <f t="shared" si="2"/>
        <v>0</v>
      </c>
      <c r="I21" s="50">
        <f t="shared" si="2"/>
        <v>0</v>
      </c>
    </row>
    <row r="22" spans="1:9" ht="15">
      <c r="A22" s="43" t="str">
        <f>HLOOKUP(INDICE!$F$2,Nombres!$C$3:$D$636,47,FALSE)</f>
        <v>Impuesto sobre beneficios</v>
      </c>
      <c r="B22" s="44">
        <v>-238.23210941</v>
      </c>
      <c r="C22" s="44">
        <v>-161.40904915</v>
      </c>
      <c r="D22" s="44">
        <v>-200.0203257</v>
      </c>
      <c r="E22" s="45">
        <v>-138.87849855</v>
      </c>
      <c r="F22" s="44">
        <v>-309.8652907</v>
      </c>
      <c r="G22" s="44">
        <v>0</v>
      </c>
      <c r="H22" s="44">
        <v>0</v>
      </c>
      <c r="I22" s="44">
        <v>0</v>
      </c>
    </row>
    <row r="23" spans="1:9" ht="15">
      <c r="A23" s="41" t="str">
        <f>HLOOKUP(INDICE!$F$2,Nombres!$C$3:$D$636,48,FALSE)</f>
        <v>Resultado del ejercicio</v>
      </c>
      <c r="B23" s="41">
        <f>+B21+B22</f>
        <v>598.7508274399997</v>
      </c>
      <c r="C23" s="41">
        <f aca="true" t="shared" si="3" ref="C23:I23">+C21+C22</f>
        <v>405.88599025999997</v>
      </c>
      <c r="D23" s="41">
        <f t="shared" si="3"/>
        <v>502.8602952699999</v>
      </c>
      <c r="E23" s="42">
        <f t="shared" si="3"/>
        <v>364.09616586000004</v>
      </c>
      <c r="F23" s="50">
        <f t="shared" si="3"/>
        <v>541.4335257100001</v>
      </c>
      <c r="G23" s="50">
        <f t="shared" si="3"/>
        <v>0</v>
      </c>
      <c r="H23" s="50">
        <f t="shared" si="3"/>
        <v>0</v>
      </c>
      <c r="I23" s="50">
        <f t="shared" si="3"/>
        <v>0</v>
      </c>
    </row>
    <row r="24" spans="1:9" ht="15">
      <c r="A24" s="43" t="str">
        <f>HLOOKUP(INDICE!$F$2,Nombres!$C$3:$D$636,49,FALSE)</f>
        <v>Minoritarios</v>
      </c>
      <c r="B24" s="44">
        <v>-0.9554782700000002</v>
      </c>
      <c r="C24" s="44">
        <v>-0.9747035999999999</v>
      </c>
      <c r="D24" s="44">
        <v>-0.6555142699999998</v>
      </c>
      <c r="E24" s="45">
        <v>-0.6592063400000001</v>
      </c>
      <c r="F24" s="44">
        <v>-0.63719013</v>
      </c>
      <c r="G24" s="44">
        <v>0</v>
      </c>
      <c r="H24" s="44">
        <v>0</v>
      </c>
      <c r="I24" s="44">
        <v>0</v>
      </c>
    </row>
    <row r="25" spans="1:9" ht="15">
      <c r="A25" s="47" t="str">
        <f>HLOOKUP(INDICE!$F$2,Nombres!$C$3:$D$636,305,FALSE)</f>
        <v>Resultado atribuido excluyendo impactos no recurrentes</v>
      </c>
      <c r="B25" s="47">
        <f>+B23+B24</f>
        <v>597.7953491699998</v>
      </c>
      <c r="C25" s="47">
        <f aca="true" t="shared" si="4" ref="C25:I25">+C23+C24</f>
        <v>404.91128666</v>
      </c>
      <c r="D25" s="47">
        <f t="shared" si="4"/>
        <v>502.20478099999985</v>
      </c>
      <c r="E25" s="70">
        <f t="shared" si="4"/>
        <v>363.43695952</v>
      </c>
      <c r="F25" s="51">
        <f t="shared" si="4"/>
        <v>540.7963355800001</v>
      </c>
      <c r="G25" s="51">
        <f t="shared" si="4"/>
        <v>0</v>
      </c>
      <c r="H25" s="51">
        <f t="shared" si="4"/>
        <v>0</v>
      </c>
      <c r="I25" s="51">
        <f t="shared" si="4"/>
        <v>0</v>
      </c>
    </row>
    <row r="26" spans="1:9" ht="15">
      <c r="A26" s="43" t="str">
        <f>HLOOKUP(INDICE!$F$2,Nombres!$C$3:$D$636,319,FALSE)</f>
        <v>Impacto neto de la compra de oficinas en España</v>
      </c>
      <c r="B26" s="44">
        <v>0</v>
      </c>
      <c r="C26" s="44">
        <v>-201.39716995</v>
      </c>
      <c r="D26" s="44">
        <v>0</v>
      </c>
      <c r="E26" s="45">
        <v>0</v>
      </c>
      <c r="F26" s="44">
        <v>0</v>
      </c>
      <c r="G26" s="44">
        <v>0</v>
      </c>
      <c r="H26" s="44">
        <v>0</v>
      </c>
      <c r="I26" s="44">
        <v>0</v>
      </c>
    </row>
    <row r="27" spans="1:9" ht="15">
      <c r="A27" s="47" t="str">
        <f>HLOOKUP(INDICE!$F$2,Nombres!$C$3:$D$636,50,FALSE)</f>
        <v>Resultado atribuido</v>
      </c>
      <c r="B27" s="47">
        <f>+B25+B26</f>
        <v>597.7953491699998</v>
      </c>
      <c r="C27" s="47">
        <f aca="true" t="shared" si="5" ref="C27:I27">+C25+C26</f>
        <v>203.51411670999997</v>
      </c>
      <c r="D27" s="47">
        <f t="shared" si="5"/>
        <v>502.20478099999985</v>
      </c>
      <c r="E27" s="70">
        <f t="shared" si="5"/>
        <v>363.43695952</v>
      </c>
      <c r="F27" s="47">
        <f t="shared" si="5"/>
        <v>540.7963355800001</v>
      </c>
      <c r="G27" s="47">
        <f t="shared" si="5"/>
        <v>0</v>
      </c>
      <c r="H27" s="47">
        <f t="shared" si="5"/>
        <v>0</v>
      </c>
      <c r="I27" s="47">
        <f t="shared" si="5"/>
        <v>0</v>
      </c>
    </row>
    <row r="28" spans="1:9" ht="15">
      <c r="A28" s="297"/>
      <c r="B28" s="297"/>
      <c r="C28" s="297"/>
      <c r="D28" s="297"/>
      <c r="E28" s="297"/>
      <c r="F28" s="297"/>
      <c r="G28" s="297"/>
      <c r="H28" s="297"/>
      <c r="I28" s="297"/>
    </row>
    <row r="29" spans="1:9" ht="15">
      <c r="A29" s="41"/>
      <c r="B29" s="41"/>
      <c r="C29" s="41"/>
      <c r="D29" s="41"/>
      <c r="E29" s="41"/>
      <c r="F29" s="41"/>
      <c r="G29" s="41"/>
      <c r="H29" s="41"/>
      <c r="I29" s="41"/>
    </row>
    <row r="30" spans="1:9" ht="18">
      <c r="A30" s="33" t="str">
        <f>HLOOKUP(INDICE!$F$2,Nombres!$C$3:$D$636,51,FALSE)</f>
        <v>Balances</v>
      </c>
      <c r="B30" s="34"/>
      <c r="C30" s="34"/>
      <c r="D30" s="34"/>
      <c r="E30" s="34"/>
      <c r="F30" s="34"/>
      <c r="G30" s="34"/>
      <c r="H30" s="34"/>
      <c r="I30" s="34"/>
    </row>
    <row r="31" spans="1:11" ht="15">
      <c r="A31" s="35" t="str">
        <f>HLOOKUP(INDICE!$F$2,Nombres!$C$3:$D$636,32,FALSE)</f>
        <v>(Millones de euros)</v>
      </c>
      <c r="B31" s="30"/>
      <c r="C31" s="52"/>
      <c r="D31" s="52"/>
      <c r="E31" s="52"/>
      <c r="F31" s="30"/>
      <c r="G31" s="58"/>
      <c r="H31" s="58"/>
      <c r="I31" s="58"/>
      <c r="K31" s="54"/>
    </row>
    <row r="32" spans="1:11" ht="15.75">
      <c r="A32" s="30"/>
      <c r="B32" s="53">
        <v>44651</v>
      </c>
      <c r="C32" s="53">
        <v>44742</v>
      </c>
      <c r="D32" s="53">
        <v>44834</v>
      </c>
      <c r="E32" s="67">
        <v>44926</v>
      </c>
      <c r="F32" s="53">
        <v>45016</v>
      </c>
      <c r="G32" s="53">
        <v>45107</v>
      </c>
      <c r="H32" s="53">
        <v>45199</v>
      </c>
      <c r="I32" s="53">
        <v>45291</v>
      </c>
      <c r="K32" s="54"/>
    </row>
    <row r="33" spans="1:11" ht="15">
      <c r="A33" s="43" t="str">
        <f>HLOOKUP(INDICE!$F$2,Nombres!$C$3:$D$636,52,FALSE)</f>
        <v>Efectivo, saldos en efectivo en bancos centrales y otros depósitos a la vista</v>
      </c>
      <c r="B33" s="44">
        <v>28593.503321999997</v>
      </c>
      <c r="C33" s="44">
        <v>37732.410629</v>
      </c>
      <c r="D33" s="44">
        <v>48898.329535</v>
      </c>
      <c r="E33" s="45">
        <v>49184.983630999996</v>
      </c>
      <c r="F33" s="44">
        <v>50952.053749000006</v>
      </c>
      <c r="G33" s="44">
        <v>0</v>
      </c>
      <c r="H33" s="44">
        <v>0</v>
      </c>
      <c r="I33" s="44">
        <v>0</v>
      </c>
      <c r="K33" s="54"/>
    </row>
    <row r="34" spans="1:11" ht="15">
      <c r="A34" s="43" t="str">
        <f>HLOOKUP(INDICE!$F$2,Nombres!$C$3:$D$636,53,FALSE)</f>
        <v>Activos financieros a valor razonable</v>
      </c>
      <c r="B34" s="58">
        <v>136353.24551016</v>
      </c>
      <c r="C34" s="58">
        <v>140377.23086860002</v>
      </c>
      <c r="D34" s="58">
        <v>135010.53182518</v>
      </c>
      <c r="E34" s="64">
        <v>126413.47969942997</v>
      </c>
      <c r="F34" s="44">
        <v>137431.70913717</v>
      </c>
      <c r="G34" s="44">
        <v>0</v>
      </c>
      <c r="H34" s="44">
        <v>0</v>
      </c>
      <c r="I34" s="44">
        <v>0</v>
      </c>
      <c r="K34" s="54"/>
    </row>
    <row r="35" spans="1:11" ht="15">
      <c r="A35" s="43" t="str">
        <f>HLOOKUP(INDICE!$F$2,Nombres!$C$3:$D$636,54,FALSE)</f>
        <v>Activos financieros a coste amortizado</v>
      </c>
      <c r="B35" s="44">
        <v>199610.38512215996</v>
      </c>
      <c r="C35" s="44">
        <v>204669.33881411003</v>
      </c>
      <c r="D35" s="44">
        <v>206855.72719879</v>
      </c>
      <c r="E35" s="45">
        <v>204527.90962357</v>
      </c>
      <c r="F35" s="44">
        <v>207349.14712439</v>
      </c>
      <c r="G35" s="44">
        <v>0</v>
      </c>
      <c r="H35" s="44">
        <v>0</v>
      </c>
      <c r="I35" s="44">
        <v>0</v>
      </c>
      <c r="K35" s="54"/>
    </row>
    <row r="36" spans="1:11" ht="15">
      <c r="A36" s="43" t="str">
        <f>HLOOKUP(INDICE!$F$2,Nombres!$C$3:$D$636,55,FALSE)</f>
        <v>    de los que préstamos y anticipos a la clientela</v>
      </c>
      <c r="B36" s="44">
        <v>171864.67511716002</v>
      </c>
      <c r="C36" s="44">
        <v>176028.58921811005</v>
      </c>
      <c r="D36" s="44">
        <v>176082.53535879002</v>
      </c>
      <c r="E36" s="45">
        <v>173971.14545257005</v>
      </c>
      <c r="F36" s="44">
        <v>172084.53894139003</v>
      </c>
      <c r="G36" s="44">
        <v>0</v>
      </c>
      <c r="H36" s="44">
        <v>0</v>
      </c>
      <c r="I36" s="44">
        <v>0</v>
      </c>
      <c r="K36" s="54"/>
    </row>
    <row r="37" spans="1:11" ht="15">
      <c r="A37" s="43" t="str">
        <f>HLOOKUP(INDICE!$F$2,Nombres!$C$3:$D$636,121,FALSE)</f>
        <v>Posiciones inter-áreas activo</v>
      </c>
      <c r="B37" s="44">
        <v>37221.309266330034</v>
      </c>
      <c r="C37" s="44">
        <v>39466.192276849935</v>
      </c>
      <c r="D37" s="44">
        <v>37726.692613729974</v>
      </c>
      <c r="E37" s="45">
        <v>38924.4874518899</v>
      </c>
      <c r="F37" s="44">
        <v>37955.493378340034</v>
      </c>
      <c r="G37" s="44">
        <v>0</v>
      </c>
      <c r="H37" s="44">
        <v>0</v>
      </c>
      <c r="I37" s="44">
        <v>0</v>
      </c>
      <c r="K37" s="54"/>
    </row>
    <row r="38" spans="1:11" ht="15">
      <c r="A38" s="43" t="str">
        <f>HLOOKUP(INDICE!$F$2,Nombres!$C$3:$D$636,56,FALSE)</f>
        <v>Activos tangibles</v>
      </c>
      <c r="B38" s="58">
        <v>2508.384579</v>
      </c>
      <c r="C38" s="58">
        <v>2972.7728279999997</v>
      </c>
      <c r="D38" s="58">
        <v>2941.4989960000003</v>
      </c>
      <c r="E38" s="64">
        <v>2989.8220039999997</v>
      </c>
      <c r="F38" s="44">
        <v>2956.8782669999996</v>
      </c>
      <c r="G38" s="44">
        <v>0</v>
      </c>
      <c r="H38" s="44">
        <v>0</v>
      </c>
      <c r="I38" s="44">
        <v>0</v>
      </c>
      <c r="K38" s="54"/>
    </row>
    <row r="39" spans="1:11" ht="15">
      <c r="A39" s="43" t="str">
        <f>HLOOKUP(INDICE!$F$2,Nombres!$C$3:$D$636,57,FALSE)</f>
        <v>Otros activos</v>
      </c>
      <c r="B39" s="58">
        <f aca="true" t="shared" si="6" ref="B39:I39">+B40-B38-B35-B34-B33-B37</f>
        <v>5768.474589749974</v>
      </c>
      <c r="C39" s="58">
        <f t="shared" si="6"/>
        <v>6747.612317720013</v>
      </c>
      <c r="D39" s="58">
        <f t="shared" si="6"/>
        <v>5954.668764860049</v>
      </c>
      <c r="E39" s="64">
        <f t="shared" si="6"/>
        <v>5075.537933880099</v>
      </c>
      <c r="F39" s="44">
        <f t="shared" si="6"/>
        <v>5074.64560414997</v>
      </c>
      <c r="G39" s="44">
        <f t="shared" si="6"/>
        <v>0</v>
      </c>
      <c r="H39" s="44">
        <f t="shared" si="6"/>
        <v>0</v>
      </c>
      <c r="I39" s="44">
        <f t="shared" si="6"/>
        <v>0</v>
      </c>
      <c r="K39" s="54"/>
    </row>
    <row r="40" spans="1:11" ht="15">
      <c r="A40" s="47" t="str">
        <f>HLOOKUP(INDICE!$F$2,Nombres!$C$3:$D$636,58,FALSE)</f>
        <v>Total activo / pasivo</v>
      </c>
      <c r="B40" s="47">
        <v>410055.30238939996</v>
      </c>
      <c r="C40" s="47">
        <v>431965.55773428</v>
      </c>
      <c r="D40" s="47">
        <v>437387.44893356</v>
      </c>
      <c r="E40" s="47">
        <v>427116.22034377</v>
      </c>
      <c r="F40" s="51">
        <v>441719.92726005</v>
      </c>
      <c r="G40" s="51">
        <v>0</v>
      </c>
      <c r="H40" s="51">
        <v>0</v>
      </c>
      <c r="I40" s="51">
        <v>0</v>
      </c>
      <c r="K40" s="54"/>
    </row>
    <row r="41" spans="1:11" ht="15.75" customHeight="1">
      <c r="A41" s="43" t="str">
        <f>HLOOKUP(INDICE!$F$2,Nombres!$C$3:$D$636,59,FALSE)</f>
        <v>Pasivos financieros mantenidos para negociar y designados a valor razonable con cambios en resultados</v>
      </c>
      <c r="B41" s="58">
        <v>75723.90047499997</v>
      </c>
      <c r="C41" s="58">
        <v>89118.859321</v>
      </c>
      <c r="D41" s="58">
        <v>87972.36668900002</v>
      </c>
      <c r="E41" s="64">
        <v>84619.36384300001</v>
      </c>
      <c r="F41" s="44">
        <v>96927.44413199999</v>
      </c>
      <c r="G41" s="44">
        <v>0</v>
      </c>
      <c r="H41" s="44">
        <v>0</v>
      </c>
      <c r="I41" s="44">
        <v>0</v>
      </c>
      <c r="K41" s="54"/>
    </row>
    <row r="42" spans="1:11" ht="15">
      <c r="A42" s="43" t="str">
        <f>HLOOKUP(INDICE!$F$2,Nombres!$C$3:$D$636,60,FALSE)</f>
        <v>Depósitos de bancos centrales y entidades de crédito</v>
      </c>
      <c r="B42" s="58">
        <v>59875.795284</v>
      </c>
      <c r="C42" s="58">
        <v>62815.157738</v>
      </c>
      <c r="D42" s="58">
        <v>67373.417516</v>
      </c>
      <c r="E42" s="64">
        <v>51701.969221</v>
      </c>
      <c r="F42" s="44">
        <v>60304.637791</v>
      </c>
      <c r="G42" s="44">
        <v>0</v>
      </c>
      <c r="H42" s="44">
        <v>0</v>
      </c>
      <c r="I42" s="44">
        <v>0</v>
      </c>
      <c r="K42" s="54"/>
    </row>
    <row r="43" spans="1:11" ht="15">
      <c r="A43" s="43" t="str">
        <f>HLOOKUP(INDICE!$F$2,Nombres!$C$3:$D$636,61,FALSE)</f>
        <v>Depósitos de la clientela</v>
      </c>
      <c r="B43" s="58">
        <v>206929.491863</v>
      </c>
      <c r="C43" s="58">
        <v>211589.99872099998</v>
      </c>
      <c r="D43" s="58">
        <v>213434.68435700002</v>
      </c>
      <c r="E43" s="64">
        <v>221019.117034</v>
      </c>
      <c r="F43" s="44">
        <v>214475.85191400003</v>
      </c>
      <c r="G43" s="44">
        <v>0</v>
      </c>
      <c r="H43" s="44">
        <v>0</v>
      </c>
      <c r="I43" s="44">
        <v>0</v>
      </c>
      <c r="K43" s="54"/>
    </row>
    <row r="44" spans="1:11" ht="15">
      <c r="A44" s="43" t="str">
        <f>HLOOKUP(INDICE!$F$2,Nombres!$C$3:$D$636,62,FALSE)</f>
        <v>Valores representativos de deuda emitidos</v>
      </c>
      <c r="B44" s="44">
        <v>36027.34682829</v>
      </c>
      <c r="C44" s="44">
        <v>36804.73515928</v>
      </c>
      <c r="D44" s="44">
        <v>38976.324485089994</v>
      </c>
      <c r="E44" s="45">
        <v>40782.29655009001</v>
      </c>
      <c r="F44" s="44">
        <v>40898.1645272</v>
      </c>
      <c r="G44" s="44">
        <v>0</v>
      </c>
      <c r="H44" s="44">
        <v>0</v>
      </c>
      <c r="I44" s="44">
        <v>0</v>
      </c>
      <c r="K44" s="54"/>
    </row>
    <row r="45" spans="1:11" ht="15">
      <c r="A45" s="43" t="str">
        <f>HLOOKUP(INDICE!$F$2,Nombres!$C$3:$D$636,122,FALSE)</f>
        <v>Posiciones inter-áreas pasivo</v>
      </c>
      <c r="B45" s="44">
        <v>0</v>
      </c>
      <c r="C45" s="44">
        <v>0</v>
      </c>
      <c r="D45" s="44">
        <v>0</v>
      </c>
      <c r="E45" s="45">
        <v>0</v>
      </c>
      <c r="F45" s="44">
        <v>0</v>
      </c>
      <c r="G45" s="44">
        <v>0</v>
      </c>
      <c r="H45" s="44">
        <v>0</v>
      </c>
      <c r="I45" s="44">
        <v>0</v>
      </c>
      <c r="K45" s="54"/>
    </row>
    <row r="46" spans="1:9" ht="15">
      <c r="A46" s="43" t="str">
        <f>HLOOKUP(INDICE!$F$2,Nombres!$C$3:$D$636,63,FALSE)</f>
        <v>Otros pasivos</v>
      </c>
      <c r="B46" s="44">
        <f>+B40-B41-B42-B43-B44-B47-B45</f>
        <v>17151.419602979997</v>
      </c>
      <c r="C46" s="44">
        <f aca="true" t="shared" si="7" ref="C46:I46">+C40-C41-C42-C43-C44-C47-C45</f>
        <v>17131.147912400054</v>
      </c>
      <c r="D46" s="44">
        <f t="shared" si="7"/>
        <v>15663.756458270007</v>
      </c>
      <c r="E46" s="45">
        <f t="shared" si="7"/>
        <v>15869.837604819983</v>
      </c>
      <c r="F46" s="44">
        <f t="shared" si="7"/>
        <v>14777.126779030006</v>
      </c>
      <c r="G46" s="44">
        <f t="shared" si="7"/>
        <v>0</v>
      </c>
      <c r="H46" s="44">
        <f t="shared" si="7"/>
        <v>0</v>
      </c>
      <c r="I46" s="44">
        <f t="shared" si="7"/>
        <v>0</v>
      </c>
    </row>
    <row r="47" spans="1:9" ht="15">
      <c r="A47" s="43" t="str">
        <f>HLOOKUP(INDICE!$F$2,Nombres!$C$3:$D$636,282,FALSE)</f>
        <v>Dotación de capital regulatorio</v>
      </c>
      <c r="B47" s="44">
        <v>14347.348336129999</v>
      </c>
      <c r="C47" s="44">
        <v>14505.6588826</v>
      </c>
      <c r="D47" s="44">
        <v>13966.899428199999</v>
      </c>
      <c r="E47" s="45">
        <v>13123.63609086</v>
      </c>
      <c r="F47" s="44">
        <v>14336.702116819999</v>
      </c>
      <c r="G47" s="44">
        <v>0</v>
      </c>
      <c r="H47" s="44">
        <v>0</v>
      </c>
      <c r="I47" s="44">
        <v>0</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Indicadores relevantes y de gestión</v>
      </c>
      <c r="B50" s="66"/>
      <c r="C50" s="66"/>
      <c r="D50" s="66"/>
      <c r="E50" s="66"/>
      <c r="F50" s="66"/>
      <c r="G50" s="66"/>
      <c r="H50" s="66"/>
      <c r="I50" s="66"/>
    </row>
    <row r="51" spans="1:9" ht="15">
      <c r="A51" s="35" t="str">
        <f>HLOOKUP(INDICE!$F$2,Nombres!$C$3:$D$636,32,FALSE)</f>
        <v>(Millones de euros)</v>
      </c>
      <c r="B51" s="30"/>
      <c r="C51" s="30"/>
      <c r="D51" s="30"/>
      <c r="E51" s="30"/>
      <c r="F51" s="30"/>
      <c r="G51" s="58"/>
      <c r="H51" s="58"/>
      <c r="I51" s="58"/>
    </row>
    <row r="52" spans="1:9" ht="15.75">
      <c r="A52" s="30"/>
      <c r="B52" s="53">
        <f aca="true" t="shared" si="8" ref="B52:I52">+B$32</f>
        <v>44651</v>
      </c>
      <c r="C52" s="53">
        <f t="shared" si="8"/>
        <v>44742</v>
      </c>
      <c r="D52" s="53">
        <f t="shared" si="8"/>
        <v>44834</v>
      </c>
      <c r="E52" s="67">
        <f t="shared" si="8"/>
        <v>44926</v>
      </c>
      <c r="F52" s="53">
        <f t="shared" si="8"/>
        <v>45016</v>
      </c>
      <c r="G52" s="53">
        <f t="shared" si="8"/>
        <v>45107</v>
      </c>
      <c r="H52" s="53">
        <f t="shared" si="8"/>
        <v>45199</v>
      </c>
      <c r="I52" s="53">
        <f t="shared" si="8"/>
        <v>45291</v>
      </c>
    </row>
    <row r="53" spans="1:9" ht="15">
      <c r="A53" s="43" t="str">
        <f>HLOOKUP(INDICE!$F$2,Nombres!$C$3:$D$636,66,FALSE)</f>
        <v>Préstamos y anticipos a la clientela bruto (*)</v>
      </c>
      <c r="B53" s="44">
        <v>176893.119585</v>
      </c>
      <c r="C53" s="44">
        <v>181027.61527800004</v>
      </c>
      <c r="D53" s="44">
        <v>181009.711921</v>
      </c>
      <c r="E53" s="45">
        <v>178495.86162500002</v>
      </c>
      <c r="F53" s="44">
        <v>176311.63150200003</v>
      </c>
      <c r="G53" s="44">
        <v>0</v>
      </c>
      <c r="H53" s="44">
        <v>0</v>
      </c>
      <c r="I53" s="44">
        <v>0</v>
      </c>
    </row>
    <row r="54" spans="1:9" ht="15">
      <c r="A54" s="43" t="str">
        <f>HLOOKUP(INDICE!$F$2,Nombres!$C$3:$D$636,67,FALSE)</f>
        <v>Depósitos de clientes en gestión (**)</v>
      </c>
      <c r="B54" s="44">
        <v>206405.25463299995</v>
      </c>
      <c r="C54" s="44">
        <v>211099.308105</v>
      </c>
      <c r="D54" s="44">
        <v>212870.505873</v>
      </c>
      <c r="E54" s="45">
        <v>220139.521066</v>
      </c>
      <c r="F54" s="44">
        <v>213310.99586000002</v>
      </c>
      <c r="G54" s="44">
        <v>0</v>
      </c>
      <c r="H54" s="44">
        <v>0</v>
      </c>
      <c r="I54" s="44">
        <v>0</v>
      </c>
    </row>
    <row r="55" spans="1:9" ht="15">
      <c r="A55" s="43" t="str">
        <f>HLOOKUP(INDICE!$F$2,Nombres!$C$3:$D$636,68,FALSE)</f>
        <v>Fondos de inversión y carteras gestionadas</v>
      </c>
      <c r="B55" s="44">
        <v>66158.73053186998</v>
      </c>
      <c r="C55" s="44">
        <v>63270.89122094001</v>
      </c>
      <c r="D55" s="44">
        <v>62261.04950350999</v>
      </c>
      <c r="E55" s="45">
        <v>63785.98545200001</v>
      </c>
      <c r="F55" s="44">
        <v>67197.82419900002</v>
      </c>
      <c r="G55" s="44">
        <v>0</v>
      </c>
      <c r="H55" s="44">
        <v>0</v>
      </c>
      <c r="I55" s="44">
        <v>0</v>
      </c>
    </row>
    <row r="56" spans="1:9" ht="15">
      <c r="A56" s="43" t="str">
        <f>HLOOKUP(INDICE!$F$2,Nombres!$C$3:$D$636,69,FALSE)</f>
        <v>Fondos de pensiones</v>
      </c>
      <c r="B56" s="44">
        <v>24669.120722600004</v>
      </c>
      <c r="C56" s="44">
        <v>23557.51709119</v>
      </c>
      <c r="D56" s="44">
        <v>22919.576148710003</v>
      </c>
      <c r="E56" s="45">
        <v>22972.52035825</v>
      </c>
      <c r="F56" s="44">
        <v>23379.58141105</v>
      </c>
      <c r="G56" s="44">
        <v>0</v>
      </c>
      <c r="H56" s="44">
        <v>0</v>
      </c>
      <c r="I56" s="44">
        <v>0</v>
      </c>
    </row>
    <row r="57" spans="1:9" ht="15">
      <c r="A57" s="43" t="str">
        <f>HLOOKUP(INDICE!$F$2,Nombres!$C$3:$D$636,70,FALSE)</f>
        <v>Otros recursos fuera de balance</v>
      </c>
      <c r="B57" s="44">
        <v>0</v>
      </c>
      <c r="C57" s="44">
        <v>0</v>
      </c>
      <c r="D57" s="44">
        <v>0</v>
      </c>
      <c r="E57" s="45">
        <v>0</v>
      </c>
      <c r="F57" s="44">
        <v>0</v>
      </c>
      <c r="G57" s="44">
        <v>0</v>
      </c>
      <c r="H57" s="44">
        <v>0</v>
      </c>
      <c r="I57" s="44">
        <v>0</v>
      </c>
    </row>
    <row r="58" spans="1:9" ht="15">
      <c r="A58" s="62" t="str">
        <f>HLOOKUP(INDICE!$F$2,Nombres!$C$3:$D$636,71,FALSE)</f>
        <v>(*) No incluye las adquisiciones temporales de activos.</v>
      </c>
      <c r="B58" s="58"/>
      <c r="C58" s="58"/>
      <c r="D58" s="58"/>
      <c r="E58" s="58"/>
      <c r="F58" s="58"/>
      <c r="G58" s="58"/>
      <c r="H58" s="58"/>
      <c r="I58" s="58"/>
    </row>
    <row r="59" spans="1:9" ht="15">
      <c r="A59" s="62" t="str">
        <f>HLOOKUP(INDICE!$F$2,Nombres!$C$3:$D$636,72,FALSE)</f>
        <v>(**) No incluye las cesiones temporales de activos.</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391</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1747.69772982</v>
      </c>
      <c r="C8" s="41">
        <v>1938.53811032</v>
      </c>
      <c r="D8" s="41">
        <v>2236.0702695</v>
      </c>
      <c r="E8" s="42">
        <v>2455.9773522500004</v>
      </c>
      <c r="F8" s="50">
        <v>2589.49323296</v>
      </c>
      <c r="G8" s="50">
        <v>0</v>
      </c>
      <c r="H8" s="50">
        <v>0</v>
      </c>
      <c r="I8" s="50">
        <v>0</v>
      </c>
    </row>
    <row r="9" spans="1:9" ht="15">
      <c r="A9" s="43" t="str">
        <f>HLOOKUP(INDICE!$F$2,Nombres!$C$3:$D$636,34,FALSE)</f>
        <v>Comisiones netas</v>
      </c>
      <c r="B9" s="44">
        <v>343.89284431</v>
      </c>
      <c r="C9" s="44">
        <v>401.04748298999993</v>
      </c>
      <c r="D9" s="44">
        <v>431.41148955000006</v>
      </c>
      <c r="E9" s="45">
        <v>448.82910259000005</v>
      </c>
      <c r="F9" s="44">
        <v>482.7000830400001</v>
      </c>
      <c r="G9" s="44">
        <v>0</v>
      </c>
      <c r="H9" s="44">
        <v>0</v>
      </c>
      <c r="I9" s="44">
        <v>0</v>
      </c>
    </row>
    <row r="10" spans="1:9" ht="15">
      <c r="A10" s="43" t="str">
        <f>HLOOKUP(INDICE!$F$2,Nombres!$C$3:$D$636,35,FALSE)</f>
        <v>Resultados de operaciones financieras</v>
      </c>
      <c r="B10" s="44">
        <v>91.88280934999999</v>
      </c>
      <c r="C10" s="44">
        <v>135.55792679</v>
      </c>
      <c r="D10" s="44">
        <v>96.11993705</v>
      </c>
      <c r="E10" s="45">
        <v>115.79044319999997</v>
      </c>
      <c r="F10" s="44">
        <v>148.75250654</v>
      </c>
      <c r="G10" s="44">
        <v>0</v>
      </c>
      <c r="H10" s="44">
        <v>0</v>
      </c>
      <c r="I10" s="44">
        <v>0</v>
      </c>
    </row>
    <row r="11" spans="1:9" ht="15">
      <c r="A11" s="43" t="str">
        <f>HLOOKUP(INDICE!$F$2,Nombres!$C$3:$D$636,36,FALSE)</f>
        <v>Otros ingresos y cargas de explotación</v>
      </c>
      <c r="B11" s="44">
        <v>48.25100002</v>
      </c>
      <c r="C11" s="44">
        <v>105.93799997000019</v>
      </c>
      <c r="D11" s="44">
        <v>84.69999998999974</v>
      </c>
      <c r="E11" s="45">
        <v>52.03694503999997</v>
      </c>
      <c r="F11" s="44">
        <v>85.52299998999987</v>
      </c>
      <c r="G11" s="44">
        <v>0</v>
      </c>
      <c r="H11" s="44">
        <v>0</v>
      </c>
      <c r="I11" s="44">
        <v>0</v>
      </c>
    </row>
    <row r="12" spans="1:9" ht="15">
      <c r="A12" s="41" t="str">
        <f>HLOOKUP(INDICE!$F$2,Nombres!$C$3:$D$636,37,FALSE)</f>
        <v>Margen bruto</v>
      </c>
      <c r="B12" s="41">
        <f>+SUM(B8:B11)</f>
        <v>2231.7243835</v>
      </c>
      <c r="C12" s="41">
        <f aca="true" t="shared" si="0" ref="C12:I12">+SUM(C8:C11)</f>
        <v>2581.081520070001</v>
      </c>
      <c r="D12" s="41">
        <f t="shared" si="0"/>
        <v>2848.30169609</v>
      </c>
      <c r="E12" s="42">
        <f t="shared" si="0"/>
        <v>3072.6338430800006</v>
      </c>
      <c r="F12" s="50">
        <f t="shared" si="0"/>
        <v>3306.46882253</v>
      </c>
      <c r="G12" s="50">
        <f t="shared" si="0"/>
        <v>0</v>
      </c>
      <c r="H12" s="50">
        <f t="shared" si="0"/>
        <v>0</v>
      </c>
      <c r="I12" s="50">
        <f t="shared" si="0"/>
        <v>0</v>
      </c>
    </row>
    <row r="13" spans="1:9" ht="15">
      <c r="A13" s="43" t="str">
        <f>HLOOKUP(INDICE!$F$2,Nombres!$C$3:$D$636,38,FALSE)</f>
        <v>Gastos de explotación</v>
      </c>
      <c r="B13" s="44">
        <v>-744.3194831100001</v>
      </c>
      <c r="C13" s="44">
        <v>-808.66734132</v>
      </c>
      <c r="D13" s="44">
        <v>-889.84100052</v>
      </c>
      <c r="E13" s="45">
        <v>-954.4751673399999</v>
      </c>
      <c r="F13" s="44">
        <v>-988.2161742100001</v>
      </c>
      <c r="G13" s="44">
        <v>0</v>
      </c>
      <c r="H13" s="44">
        <v>0</v>
      </c>
      <c r="I13" s="44">
        <v>0</v>
      </c>
    </row>
    <row r="14" spans="1:9" ht="15">
      <c r="A14" s="43" t="str">
        <f>HLOOKUP(INDICE!$F$2,Nombres!$C$3:$D$636,39,FALSE)</f>
        <v>  Gastos de administración</v>
      </c>
      <c r="B14" s="44">
        <v>-653.8212020799999</v>
      </c>
      <c r="C14" s="44">
        <v>-711.1892107600002</v>
      </c>
      <c r="D14" s="44">
        <v>-786.8289675399999</v>
      </c>
      <c r="E14" s="45">
        <v>-847.8125583200001</v>
      </c>
      <c r="F14" s="44">
        <v>-879.61139719</v>
      </c>
      <c r="G14" s="44">
        <v>0</v>
      </c>
      <c r="H14" s="44">
        <v>0</v>
      </c>
      <c r="I14" s="44">
        <v>0</v>
      </c>
    </row>
    <row r="15" spans="1:9" ht="15">
      <c r="A15" s="46" t="str">
        <f>HLOOKUP(INDICE!$F$2,Nombres!$C$3:$D$636,40,FALSE)</f>
        <v>  Gastos de personal</v>
      </c>
      <c r="B15" s="44">
        <v>-331.61017589000005</v>
      </c>
      <c r="C15" s="44">
        <v>-362.61365939000007</v>
      </c>
      <c r="D15" s="44">
        <v>-414.33823077999995</v>
      </c>
      <c r="E15" s="45">
        <v>-456.76121434000004</v>
      </c>
      <c r="F15" s="44">
        <v>-455.43766277000003</v>
      </c>
      <c r="G15" s="44">
        <v>0</v>
      </c>
      <c r="H15" s="44">
        <v>0</v>
      </c>
      <c r="I15" s="44">
        <v>0</v>
      </c>
    </row>
    <row r="16" spans="1:9" ht="15">
      <c r="A16" s="46" t="str">
        <f>HLOOKUP(INDICE!$F$2,Nombres!$C$3:$D$636,41,FALSE)</f>
        <v>  Otros gastos de administración</v>
      </c>
      <c r="B16" s="44">
        <v>-322.21102619</v>
      </c>
      <c r="C16" s="44">
        <v>-348.57555137</v>
      </c>
      <c r="D16" s="44">
        <v>-372.49073676</v>
      </c>
      <c r="E16" s="45">
        <v>-391.05134398</v>
      </c>
      <c r="F16" s="44">
        <v>-424.17373442</v>
      </c>
      <c r="G16" s="44">
        <v>0</v>
      </c>
      <c r="H16" s="44">
        <v>0</v>
      </c>
      <c r="I16" s="44">
        <v>0</v>
      </c>
    </row>
    <row r="17" spans="1:9" ht="15">
      <c r="A17" s="43" t="str">
        <f>HLOOKUP(INDICE!$F$2,Nombres!$C$3:$D$636,42,FALSE)</f>
        <v>  Amortización</v>
      </c>
      <c r="B17" s="44">
        <v>-90.49828103</v>
      </c>
      <c r="C17" s="44">
        <v>-97.47813055999998</v>
      </c>
      <c r="D17" s="44">
        <v>-103.01203297999999</v>
      </c>
      <c r="E17" s="45">
        <v>-106.66260901999999</v>
      </c>
      <c r="F17" s="44">
        <v>-108.60477702</v>
      </c>
      <c r="G17" s="44">
        <v>0</v>
      </c>
      <c r="H17" s="44">
        <v>0</v>
      </c>
      <c r="I17" s="44">
        <v>0</v>
      </c>
    </row>
    <row r="18" spans="1:9" ht="15">
      <c r="A18" s="41" t="str">
        <f>HLOOKUP(INDICE!$F$2,Nombres!$C$3:$D$636,43,FALSE)</f>
        <v>Margen neto</v>
      </c>
      <c r="B18" s="41">
        <f>+B12+B13</f>
        <v>1487.40490039</v>
      </c>
      <c r="C18" s="41">
        <f aca="true" t="shared" si="1" ref="C18:I18">+C12+C13</f>
        <v>1772.4141787500007</v>
      </c>
      <c r="D18" s="41">
        <f t="shared" si="1"/>
        <v>1958.46069557</v>
      </c>
      <c r="E18" s="42">
        <f t="shared" si="1"/>
        <v>2118.158675740001</v>
      </c>
      <c r="F18" s="50">
        <f t="shared" si="1"/>
        <v>2318.25264832</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-418.76099995000004</v>
      </c>
      <c r="C19" s="44">
        <v>-386.54700003999966</v>
      </c>
      <c r="D19" s="44">
        <v>-471.4429999999997</v>
      </c>
      <c r="E19" s="45">
        <v>-416.1310000100001</v>
      </c>
      <c r="F19" s="44">
        <v>-549.48399992</v>
      </c>
      <c r="G19" s="44">
        <v>0</v>
      </c>
      <c r="H19" s="44">
        <v>0</v>
      </c>
      <c r="I19" s="44">
        <v>0</v>
      </c>
    </row>
    <row r="20" spans="1:9" ht="15">
      <c r="A20" s="43" t="str">
        <f>HLOOKUP(INDICE!$F$2,Nombres!$C$3:$D$636,45,FALSE)</f>
        <v>Provisiones o reversión de provisiones y otros resultados</v>
      </c>
      <c r="B20" s="44">
        <v>-1.2699999999999978</v>
      </c>
      <c r="C20" s="44">
        <v>-7.595999979999998</v>
      </c>
      <c r="D20" s="44">
        <v>-36.347000019999996</v>
      </c>
      <c r="E20" s="45">
        <v>21.353000000000023</v>
      </c>
      <c r="F20" s="44">
        <v>-0.7789999900000026</v>
      </c>
      <c r="G20" s="44">
        <v>0</v>
      </c>
      <c r="H20" s="44">
        <v>0</v>
      </c>
      <c r="I20" s="44">
        <v>0</v>
      </c>
    </row>
    <row r="21" spans="1:9" ht="15">
      <c r="A21" s="41" t="str">
        <f>HLOOKUP(INDICE!$F$2,Nombres!$C$3:$D$636,46,FALSE)</f>
        <v>Resultado antes de impuestos</v>
      </c>
      <c r="B21" s="41">
        <f>+B18+B19+B20</f>
        <v>1067.37390044</v>
      </c>
      <c r="C21" s="41">
        <f aca="true" t="shared" si="2" ref="C21:I21">+C18+C19+C20</f>
        <v>1378.271178730001</v>
      </c>
      <c r="D21" s="41">
        <f t="shared" si="2"/>
        <v>1450.6706955500003</v>
      </c>
      <c r="E21" s="42">
        <f t="shared" si="2"/>
        <v>1723.3806757300008</v>
      </c>
      <c r="F21" s="50">
        <f t="shared" si="2"/>
        <v>1767.98964841</v>
      </c>
      <c r="G21" s="50">
        <f t="shared" si="2"/>
        <v>0</v>
      </c>
      <c r="H21" s="50">
        <f t="shared" si="2"/>
        <v>0</v>
      </c>
      <c r="I21" s="50">
        <f t="shared" si="2"/>
        <v>0</v>
      </c>
    </row>
    <row r="22" spans="1:9" ht="15">
      <c r="A22" s="43" t="str">
        <f>HLOOKUP(INDICE!$F$2,Nombres!$C$3:$D$636,47,FALSE)</f>
        <v>Impuesto sobre beneficios</v>
      </c>
      <c r="B22" s="44">
        <v>-290.71184165</v>
      </c>
      <c r="C22" s="44">
        <v>-373.12907681999997</v>
      </c>
      <c r="D22" s="44">
        <v>-314.20726758999996</v>
      </c>
      <c r="E22" s="45">
        <v>-509.66447036</v>
      </c>
      <c r="F22" s="44">
        <v>-483.07931976</v>
      </c>
      <c r="G22" s="44">
        <v>0</v>
      </c>
      <c r="H22" s="44">
        <v>0</v>
      </c>
      <c r="I22" s="44">
        <v>0</v>
      </c>
    </row>
    <row r="23" spans="1:9" ht="15">
      <c r="A23" s="41" t="str">
        <f>HLOOKUP(INDICE!$F$2,Nombres!$C$3:$D$636,48,FALSE)</f>
        <v>Resultado del ejercicio</v>
      </c>
      <c r="B23" s="41">
        <f>+B21+B22</f>
        <v>776.66205879</v>
      </c>
      <c r="C23" s="41">
        <f aca="true" t="shared" si="3" ref="C23:I23">+C21+C22</f>
        <v>1005.1421019100012</v>
      </c>
      <c r="D23" s="41">
        <f t="shared" si="3"/>
        <v>1136.4634279600004</v>
      </c>
      <c r="E23" s="42">
        <f t="shared" si="3"/>
        <v>1213.7162053700008</v>
      </c>
      <c r="F23" s="50">
        <f t="shared" si="3"/>
        <v>1284.9103286499999</v>
      </c>
      <c r="G23" s="50">
        <f t="shared" si="3"/>
        <v>0</v>
      </c>
      <c r="H23" s="50">
        <f t="shared" si="3"/>
        <v>0</v>
      </c>
      <c r="I23" s="50">
        <f t="shared" si="3"/>
        <v>0</v>
      </c>
    </row>
    <row r="24" spans="1:9" ht="15">
      <c r="A24" s="43" t="str">
        <f>HLOOKUP(INDICE!$F$2,Nombres!$C$3:$D$636,49,FALSE)</f>
        <v>Minoritarios</v>
      </c>
      <c r="B24" s="44">
        <v>-0.138</v>
      </c>
      <c r="C24" s="44">
        <v>-0.17900000000000002</v>
      </c>
      <c r="D24" s="44">
        <v>-0.20999999999999996</v>
      </c>
      <c r="E24" s="45">
        <v>-0.22099999999999997</v>
      </c>
      <c r="F24" s="44">
        <v>-0.234</v>
      </c>
      <c r="G24" s="44">
        <v>0</v>
      </c>
      <c r="H24" s="44">
        <v>0</v>
      </c>
      <c r="I24" s="44">
        <v>0</v>
      </c>
    </row>
    <row r="25" spans="1:9" ht="15">
      <c r="A25" s="47" t="str">
        <f>HLOOKUP(INDICE!$F$2,Nombres!$C$3:$D$636,50,FALSE)</f>
        <v>Resultado atribuido</v>
      </c>
      <c r="B25" s="47">
        <f>+B23+B24</f>
        <v>776.5240587899999</v>
      </c>
      <c r="C25" s="47">
        <f aca="true" t="shared" si="4" ref="C25:I25">+C23+C24</f>
        <v>1004.9631019100012</v>
      </c>
      <c r="D25" s="47">
        <f t="shared" si="4"/>
        <v>1136.2534279600004</v>
      </c>
      <c r="E25" s="47">
        <f t="shared" si="4"/>
        <v>1213.4952053700008</v>
      </c>
      <c r="F25" s="51">
        <f t="shared" si="4"/>
        <v>1284.67632865</v>
      </c>
      <c r="G25" s="51">
        <f t="shared" si="4"/>
        <v>0</v>
      </c>
      <c r="H25" s="51">
        <f t="shared" si="4"/>
        <v>0</v>
      </c>
      <c r="I25" s="51">
        <f t="shared" si="4"/>
        <v>0</v>
      </c>
    </row>
    <row r="26" spans="1:9" ht="15">
      <c r="A26" s="62"/>
      <c r="B26" s="63">
        <v>0</v>
      </c>
      <c r="C26" s="63">
        <v>1.2505552149377763E-12</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14926.70000001</v>
      </c>
      <c r="C31" s="44">
        <v>16588.829999989997</v>
      </c>
      <c r="D31" s="44">
        <v>16580.39899999</v>
      </c>
      <c r="E31" s="45">
        <v>13228.10800001</v>
      </c>
      <c r="F31" s="44">
        <v>12725.842999999999</v>
      </c>
      <c r="G31" s="44">
        <v>0</v>
      </c>
      <c r="H31" s="44">
        <v>0</v>
      </c>
      <c r="I31" s="44">
        <v>0</v>
      </c>
    </row>
    <row r="32" spans="1:9" ht="15">
      <c r="A32" s="43" t="str">
        <f>HLOOKUP(INDICE!$F$2,Nombres!$C$3:$D$636,53,FALSE)</f>
        <v>Activos financieros a valor razonable</v>
      </c>
      <c r="B32" s="58">
        <v>43280.079</v>
      </c>
      <c r="C32" s="58">
        <v>46168.07599998</v>
      </c>
      <c r="D32" s="58">
        <v>50781.14</v>
      </c>
      <c r="E32" s="64">
        <v>46574.905999979994</v>
      </c>
      <c r="F32" s="44">
        <v>48366.31799999</v>
      </c>
      <c r="G32" s="44">
        <v>0</v>
      </c>
      <c r="H32" s="44">
        <v>0</v>
      </c>
      <c r="I32" s="44">
        <v>0</v>
      </c>
    </row>
    <row r="33" spans="1:9" ht="15">
      <c r="A33" s="43" t="str">
        <f>HLOOKUP(INDICE!$F$2,Nombres!$C$3:$D$636,54,FALSE)</f>
        <v>Activos financieros a coste amortizado</v>
      </c>
      <c r="B33" s="44">
        <v>64618.45900007</v>
      </c>
      <c r="C33" s="44">
        <v>71686.50400004999</v>
      </c>
      <c r="D33" s="44">
        <v>78324.58799998</v>
      </c>
      <c r="E33" s="45">
        <v>77191.36603053</v>
      </c>
      <c r="F33" s="44">
        <v>84617.33699992999</v>
      </c>
      <c r="G33" s="44">
        <v>0</v>
      </c>
      <c r="H33" s="44">
        <v>0</v>
      </c>
      <c r="I33" s="44">
        <v>0</v>
      </c>
    </row>
    <row r="34" spans="1:9" ht="15">
      <c r="A34" s="43" t="str">
        <f>HLOOKUP(INDICE!$F$2,Nombres!$C$3:$D$636,55,FALSE)</f>
        <v>    de los que préstamos y anticipos a la clientela</v>
      </c>
      <c r="B34" s="44">
        <v>60331.85700003</v>
      </c>
      <c r="C34" s="44">
        <v>66578.29900003</v>
      </c>
      <c r="D34" s="44">
        <v>73088.44599999998</v>
      </c>
      <c r="E34" s="45">
        <v>71230.87603056</v>
      </c>
      <c r="F34" s="44">
        <v>77276.86599995</v>
      </c>
      <c r="G34" s="44">
        <v>0</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1770.6509999999998</v>
      </c>
      <c r="C36" s="44">
        <v>1853.8629999999998</v>
      </c>
      <c r="D36" s="44">
        <v>1993.324</v>
      </c>
      <c r="E36" s="45">
        <v>1969.42399999</v>
      </c>
      <c r="F36" s="44">
        <v>2097.62799999</v>
      </c>
      <c r="G36" s="44">
        <v>0</v>
      </c>
      <c r="H36" s="44">
        <v>0</v>
      </c>
      <c r="I36" s="44">
        <v>0</v>
      </c>
    </row>
    <row r="37" spans="1:9" ht="15">
      <c r="A37" s="43" t="str">
        <f>HLOOKUP(INDICE!$F$2,Nombres!$C$3:$D$636,57,FALSE)</f>
        <v>Otros activos</v>
      </c>
      <c r="B37" s="58">
        <f>+B38-B36-B33-B32-B31</f>
        <v>3070.1054611399977</v>
      </c>
      <c r="C37" s="58">
        <f aca="true" t="shared" si="5" ref="C37:I37">+C38-C36-C33-C32-C31</f>
        <v>3563.196897039961</v>
      </c>
      <c r="D37" s="58">
        <f t="shared" si="5"/>
        <v>3753.3312239899897</v>
      </c>
      <c r="E37" s="64">
        <f t="shared" si="5"/>
        <v>3592.991565969982</v>
      </c>
      <c r="F37" s="44">
        <f t="shared" si="5"/>
        <v>4147.845876789996</v>
      </c>
      <c r="G37" s="44">
        <f t="shared" si="5"/>
        <v>0</v>
      </c>
      <c r="H37" s="44">
        <f t="shared" si="5"/>
        <v>0</v>
      </c>
      <c r="I37" s="44">
        <f t="shared" si="5"/>
        <v>0</v>
      </c>
    </row>
    <row r="38" spans="1:9" ht="15">
      <c r="A38" s="47" t="str">
        <f>HLOOKUP(INDICE!$F$2,Nombres!$C$3:$D$636,58,FALSE)</f>
        <v>Total activo / pasivo</v>
      </c>
      <c r="B38" s="47">
        <v>127665.99446121999</v>
      </c>
      <c r="C38" s="47">
        <v>139860.46989705996</v>
      </c>
      <c r="D38" s="47">
        <v>151432.78222395998</v>
      </c>
      <c r="E38" s="70">
        <v>142556.79559647996</v>
      </c>
      <c r="F38" s="47">
        <v>151954.9718767</v>
      </c>
      <c r="G38" s="51">
        <v>0</v>
      </c>
      <c r="H38" s="51">
        <v>0</v>
      </c>
      <c r="I38" s="51">
        <v>0</v>
      </c>
    </row>
    <row r="39" spans="1:9" ht="15">
      <c r="A39" s="43" t="str">
        <f>HLOOKUP(INDICE!$F$2,Nombres!$C$3:$D$636,59,FALSE)</f>
        <v>Pasivos financieros mantenidos para negociar y designados a valor razonable con cambios en resultados</v>
      </c>
      <c r="B39" s="58">
        <v>22773.464000000004</v>
      </c>
      <c r="C39" s="58">
        <v>26796.22899999</v>
      </c>
      <c r="D39" s="58">
        <v>30800.799</v>
      </c>
      <c r="E39" s="64">
        <v>25839.737999999998</v>
      </c>
      <c r="F39" s="44">
        <v>28035.307999999994</v>
      </c>
      <c r="G39" s="44">
        <v>0</v>
      </c>
      <c r="H39" s="44">
        <v>0</v>
      </c>
      <c r="I39" s="44">
        <v>0</v>
      </c>
    </row>
    <row r="40" spans="1:9" ht="15.75" customHeight="1">
      <c r="A40" s="43" t="str">
        <f>HLOOKUP(INDICE!$F$2,Nombres!$C$3:$D$636,60,FALSE)</f>
        <v>Depósitos de bancos centrales y entidades de crédito</v>
      </c>
      <c r="B40" s="58">
        <v>2797.4640000100003</v>
      </c>
      <c r="C40" s="58">
        <v>5140.61300001</v>
      </c>
      <c r="D40" s="58">
        <v>7319.008999979999</v>
      </c>
      <c r="E40" s="64">
        <v>4402.09899999</v>
      </c>
      <c r="F40" s="44">
        <v>6861.893999980001</v>
      </c>
      <c r="G40" s="44">
        <v>0</v>
      </c>
      <c r="H40" s="44">
        <v>0</v>
      </c>
      <c r="I40" s="44">
        <v>0</v>
      </c>
    </row>
    <row r="41" spans="1:9" ht="15">
      <c r="A41" s="43" t="str">
        <f>HLOOKUP(INDICE!$F$2,Nombres!$C$3:$D$636,61,FALSE)</f>
        <v>Depósitos de la clientela</v>
      </c>
      <c r="B41" s="58">
        <v>69536.84699998</v>
      </c>
      <c r="C41" s="58">
        <v>72691.78799998</v>
      </c>
      <c r="D41" s="58">
        <v>76623.00800001</v>
      </c>
      <c r="E41" s="64">
        <v>77750.15499996</v>
      </c>
      <c r="F41" s="44">
        <v>80171.88699998999</v>
      </c>
      <c r="G41" s="44">
        <v>0</v>
      </c>
      <c r="H41" s="44">
        <v>0</v>
      </c>
      <c r="I41" s="44">
        <v>0</v>
      </c>
    </row>
    <row r="42" spans="1:9" ht="15">
      <c r="A42" s="43" t="str">
        <f>HLOOKUP(INDICE!$F$2,Nombres!$C$3:$D$636,62,FALSE)</f>
        <v>Valores representativos de deuda emitidos</v>
      </c>
      <c r="B42" s="44">
        <v>8285.599972</v>
      </c>
      <c r="C42" s="44">
        <v>9353.47107761</v>
      </c>
      <c r="D42" s="44">
        <v>8510.65974108</v>
      </c>
      <c r="E42" s="45">
        <v>7757.534650130001</v>
      </c>
      <c r="F42" s="44">
        <v>8317.28095609</v>
      </c>
      <c r="G42" s="44">
        <v>0</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16431.640416199978</v>
      </c>
      <c r="C44" s="58">
        <f aca="true" t="shared" si="6" ref="C44:I44">+C38-C39-C40-C41-C42-C45</f>
        <v>16929.22542556996</v>
      </c>
      <c r="D44" s="58">
        <f t="shared" si="6"/>
        <v>18542.72786244998</v>
      </c>
      <c r="E44" s="64">
        <f t="shared" si="6"/>
        <v>16976.482092919963</v>
      </c>
      <c r="F44" s="44">
        <f t="shared" si="6"/>
        <v>19224.407281450018</v>
      </c>
      <c r="G44" s="44">
        <f t="shared" si="6"/>
        <v>0</v>
      </c>
      <c r="H44" s="44">
        <f t="shared" si="6"/>
        <v>0</v>
      </c>
      <c r="I44" s="44">
        <f t="shared" si="6"/>
        <v>0</v>
      </c>
    </row>
    <row r="45" spans="1:9" ht="15">
      <c r="A45" s="43" t="str">
        <f>HLOOKUP(INDICE!$F$2,Nombres!$C$3:$D$636,282,FALSE)</f>
        <v>Dotación de capital regulatorio</v>
      </c>
      <c r="B45" s="44">
        <v>7840.97907303</v>
      </c>
      <c r="C45" s="44">
        <v>8949.143393900002</v>
      </c>
      <c r="D45" s="44">
        <v>9636.57862044</v>
      </c>
      <c r="E45" s="45">
        <v>9830.78685348</v>
      </c>
      <c r="F45" s="44">
        <v>9344.19463919</v>
      </c>
      <c r="G45" s="44">
        <v>0</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Indicadores relevantes y de gestión</v>
      </c>
      <c r="B48" s="66"/>
      <c r="C48" s="66"/>
      <c r="D48" s="66"/>
      <c r="E48" s="66"/>
      <c r="F48" s="77"/>
      <c r="G48" s="77"/>
      <c r="H48" s="77"/>
      <c r="I48" s="77"/>
    </row>
    <row r="49" spans="1:9" ht="15">
      <c r="A49" s="35" t="str">
        <f>HLOOKUP(INDICE!$F$2,Nombres!$C$3:$D$636,32,FALSE)</f>
        <v>(Millones de euros)</v>
      </c>
      <c r="B49" s="30"/>
      <c r="C49" s="30"/>
      <c r="D49" s="30"/>
      <c r="E49" s="30"/>
      <c r="F49" s="78"/>
      <c r="G49" s="76"/>
      <c r="H49" s="76"/>
      <c r="I49" s="76"/>
    </row>
    <row r="50" spans="1:9" ht="15.75">
      <c r="A50" s="30"/>
      <c r="B50" s="53">
        <f aca="true" t="shared" si="7" ref="B50:I50">+B$30</f>
        <v>44651</v>
      </c>
      <c r="C50" s="53">
        <f t="shared" si="7"/>
        <v>44742</v>
      </c>
      <c r="D50" s="53">
        <f t="shared" si="7"/>
        <v>44834</v>
      </c>
      <c r="E50" s="67">
        <f t="shared" si="7"/>
        <v>44926</v>
      </c>
      <c r="F50" s="75">
        <f t="shared" si="7"/>
        <v>45016</v>
      </c>
      <c r="G50" s="75">
        <f t="shared" si="7"/>
        <v>45107</v>
      </c>
      <c r="H50" s="75">
        <f t="shared" si="7"/>
        <v>45199</v>
      </c>
      <c r="I50" s="75">
        <f t="shared" si="7"/>
        <v>45291</v>
      </c>
    </row>
    <row r="51" spans="1:9" ht="15">
      <c r="A51" s="43" t="str">
        <f>HLOOKUP(INDICE!$F$2,Nombres!$C$3:$D$636,66,FALSE)</f>
        <v>Préstamos y anticipos a la clientela bruto (*)</v>
      </c>
      <c r="B51" s="44">
        <v>62569.48100004</v>
      </c>
      <c r="C51" s="44">
        <v>69001.91599996999</v>
      </c>
      <c r="D51" s="44">
        <v>75774.17399997</v>
      </c>
      <c r="E51" s="45">
        <v>73726.93503051999</v>
      </c>
      <c r="F51" s="44">
        <v>79947.83199998</v>
      </c>
      <c r="G51" s="44">
        <v>0</v>
      </c>
      <c r="H51" s="44">
        <v>0</v>
      </c>
      <c r="I51" s="44">
        <v>0</v>
      </c>
    </row>
    <row r="52" spans="1:9" ht="15">
      <c r="A52" s="43" t="str">
        <f>HLOOKUP(INDICE!$F$2,Nombres!$C$3:$D$636,67,FALSE)</f>
        <v>Depósitos de clientes en gestión (**)</v>
      </c>
      <c r="B52" s="44">
        <v>69294.38799998001</v>
      </c>
      <c r="C52" s="44">
        <v>72205.40999998001</v>
      </c>
      <c r="D52" s="44">
        <v>75714.58600002</v>
      </c>
      <c r="E52" s="45">
        <v>77117.08499998001</v>
      </c>
      <c r="F52" s="44">
        <v>79665.34499999</v>
      </c>
      <c r="G52" s="44">
        <v>0</v>
      </c>
      <c r="H52" s="44">
        <v>0</v>
      </c>
      <c r="I52" s="44">
        <v>0</v>
      </c>
    </row>
    <row r="53" spans="1:9" ht="15">
      <c r="A53" s="43" t="str">
        <f>HLOOKUP(INDICE!$F$2,Nombres!$C$3:$D$636,68,FALSE)</f>
        <v>Fondos de inversión y carteras gestionadas</v>
      </c>
      <c r="B53" s="44">
        <v>31973.31093321</v>
      </c>
      <c r="C53" s="44">
        <v>33942.19299997</v>
      </c>
      <c r="D53" s="44">
        <v>37239.87531460999</v>
      </c>
      <c r="E53" s="45">
        <v>35613.51563138</v>
      </c>
      <c r="F53" s="44">
        <v>40990.70144334</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2461.04517101</v>
      </c>
      <c r="C55" s="44">
        <v>2965.88928613</v>
      </c>
      <c r="D55" s="44">
        <v>3011.4003447799996</v>
      </c>
      <c r="E55" s="45">
        <v>2582.00699414</v>
      </c>
      <c r="F55" s="44">
        <v>3417.5962243599997</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2004.8197207761175</v>
      </c>
      <c r="C64" s="41">
        <v>2071.0727860317256</v>
      </c>
      <c r="D64" s="41">
        <v>2293.164882039968</v>
      </c>
      <c r="E64" s="42">
        <v>2488.1790024794254</v>
      </c>
      <c r="F64" s="50">
        <v>2589.49323296</v>
      </c>
      <c r="G64" s="50">
        <v>0</v>
      </c>
      <c r="H64" s="50">
        <v>0</v>
      </c>
      <c r="I64" s="50">
        <v>0</v>
      </c>
    </row>
    <row r="65" spans="1:9" ht="15">
      <c r="A65" s="43" t="str">
        <f>HLOOKUP(INDICE!$F$2,Nombres!$C$3:$D$636,34,FALSE)</f>
        <v>Comisiones netas</v>
      </c>
      <c r="B65" s="44">
        <v>394.48649748917774</v>
      </c>
      <c r="C65" s="44">
        <v>429.1983750299219</v>
      </c>
      <c r="D65" s="44">
        <v>441.40546430046606</v>
      </c>
      <c r="E65" s="45">
        <v>452.99567061034344</v>
      </c>
      <c r="F65" s="44">
        <v>482.70008304</v>
      </c>
      <c r="G65" s="44">
        <v>0</v>
      </c>
      <c r="H65" s="44">
        <v>0</v>
      </c>
      <c r="I65" s="44">
        <v>0</v>
      </c>
    </row>
    <row r="66" spans="1:9" ht="15">
      <c r="A66" s="43" t="str">
        <f>HLOOKUP(INDICE!$F$2,Nombres!$C$3:$D$636,35,FALSE)</f>
        <v>Resultados de operaciones financieras</v>
      </c>
      <c r="B66" s="44">
        <v>105.40064511279326</v>
      </c>
      <c r="C66" s="44">
        <v>146.08190575423924</v>
      </c>
      <c r="D66" s="44">
        <v>96.48603741092302</v>
      </c>
      <c r="E66" s="45">
        <v>116.49847282836731</v>
      </c>
      <c r="F66" s="44">
        <v>148.75250654</v>
      </c>
      <c r="G66" s="44">
        <v>0</v>
      </c>
      <c r="H66" s="44">
        <v>0</v>
      </c>
      <c r="I66" s="44">
        <v>0</v>
      </c>
    </row>
    <row r="67" spans="1:9" ht="15">
      <c r="A67" s="43" t="str">
        <f>HLOOKUP(INDICE!$F$2,Nombres!$C$3:$D$636,36,FALSE)</f>
        <v>Otros ingresos y cargas de explotación</v>
      </c>
      <c r="B67" s="44">
        <v>55.34970649485685</v>
      </c>
      <c r="C67" s="44">
        <v>115.13797170740598</v>
      </c>
      <c r="D67" s="44">
        <v>86.42199891835679</v>
      </c>
      <c r="E67" s="45">
        <v>50.64733967564993</v>
      </c>
      <c r="F67" s="44">
        <v>85.52299998999992</v>
      </c>
      <c r="G67" s="44">
        <v>0</v>
      </c>
      <c r="H67" s="44">
        <v>0</v>
      </c>
      <c r="I67" s="44">
        <v>0</v>
      </c>
    </row>
    <row r="68" spans="1:9" ht="15">
      <c r="A68" s="41" t="str">
        <f>HLOOKUP(INDICE!$F$2,Nombres!$C$3:$D$636,37,FALSE)</f>
        <v>Margen bruto</v>
      </c>
      <c r="B68" s="41">
        <f>+SUM(B64:B67)</f>
        <v>2560.0565698729456</v>
      </c>
      <c r="C68" s="41">
        <f aca="true" t="shared" si="9" ref="C68:I68">+SUM(C64:C67)</f>
        <v>2761.491038523293</v>
      </c>
      <c r="D68" s="41">
        <f t="shared" si="9"/>
        <v>2917.4783826697135</v>
      </c>
      <c r="E68" s="42">
        <f t="shared" si="9"/>
        <v>3108.3204855937865</v>
      </c>
      <c r="F68" s="50">
        <f t="shared" si="9"/>
        <v>3306.4688225299997</v>
      </c>
      <c r="G68" s="50">
        <f t="shared" si="9"/>
        <v>0</v>
      </c>
      <c r="H68" s="50">
        <f t="shared" si="9"/>
        <v>0</v>
      </c>
      <c r="I68" s="50">
        <f t="shared" si="9"/>
        <v>0</v>
      </c>
    </row>
    <row r="69" spans="1:9" ht="15">
      <c r="A69" s="43" t="str">
        <f>HLOOKUP(INDICE!$F$2,Nombres!$C$3:$D$636,38,FALSE)</f>
        <v>Gastos de explotación</v>
      </c>
      <c r="B69" s="44">
        <v>-853.8240639875996</v>
      </c>
      <c r="C69" s="44">
        <v>-863.3225417556573</v>
      </c>
      <c r="D69" s="44">
        <v>-909.956809741388</v>
      </c>
      <c r="E69" s="45">
        <v>-964.4097903585891</v>
      </c>
      <c r="F69" s="44">
        <v>-988.21617421</v>
      </c>
      <c r="G69" s="44">
        <v>0</v>
      </c>
      <c r="H69" s="44">
        <v>0</v>
      </c>
      <c r="I69" s="44">
        <v>0</v>
      </c>
    </row>
    <row r="70" spans="1:9" ht="15">
      <c r="A70" s="43" t="str">
        <f>HLOOKUP(INDICE!$F$2,Nombres!$C$3:$D$636,39,FALSE)</f>
        <v>  Gastos de administración</v>
      </c>
      <c r="B70" s="44">
        <v>-750.0116395565344</v>
      </c>
      <c r="C70" s="44">
        <v>-759.2883495613444</v>
      </c>
      <c r="D70" s="44">
        <v>-804.8641644226469</v>
      </c>
      <c r="E70" s="45">
        <v>-856.9658796722085</v>
      </c>
      <c r="F70" s="44">
        <v>-879.6113971899999</v>
      </c>
      <c r="G70" s="44">
        <v>0</v>
      </c>
      <c r="H70" s="44">
        <v>0</v>
      </c>
      <c r="I70" s="44">
        <v>0</v>
      </c>
    </row>
    <row r="71" spans="1:9" ht="15">
      <c r="A71" s="46" t="str">
        <f>HLOOKUP(INDICE!$F$2,Nombres!$C$3:$D$636,40,FALSE)</f>
        <v>  Gastos de personal</v>
      </c>
      <c r="B71" s="44">
        <v>-380.3967979650465</v>
      </c>
      <c r="C71" s="44">
        <v>-387.21055299535465</v>
      </c>
      <c r="D71" s="44">
        <v>-424.57949097658627</v>
      </c>
      <c r="E71" s="45">
        <v>-462.61970482348994</v>
      </c>
      <c r="F71" s="44">
        <v>-455.43766277</v>
      </c>
      <c r="G71" s="44">
        <v>0</v>
      </c>
      <c r="H71" s="44">
        <v>0</v>
      </c>
      <c r="I71" s="44">
        <v>0</v>
      </c>
    </row>
    <row r="72" spans="1:9" ht="15">
      <c r="A72" s="46" t="str">
        <f>HLOOKUP(INDICE!$F$2,Nombres!$C$3:$D$636,41,FALSE)</f>
        <v>  Otros gastos de administración</v>
      </c>
      <c r="B72" s="44">
        <v>-369.6148415914878</v>
      </c>
      <c r="C72" s="44">
        <v>-372.0777965659896</v>
      </c>
      <c r="D72" s="44">
        <v>-380.28467344606065</v>
      </c>
      <c r="E72" s="45">
        <v>-394.34617484871865</v>
      </c>
      <c r="F72" s="44">
        <v>-424.17373441999996</v>
      </c>
      <c r="G72" s="44">
        <v>0</v>
      </c>
      <c r="H72" s="44">
        <v>0</v>
      </c>
      <c r="I72" s="44">
        <v>0</v>
      </c>
    </row>
    <row r="73" spans="1:9" ht="15">
      <c r="A73" s="43" t="str">
        <f>HLOOKUP(INDICE!$F$2,Nombres!$C$3:$D$636,42,FALSE)</f>
        <v>  Amortización</v>
      </c>
      <c r="B73" s="44">
        <v>-103.81242443106535</v>
      </c>
      <c r="C73" s="44">
        <v>-104.034192194313</v>
      </c>
      <c r="D73" s="44">
        <v>-105.09264531874099</v>
      </c>
      <c r="E73" s="45">
        <v>-107.44391068638049</v>
      </c>
      <c r="F73" s="44">
        <v>-108.60477702</v>
      </c>
      <c r="G73" s="44">
        <v>0</v>
      </c>
      <c r="H73" s="44">
        <v>0</v>
      </c>
      <c r="I73" s="44">
        <v>0</v>
      </c>
    </row>
    <row r="74" spans="1:9" ht="15">
      <c r="A74" s="41" t="str">
        <f>HLOOKUP(INDICE!$F$2,Nombres!$C$3:$D$636,43,FALSE)</f>
        <v>Margen neto</v>
      </c>
      <c r="B74" s="41">
        <f>+B68+B69</f>
        <v>1706.232505885346</v>
      </c>
      <c r="C74" s="41">
        <f aca="true" t="shared" si="10" ref="C74:I74">+C68+C69</f>
        <v>1898.1684967676356</v>
      </c>
      <c r="D74" s="41">
        <f t="shared" si="10"/>
        <v>2007.5215729283254</v>
      </c>
      <c r="E74" s="42">
        <f t="shared" si="10"/>
        <v>2143.9106952351976</v>
      </c>
      <c r="F74" s="50">
        <f t="shared" si="10"/>
        <v>2318.25264832</v>
      </c>
      <c r="G74" s="50">
        <f t="shared" si="10"/>
        <v>0</v>
      </c>
      <c r="H74" s="50">
        <f t="shared" si="10"/>
        <v>0</v>
      </c>
      <c r="I74" s="50">
        <f t="shared" si="10"/>
        <v>0</v>
      </c>
    </row>
    <row r="75" spans="1:9" ht="15">
      <c r="A75" s="43" t="str">
        <f>HLOOKUP(INDICE!$F$2,Nombres!$C$3:$D$636,44,FALSE)</f>
        <v>Deterioro de activos financieros no valorados a valor razonable con cambios en resultados</v>
      </c>
      <c r="B75" s="44">
        <v>-480.3692862141287</v>
      </c>
      <c r="C75" s="44">
        <v>-410.0644747215224</v>
      </c>
      <c r="D75" s="44">
        <v>-482.629407307005</v>
      </c>
      <c r="E75" s="45">
        <v>-416.594119533136</v>
      </c>
      <c r="F75" s="44">
        <v>-549.4839999200001</v>
      </c>
      <c r="G75" s="44">
        <v>0</v>
      </c>
      <c r="H75" s="44">
        <v>0</v>
      </c>
      <c r="I75" s="44">
        <v>0</v>
      </c>
    </row>
    <row r="76" spans="1:9" ht="15">
      <c r="A76" s="43" t="str">
        <f>HLOOKUP(INDICE!$F$2,Nombres!$C$3:$D$636,45,FALSE)</f>
        <v>Provisiones o reversión de provisiones y otros resultados</v>
      </c>
      <c r="B76" s="44">
        <v>-1.456842909355899</v>
      </c>
      <c r="C76" s="44">
        <v>-8.346345071820052</v>
      </c>
      <c r="D76" s="44">
        <v>-38.82047084207265</v>
      </c>
      <c r="E76" s="45">
        <v>23.39967812859276</v>
      </c>
      <c r="F76" s="44">
        <v>-0.778999989999992</v>
      </c>
      <c r="G76" s="44">
        <v>0</v>
      </c>
      <c r="H76" s="44">
        <v>0</v>
      </c>
      <c r="I76" s="44">
        <v>0</v>
      </c>
    </row>
    <row r="77" spans="1:9" ht="15">
      <c r="A77" s="41" t="str">
        <f>HLOOKUP(INDICE!$F$2,Nombres!$C$3:$D$636,46,FALSE)</f>
        <v>Resultado antes de impuestos</v>
      </c>
      <c r="B77" s="41">
        <f>+B74+B75+B76</f>
        <v>1224.4063767618616</v>
      </c>
      <c r="C77" s="41">
        <f aca="true" t="shared" si="11" ref="C77:I77">+C74+C75+C76</f>
        <v>1479.7576769742932</v>
      </c>
      <c r="D77" s="41">
        <f t="shared" si="11"/>
        <v>1486.0716947792478</v>
      </c>
      <c r="E77" s="42">
        <f t="shared" si="11"/>
        <v>1750.7162538306543</v>
      </c>
      <c r="F77" s="50">
        <f t="shared" si="11"/>
        <v>1767.9896484099997</v>
      </c>
      <c r="G77" s="50">
        <f t="shared" si="11"/>
        <v>0</v>
      </c>
      <c r="H77" s="50">
        <f t="shared" si="11"/>
        <v>0</v>
      </c>
      <c r="I77" s="50">
        <f t="shared" si="11"/>
        <v>0</v>
      </c>
    </row>
    <row r="78" spans="1:9" ht="15">
      <c r="A78" s="43" t="str">
        <f>HLOOKUP(INDICE!$F$2,Nombres!$C$3:$D$636,47,FALSE)</f>
        <v>Impuesto sobre beneficios</v>
      </c>
      <c r="B78" s="44">
        <v>-333.4814843886595</v>
      </c>
      <c r="C78" s="44">
        <v>-400.5312979301049</v>
      </c>
      <c r="D78" s="44">
        <v>-317.81481840842935</v>
      </c>
      <c r="E78" s="45">
        <v>-520.9316333353912</v>
      </c>
      <c r="F78" s="44">
        <v>-483.07931976000003</v>
      </c>
      <c r="G78" s="44">
        <v>0</v>
      </c>
      <c r="H78" s="44">
        <v>0</v>
      </c>
      <c r="I78" s="44">
        <v>0</v>
      </c>
    </row>
    <row r="79" spans="1:9" ht="15">
      <c r="A79" s="41" t="str">
        <f>HLOOKUP(INDICE!$F$2,Nombres!$C$3:$D$636,48,FALSE)</f>
        <v>Resultado del ejercicio</v>
      </c>
      <c r="B79" s="41">
        <f>+B77+B78</f>
        <v>890.924892373202</v>
      </c>
      <c r="C79" s="41">
        <f aca="true" t="shared" si="12" ref="C79:I79">+C77+C78</f>
        <v>1079.2263790441882</v>
      </c>
      <c r="D79" s="41">
        <f t="shared" si="12"/>
        <v>1168.2568763708184</v>
      </c>
      <c r="E79" s="42">
        <f t="shared" si="12"/>
        <v>1229.784620495263</v>
      </c>
      <c r="F79" s="50">
        <f t="shared" si="12"/>
        <v>1284.9103286499997</v>
      </c>
      <c r="G79" s="50">
        <f t="shared" si="12"/>
        <v>0</v>
      </c>
      <c r="H79" s="50">
        <f t="shared" si="12"/>
        <v>0</v>
      </c>
      <c r="I79" s="50">
        <f t="shared" si="12"/>
        <v>0</v>
      </c>
    </row>
    <row r="80" spans="1:9" ht="15">
      <c r="A80" s="43" t="str">
        <f>HLOOKUP(INDICE!$F$2,Nombres!$C$3:$D$636,49,FALSE)</f>
        <v>Minoritarios</v>
      </c>
      <c r="B80" s="44">
        <v>-0.15830261534733395</v>
      </c>
      <c r="C80" s="44">
        <v>-0.19220613685692411</v>
      </c>
      <c r="D80" s="44">
        <v>-0.21624568125187207</v>
      </c>
      <c r="E80" s="45">
        <v>-0.22400573249536132</v>
      </c>
      <c r="F80" s="44">
        <v>-0.23399999999999999</v>
      </c>
      <c r="G80" s="44">
        <v>0</v>
      </c>
      <c r="H80" s="44">
        <v>0</v>
      </c>
      <c r="I80" s="44">
        <v>0</v>
      </c>
    </row>
    <row r="81" spans="1:9" ht="15">
      <c r="A81" s="47" t="str">
        <f>HLOOKUP(INDICE!$F$2,Nombres!$C$3:$D$636,50,FALSE)</f>
        <v>Resultado atribuido</v>
      </c>
      <c r="B81" s="47">
        <f>+B79+B80</f>
        <v>890.7665897578547</v>
      </c>
      <c r="C81" s="47">
        <f aca="true" t="shared" si="13" ref="C81:I81">+C79+C80</f>
        <v>1079.0341729073314</v>
      </c>
      <c r="D81" s="47">
        <f t="shared" si="13"/>
        <v>1168.0406306895666</v>
      </c>
      <c r="E81" s="47">
        <f t="shared" si="13"/>
        <v>1229.5606147627675</v>
      </c>
      <c r="F81" s="51">
        <f t="shared" si="13"/>
        <v>1284.6763286499997</v>
      </c>
      <c r="G81" s="51">
        <f t="shared" si="13"/>
        <v>0</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16789.649324366885</v>
      </c>
      <c r="C87" s="44">
        <v>17707.94589412836</v>
      </c>
      <c r="D87" s="44">
        <v>16580.483425088172</v>
      </c>
      <c r="E87" s="45">
        <v>14047.691374738642</v>
      </c>
      <c r="F87" s="44">
        <v>12725.842999999999</v>
      </c>
      <c r="G87" s="44">
        <v>0</v>
      </c>
      <c r="H87" s="44">
        <v>0</v>
      </c>
      <c r="I87" s="44">
        <v>0</v>
      </c>
    </row>
    <row r="88" spans="1:9" ht="15">
      <c r="A88" s="43" t="str">
        <f>HLOOKUP(INDICE!$F$2,Nombres!$C$3:$D$636,53,FALSE)</f>
        <v>Activos financieros a valor razonable</v>
      </c>
      <c r="B88" s="58">
        <v>48681.7145879805</v>
      </c>
      <c r="C88" s="58">
        <v>49282.66742405249</v>
      </c>
      <c r="D88" s="58">
        <v>50781.39857054042</v>
      </c>
      <c r="E88" s="64">
        <v>49460.580855152344</v>
      </c>
      <c r="F88" s="44">
        <v>48366.31799999</v>
      </c>
      <c r="G88" s="44">
        <v>0</v>
      </c>
      <c r="H88" s="44">
        <v>0</v>
      </c>
      <c r="I88" s="44">
        <v>0</v>
      </c>
    </row>
    <row r="89" spans="1:9" ht="15">
      <c r="A89" s="43" t="str">
        <f>HLOOKUP(INDICE!$F$2,Nombres!$C$3:$D$636,54,FALSE)</f>
        <v>Activos financieros a coste amortizado</v>
      </c>
      <c r="B89" s="44">
        <v>72683.26331281713</v>
      </c>
      <c r="C89" s="44">
        <v>76522.61999025046</v>
      </c>
      <c r="D89" s="44">
        <v>78324.98681794759</v>
      </c>
      <c r="E89" s="45">
        <v>81973.96685834059</v>
      </c>
      <c r="F89" s="44">
        <v>84617.33699992999</v>
      </c>
      <c r="G89" s="44">
        <v>0</v>
      </c>
      <c r="H89" s="44">
        <v>0</v>
      </c>
      <c r="I89" s="44">
        <v>0</v>
      </c>
    </row>
    <row r="90" spans="1:9" ht="15">
      <c r="A90" s="43" t="str">
        <f>HLOOKUP(INDICE!$F$2,Nombres!$C$3:$D$636,55,FALSE)</f>
        <v>    de los que préstamos y anticipos a la clientela</v>
      </c>
      <c r="B90" s="44">
        <v>67861.66547982304</v>
      </c>
      <c r="C90" s="44">
        <v>71069.80518917501</v>
      </c>
      <c r="D90" s="44">
        <v>73088.81815625685</v>
      </c>
      <c r="E90" s="45">
        <v>75644.17850450108</v>
      </c>
      <c r="F90" s="44">
        <v>77276.86599995</v>
      </c>
      <c r="G90" s="44">
        <v>0</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1991.6397707342971</v>
      </c>
      <c r="C92" s="44">
        <v>1978.9283330497851</v>
      </c>
      <c r="D92" s="44">
        <v>1993.3341497300753</v>
      </c>
      <c r="E92" s="45">
        <v>2091.445015254025</v>
      </c>
      <c r="F92" s="44">
        <v>2097.62799999</v>
      </c>
      <c r="G92" s="44">
        <v>0</v>
      </c>
      <c r="H92" s="44">
        <v>0</v>
      </c>
      <c r="I92" s="44">
        <v>0</v>
      </c>
    </row>
    <row r="93" spans="1:9" ht="15">
      <c r="A93" s="43" t="str">
        <f>HLOOKUP(INDICE!$F$2,Nombres!$C$3:$D$636,57,FALSE)</f>
        <v>Otros activos</v>
      </c>
      <c r="B93" s="58">
        <f>+B94-B92-B89-B88-B87</f>
        <v>3453.2746073364506</v>
      </c>
      <c r="C93" s="58">
        <f aca="true" t="shared" si="15" ref="C93:I93">+C94-C92-C89-C88-C87</f>
        <v>3803.5773386639266</v>
      </c>
      <c r="D93" s="58">
        <f t="shared" si="15"/>
        <v>3753.350335433406</v>
      </c>
      <c r="E93" s="64">
        <f t="shared" si="15"/>
        <v>3815.605121363369</v>
      </c>
      <c r="F93" s="44">
        <f t="shared" si="15"/>
        <v>4147.845876789996</v>
      </c>
      <c r="G93" s="44">
        <f t="shared" si="15"/>
        <v>0</v>
      </c>
      <c r="H93" s="44">
        <f t="shared" si="15"/>
        <v>0</v>
      </c>
      <c r="I93" s="44">
        <f t="shared" si="15"/>
        <v>0</v>
      </c>
    </row>
    <row r="94" spans="1:9" ht="15">
      <c r="A94" s="47" t="str">
        <f>HLOOKUP(INDICE!$F$2,Nombres!$C$3:$D$636,58,FALSE)</f>
        <v>Total activo / pasivo</v>
      </c>
      <c r="B94" s="47">
        <v>143599.54160323527</v>
      </c>
      <c r="C94" s="47">
        <v>149295.73898014502</v>
      </c>
      <c r="D94" s="47">
        <v>151433.55329873966</v>
      </c>
      <c r="E94" s="47">
        <v>151389.28922484897</v>
      </c>
      <c r="F94" s="51">
        <v>151954.9718767</v>
      </c>
      <c r="G94" s="51">
        <v>0</v>
      </c>
      <c r="H94" s="51">
        <v>0</v>
      </c>
      <c r="I94" s="51">
        <v>0</v>
      </c>
    </row>
    <row r="95" spans="1:9" ht="15">
      <c r="A95" s="43" t="str">
        <f>HLOOKUP(INDICE!$F$2,Nombres!$C$3:$D$636,59,FALSE)</f>
        <v>Pasivos financieros mantenidos para negociar y designados a valor razonable con cambios en resultados</v>
      </c>
      <c r="B95" s="58">
        <v>25615.74054954125</v>
      </c>
      <c r="C95" s="58">
        <v>28603.95659602167</v>
      </c>
      <c r="D95" s="58">
        <v>30800.955833407887</v>
      </c>
      <c r="E95" s="64">
        <v>27440.709179863963</v>
      </c>
      <c r="F95" s="44">
        <v>28035.307999999994</v>
      </c>
      <c r="G95" s="44">
        <v>0</v>
      </c>
      <c r="H95" s="44">
        <v>0</v>
      </c>
      <c r="I95" s="44">
        <v>0</v>
      </c>
    </row>
    <row r="96" spans="1:9" ht="15">
      <c r="A96" s="43" t="str">
        <f>HLOOKUP(INDICE!$F$2,Nombres!$C$3:$D$636,60,FALSE)</f>
        <v>Depósitos de bancos centrales y entidades de crédito</v>
      </c>
      <c r="B96" s="58">
        <v>3146.6057171161146</v>
      </c>
      <c r="C96" s="58">
        <v>5487.409110038792</v>
      </c>
      <c r="D96" s="58">
        <v>7319.046267361402</v>
      </c>
      <c r="E96" s="64">
        <v>4674.843004975343</v>
      </c>
      <c r="F96" s="44">
        <v>6861.893999980001</v>
      </c>
      <c r="G96" s="44">
        <v>0</v>
      </c>
      <c r="H96" s="44">
        <v>0</v>
      </c>
      <c r="I96" s="44">
        <v>0</v>
      </c>
    </row>
    <row r="97" spans="1:9" ht="15">
      <c r="A97" s="43" t="str">
        <f>HLOOKUP(INDICE!$F$2,Nombres!$C$3:$D$636,61,FALSE)</f>
        <v>Depósitos de la clientela</v>
      </c>
      <c r="B97" s="58">
        <v>78215.49815103374</v>
      </c>
      <c r="C97" s="58">
        <v>77595.7224742113</v>
      </c>
      <c r="D97" s="58">
        <v>76623.39815376762</v>
      </c>
      <c r="E97" s="64">
        <v>82567.37711672031</v>
      </c>
      <c r="F97" s="44">
        <v>80171.88699998999</v>
      </c>
      <c r="G97" s="44">
        <v>0</v>
      </c>
      <c r="H97" s="44">
        <v>0</v>
      </c>
      <c r="I97" s="44">
        <v>0</v>
      </c>
    </row>
    <row r="98" spans="1:9" ht="15">
      <c r="A98" s="43" t="str">
        <f>HLOOKUP(INDICE!$F$2,Nombres!$C$3:$D$636,62,FALSE)</f>
        <v>Valores representativos de deuda emitidos</v>
      </c>
      <c r="B98" s="44">
        <v>9319.696783064635</v>
      </c>
      <c r="C98" s="44">
        <v>9984.475081407922</v>
      </c>
      <c r="D98" s="44">
        <v>8510.703076182137</v>
      </c>
      <c r="E98" s="45">
        <v>8238.17378825339</v>
      </c>
      <c r="F98" s="44">
        <v>8317.28095609</v>
      </c>
      <c r="G98" s="44">
        <v>0</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18482.416100806367</v>
      </c>
      <c r="C100" s="58">
        <f aca="true" t="shared" si="16" ref="C100:I100">+C94-C95-C96-C97-C98-C101</f>
        <v>18071.30508092954</v>
      </c>
      <c r="D100" s="58">
        <f t="shared" si="16"/>
        <v>18542.822279455297</v>
      </c>
      <c r="E100" s="64">
        <f t="shared" si="16"/>
        <v>18028.306169706033</v>
      </c>
      <c r="F100" s="44">
        <f t="shared" si="16"/>
        <v>19224.407281450018</v>
      </c>
      <c r="G100" s="44">
        <f t="shared" si="16"/>
        <v>0</v>
      </c>
      <c r="H100" s="44">
        <f t="shared" si="16"/>
        <v>0</v>
      </c>
      <c r="I100" s="44">
        <f t="shared" si="16"/>
        <v>0</v>
      </c>
    </row>
    <row r="101" spans="1:9" ht="15">
      <c r="A101" s="43" t="str">
        <f>HLOOKUP(INDICE!$F$2,Nombres!$C$3:$D$636,282,FALSE)</f>
        <v>Dotación de capital regulatorio</v>
      </c>
      <c r="B101" s="44">
        <v>8819.584301673163</v>
      </c>
      <c r="C101" s="44">
        <v>9552.870637535796</v>
      </c>
      <c r="D101" s="44">
        <v>9636.627688565324</v>
      </c>
      <c r="E101" s="64">
        <v>10439.879965329934</v>
      </c>
      <c r="F101" s="44">
        <v>9344.19463919</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Indicadores relevantes y de gestión</v>
      </c>
      <c r="B104" s="66"/>
      <c r="C104" s="66"/>
      <c r="D104" s="66"/>
      <c r="E104" s="66"/>
      <c r="F104" s="71"/>
      <c r="G104" s="71"/>
      <c r="H104" s="71"/>
      <c r="I104" s="71"/>
    </row>
    <row r="105" spans="1:9" ht="15">
      <c r="A105" s="35" t="str">
        <f>HLOOKUP(INDICE!$F$2,Nombres!$C$3:$D$636,73,FALSE)</f>
        <v>(Millones de euros constantes)</v>
      </c>
      <c r="B105" s="30"/>
      <c r="C105" s="30"/>
      <c r="D105" s="30"/>
      <c r="E105" s="30"/>
      <c r="F105" s="69"/>
      <c r="G105" s="69"/>
      <c r="H105" s="69"/>
      <c r="I105" s="69"/>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70378.55952069811</v>
      </c>
      <c r="C107" s="44">
        <v>73656.9242749124</v>
      </c>
      <c r="D107" s="44">
        <v>75774.55983158232</v>
      </c>
      <c r="E107" s="45">
        <v>78294.88762212775</v>
      </c>
      <c r="F107" s="44">
        <v>79947.83199998</v>
      </c>
      <c r="G107" s="44">
        <v>0</v>
      </c>
      <c r="H107" s="44">
        <v>0</v>
      </c>
      <c r="I107" s="44">
        <v>0</v>
      </c>
    </row>
    <row r="108" spans="1:9" ht="15">
      <c r="A108" s="43" t="str">
        <f>HLOOKUP(INDICE!$F$2,Nombres!$C$3:$D$636,67,FALSE)</f>
        <v>Depósitos de clientes en gestión (**)</v>
      </c>
      <c r="B108" s="44">
        <v>77942.7786895631</v>
      </c>
      <c r="C108" s="44">
        <v>77076.53243440142</v>
      </c>
      <c r="D108" s="44">
        <v>75714.97152821846</v>
      </c>
      <c r="E108" s="45">
        <v>81895.08354470547</v>
      </c>
      <c r="F108" s="44">
        <v>79665.34499999</v>
      </c>
      <c r="G108" s="44">
        <v>0</v>
      </c>
      <c r="H108" s="44">
        <v>0</v>
      </c>
      <c r="I108" s="44">
        <v>0</v>
      </c>
    </row>
    <row r="109" spans="1:9" ht="15">
      <c r="A109" s="43" t="str">
        <f>HLOOKUP(INDICE!$F$2,Nombres!$C$3:$D$636,68,FALSE)</f>
        <v>Fondos de inversión y carteras gestionadas</v>
      </c>
      <c r="B109" s="44">
        <v>35963.78826580437</v>
      </c>
      <c r="C109" s="44">
        <v>36232.00172476862</v>
      </c>
      <c r="D109" s="44">
        <v>37240.06493490378</v>
      </c>
      <c r="E109" s="45">
        <v>37820.04776183249</v>
      </c>
      <c r="F109" s="44">
        <v>40990.70144334</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2768.1996283610406</v>
      </c>
      <c r="C111" s="44">
        <v>3165.974152896659</v>
      </c>
      <c r="D111" s="44">
        <v>3011.415678413994</v>
      </c>
      <c r="E111" s="45">
        <v>2741.982253325109</v>
      </c>
      <c r="F111" s="44">
        <v>3417.5962243599997</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8">
        <f>+B$6</f>
        <v>2022</v>
      </c>
      <c r="C118" s="298"/>
      <c r="D118" s="298"/>
      <c r="E118" s="299"/>
      <c r="F118" s="298">
        <f>+F$6</f>
        <v>2023</v>
      </c>
      <c r="G118" s="298"/>
      <c r="H118" s="298"/>
      <c r="I118" s="298"/>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40182.844246325636</v>
      </c>
      <c r="C120" s="41">
        <v>41510.76244985225</v>
      </c>
      <c r="D120" s="41">
        <v>45962.18120324737</v>
      </c>
      <c r="E120" s="42">
        <v>49870.8728158874</v>
      </c>
      <c r="F120" s="50">
        <v>51901.52619641244</v>
      </c>
      <c r="G120" s="50">
        <v>0</v>
      </c>
      <c r="H120" s="50">
        <v>0</v>
      </c>
      <c r="I120" s="50">
        <v>0</v>
      </c>
    </row>
    <row r="121" spans="1:9" ht="15">
      <c r="A121" s="43" t="str">
        <f>HLOOKUP(INDICE!$F$2,Nombres!$C$3:$D$636,34,FALSE)</f>
        <v>Comisiones netas</v>
      </c>
      <c r="B121" s="44">
        <v>7906.740601967742</v>
      </c>
      <c r="C121" s="44">
        <v>8602.474963647543</v>
      </c>
      <c r="D121" s="44">
        <v>8847.14313095257</v>
      </c>
      <c r="E121" s="45">
        <v>9079.447038434224</v>
      </c>
      <c r="F121" s="44">
        <v>9674.816170990167</v>
      </c>
      <c r="G121" s="44">
        <v>0</v>
      </c>
      <c r="H121" s="44">
        <v>0</v>
      </c>
      <c r="I121" s="44">
        <v>0</v>
      </c>
    </row>
    <row r="122" spans="1:9" ht="15">
      <c r="A122" s="43" t="str">
        <f>HLOOKUP(INDICE!$F$2,Nombres!$C$3:$D$636,35,FALSE)</f>
        <v>Resultados de operaciones financieras</v>
      </c>
      <c r="B122" s="44">
        <v>2112.55788345399</v>
      </c>
      <c r="C122" s="44">
        <v>2927.937312915394</v>
      </c>
      <c r="D122" s="44">
        <v>1933.8813226195452</v>
      </c>
      <c r="E122" s="45">
        <v>2334.992987192312</v>
      </c>
      <c r="F122" s="44">
        <v>2981.4644876065913</v>
      </c>
      <c r="G122" s="44">
        <v>0</v>
      </c>
      <c r="H122" s="44">
        <v>0</v>
      </c>
      <c r="I122" s="44">
        <v>0</v>
      </c>
    </row>
    <row r="123" spans="1:9" ht="15">
      <c r="A123" s="43" t="str">
        <f>HLOOKUP(INDICE!$F$2,Nombres!$C$3:$D$636,36,FALSE)</f>
        <v>Otros ingresos y cargas de explotación</v>
      </c>
      <c r="B123" s="44">
        <v>1109.3808645805143</v>
      </c>
      <c r="C123" s="44">
        <v>2307.7242986045017</v>
      </c>
      <c r="D123" s="44">
        <v>1732.1665813662603</v>
      </c>
      <c r="E123" s="45">
        <v>1015.1307574376591</v>
      </c>
      <c r="F123" s="44">
        <v>1714.1478370665136</v>
      </c>
      <c r="G123" s="44">
        <v>0</v>
      </c>
      <c r="H123" s="44">
        <v>0</v>
      </c>
      <c r="I123" s="44">
        <v>0</v>
      </c>
    </row>
    <row r="124" spans="1:9" ht="15">
      <c r="A124" s="41" t="str">
        <f>HLOOKUP(INDICE!$F$2,Nombres!$C$3:$D$636,37,FALSE)</f>
        <v>Margen bruto</v>
      </c>
      <c r="B124" s="41">
        <f>+SUM(B120:B123)</f>
        <v>51311.52359632788</v>
      </c>
      <c r="C124" s="41">
        <f aca="true" t="shared" si="19" ref="C124:I124">+SUM(C120:C123)</f>
        <v>55348.899025019695</v>
      </c>
      <c r="D124" s="41">
        <f t="shared" si="19"/>
        <v>58475.372238185744</v>
      </c>
      <c r="E124" s="42">
        <f t="shared" si="19"/>
        <v>62300.4435989516</v>
      </c>
      <c r="F124" s="50">
        <f t="shared" si="19"/>
        <v>66271.95469207571</v>
      </c>
      <c r="G124" s="50">
        <f t="shared" si="19"/>
        <v>0</v>
      </c>
      <c r="H124" s="50">
        <f t="shared" si="19"/>
        <v>0</v>
      </c>
      <c r="I124" s="50">
        <f t="shared" si="19"/>
        <v>0</v>
      </c>
    </row>
    <row r="125" spans="1:9" ht="15">
      <c r="A125" s="43" t="str">
        <f>HLOOKUP(INDICE!$F$2,Nombres!$C$3:$D$636,38,FALSE)</f>
        <v>Gastos de explotación</v>
      </c>
      <c r="B125" s="44">
        <v>-17113.29902705494</v>
      </c>
      <c r="C125" s="44">
        <v>-17303.67816627415</v>
      </c>
      <c r="D125" s="44">
        <v>-18238.37444224982</v>
      </c>
      <c r="E125" s="45">
        <v>-19329.782121560813</v>
      </c>
      <c r="F125" s="44">
        <v>-19806.93635366262</v>
      </c>
      <c r="G125" s="44">
        <v>0</v>
      </c>
      <c r="H125" s="44">
        <v>0</v>
      </c>
      <c r="I125" s="44">
        <v>0</v>
      </c>
    </row>
    <row r="126" spans="1:9" ht="15">
      <c r="A126" s="43" t="str">
        <f>HLOOKUP(INDICE!$F$2,Nombres!$C$3:$D$636,39,FALSE)</f>
        <v>  Gastos de administración</v>
      </c>
      <c r="B126" s="44">
        <v>-15032.574042899227</v>
      </c>
      <c r="C126" s="44">
        <v>-15218.508264005804</v>
      </c>
      <c r="D126" s="44">
        <v>-16131.989835935936</v>
      </c>
      <c r="E126" s="45">
        <v>-17176.270818980665</v>
      </c>
      <c r="F126" s="44">
        <v>-17630.15766669313</v>
      </c>
      <c r="G126" s="44">
        <v>0</v>
      </c>
      <c r="H126" s="44">
        <v>0</v>
      </c>
      <c r="I126" s="44">
        <v>0</v>
      </c>
    </row>
    <row r="127" spans="1:9" ht="15">
      <c r="A127" s="46" t="str">
        <f>HLOOKUP(INDICE!$F$2,Nombres!$C$3:$D$636,40,FALSE)</f>
        <v>  Gastos de personal</v>
      </c>
      <c r="B127" s="44">
        <v>-7624.339049554582</v>
      </c>
      <c r="C127" s="44">
        <v>-7760.907966090128</v>
      </c>
      <c r="D127" s="44">
        <v>-8509.898111682436</v>
      </c>
      <c r="E127" s="45">
        <v>-9272.342720674656</v>
      </c>
      <c r="F127" s="44">
        <v>-9128.39218277082</v>
      </c>
      <c r="G127" s="44">
        <v>0</v>
      </c>
      <c r="H127" s="44">
        <v>0</v>
      </c>
      <c r="I127" s="44">
        <v>0</v>
      </c>
    </row>
    <row r="128" spans="1:9" ht="15">
      <c r="A128" s="46" t="str">
        <f>HLOOKUP(INDICE!$F$2,Nombres!$C$3:$D$636,41,FALSE)</f>
        <v>  Otros gastos de administración</v>
      </c>
      <c r="B128" s="44">
        <v>-7408.234993344645</v>
      </c>
      <c r="C128" s="44">
        <v>-7457.600297915678</v>
      </c>
      <c r="D128" s="44">
        <v>-7622.0917242535015</v>
      </c>
      <c r="E128" s="45">
        <v>-7903.928098306006</v>
      </c>
      <c r="F128" s="44">
        <v>-8501.765483922307</v>
      </c>
      <c r="G128" s="44">
        <v>0</v>
      </c>
      <c r="H128" s="44">
        <v>0</v>
      </c>
      <c r="I128" s="44">
        <v>0</v>
      </c>
    </row>
    <row r="129" spans="1:9" ht="15">
      <c r="A129" s="43" t="str">
        <f>HLOOKUP(INDICE!$F$2,Nombres!$C$3:$D$636,42,FALSE)</f>
        <v>  Amortización</v>
      </c>
      <c r="B129" s="44">
        <v>-2080.724984155713</v>
      </c>
      <c r="C129" s="44">
        <v>-2085.1699022683433</v>
      </c>
      <c r="D129" s="44">
        <v>-2106.3846063138835</v>
      </c>
      <c r="E129" s="45">
        <v>-2153.5113025801493</v>
      </c>
      <c r="F129" s="44">
        <v>-2176.7786869694946</v>
      </c>
      <c r="G129" s="44">
        <v>0</v>
      </c>
      <c r="H129" s="44">
        <v>0</v>
      </c>
      <c r="I129" s="44">
        <v>0</v>
      </c>
    </row>
    <row r="130" spans="1:9" ht="15">
      <c r="A130" s="41" t="str">
        <f>HLOOKUP(INDICE!$F$2,Nombres!$C$3:$D$636,43,FALSE)</f>
        <v>Margen neto</v>
      </c>
      <c r="B130" s="41">
        <f>+B124+B125</f>
        <v>34198.22456927294</v>
      </c>
      <c r="C130" s="41">
        <f aca="true" t="shared" si="20" ref="C130:I130">+C124+C125</f>
        <v>38045.220858745546</v>
      </c>
      <c r="D130" s="41">
        <f t="shared" si="20"/>
        <v>40236.997795935924</v>
      </c>
      <c r="E130" s="42">
        <f t="shared" si="20"/>
        <v>42970.661477390786</v>
      </c>
      <c r="F130" s="50">
        <f t="shared" si="20"/>
        <v>46465.018338413094</v>
      </c>
      <c r="G130" s="50">
        <f t="shared" si="20"/>
        <v>0</v>
      </c>
      <c r="H130" s="50">
        <f t="shared" si="20"/>
        <v>0</v>
      </c>
      <c r="I130" s="50">
        <f t="shared" si="20"/>
        <v>0</v>
      </c>
    </row>
    <row r="131" spans="1:9" ht="15">
      <c r="A131" s="43" t="str">
        <f>HLOOKUP(INDICE!$F$2,Nombres!$C$3:$D$636,44,FALSE)</f>
        <v>Deterioro de activos financieros no valorados a valor razonable con cambios en resultados</v>
      </c>
      <c r="B131" s="44">
        <v>-9628.09972818325</v>
      </c>
      <c r="C131" s="44">
        <v>-8218.97188456796</v>
      </c>
      <c r="D131" s="44">
        <v>-9673.399608721995</v>
      </c>
      <c r="E131" s="45">
        <v>-8349.84634561291</v>
      </c>
      <c r="F131" s="44">
        <v>-11013.374297857412</v>
      </c>
      <c r="G131" s="44">
        <v>0</v>
      </c>
      <c r="H131" s="44">
        <v>0</v>
      </c>
      <c r="I131" s="44">
        <v>0</v>
      </c>
    </row>
    <row r="132" spans="1:9" ht="15">
      <c r="A132" s="43" t="str">
        <f>HLOOKUP(INDICE!$F$2,Nombres!$C$3:$D$636,45,FALSE)</f>
        <v>Provisiones o reversión de provisiones y otros resultados</v>
      </c>
      <c r="B132" s="44">
        <v>-29.199678709938837</v>
      </c>
      <c r="C132" s="44">
        <v>-167.28680418067643</v>
      </c>
      <c r="D132" s="44">
        <v>-778.0833943573475</v>
      </c>
      <c r="E132" s="45">
        <v>469.0025800880455</v>
      </c>
      <c r="F132" s="44">
        <v>-15.613591058422543</v>
      </c>
      <c r="G132" s="44">
        <v>0</v>
      </c>
      <c r="H132" s="44">
        <v>0</v>
      </c>
      <c r="I132" s="44">
        <v>0</v>
      </c>
    </row>
    <row r="133" spans="1:9" ht="15">
      <c r="A133" s="41" t="str">
        <f>HLOOKUP(INDICE!$F$2,Nombres!$C$3:$D$636,46,FALSE)</f>
        <v>Resultado antes de impuestos</v>
      </c>
      <c r="B133" s="41">
        <f>+B130+B131+B132</f>
        <v>24540.925162379754</v>
      </c>
      <c r="C133" s="41">
        <f aca="true" t="shared" si="21" ref="C133:I133">+C130+C131+C132</f>
        <v>29658.96216999691</v>
      </c>
      <c r="D133" s="41">
        <f t="shared" si="21"/>
        <v>29785.514792856582</v>
      </c>
      <c r="E133" s="42">
        <f t="shared" si="21"/>
        <v>35089.81771186592</v>
      </c>
      <c r="F133" s="50">
        <f t="shared" si="21"/>
        <v>35436.03044949726</v>
      </c>
      <c r="G133" s="50">
        <f t="shared" si="21"/>
        <v>0</v>
      </c>
      <c r="H133" s="50">
        <f t="shared" si="21"/>
        <v>0</v>
      </c>
      <c r="I133" s="50">
        <f t="shared" si="21"/>
        <v>0</v>
      </c>
    </row>
    <row r="134" spans="1:9" ht="15">
      <c r="A134" s="43" t="str">
        <f>HLOOKUP(INDICE!$F$2,Nombres!$C$3:$D$636,47,FALSE)</f>
        <v>Impuesto sobre beneficios</v>
      </c>
      <c r="B134" s="44">
        <v>-6684.0097427989185</v>
      </c>
      <c r="C134" s="44">
        <v>-8027.8972686249635</v>
      </c>
      <c r="D134" s="44">
        <v>-6370.00086089352</v>
      </c>
      <c r="E134" s="45">
        <v>-10441.0957595711</v>
      </c>
      <c r="F134" s="44">
        <v>-9682.417258456699</v>
      </c>
      <c r="G134" s="44">
        <v>0</v>
      </c>
      <c r="H134" s="44">
        <v>0</v>
      </c>
      <c r="I134" s="44">
        <v>0</v>
      </c>
    </row>
    <row r="135" spans="1:9" ht="15">
      <c r="A135" s="41" t="str">
        <f>HLOOKUP(INDICE!$F$2,Nombres!$C$3:$D$636,48,FALSE)</f>
        <v>Resultado del ejercicio</v>
      </c>
      <c r="B135" s="41">
        <f>+B133+B134</f>
        <v>17856.915419580837</v>
      </c>
      <c r="C135" s="41">
        <f aca="true" t="shared" si="22" ref="C135:I135">+C133+C134</f>
        <v>21631.064901371945</v>
      </c>
      <c r="D135" s="41">
        <f t="shared" si="22"/>
        <v>23415.51393196306</v>
      </c>
      <c r="E135" s="42">
        <f t="shared" si="22"/>
        <v>24648.72195229482</v>
      </c>
      <c r="F135" s="50">
        <f t="shared" si="22"/>
        <v>25753.61319104056</v>
      </c>
      <c r="G135" s="50">
        <f t="shared" si="22"/>
        <v>0</v>
      </c>
      <c r="H135" s="50">
        <f t="shared" si="22"/>
        <v>0</v>
      </c>
      <c r="I135" s="50">
        <f t="shared" si="22"/>
        <v>0</v>
      </c>
    </row>
    <row r="136" spans="1:9" ht="15">
      <c r="A136" s="43" t="str">
        <f>HLOOKUP(INDICE!$F$2,Nombres!$C$3:$D$636,49,FALSE)</f>
        <v>Minoritarios</v>
      </c>
      <c r="B136" s="44">
        <v>-3.172878473993358</v>
      </c>
      <c r="C136" s="44">
        <v>-3.852410857929813</v>
      </c>
      <c r="D136" s="44">
        <v>-4.334238355018114</v>
      </c>
      <c r="E136" s="45">
        <v>-4.489774001056112</v>
      </c>
      <c r="F136" s="44">
        <v>-4.690090313956079</v>
      </c>
      <c r="G136" s="44">
        <v>0</v>
      </c>
      <c r="H136" s="44">
        <v>0</v>
      </c>
      <c r="I136" s="44">
        <v>0</v>
      </c>
    </row>
    <row r="137" spans="1:9" ht="15">
      <c r="A137" s="47" t="str">
        <f>HLOOKUP(INDICE!$F$2,Nombres!$C$3:$D$636,50,FALSE)</f>
        <v>Resultado atribuido</v>
      </c>
      <c r="B137" s="47">
        <f>+B135+B136</f>
        <v>17853.742541106843</v>
      </c>
      <c r="C137" s="47">
        <f aca="true" t="shared" si="23" ref="C137:I137">+C135+C136</f>
        <v>21627.212490514015</v>
      </c>
      <c r="D137" s="47">
        <f t="shared" si="23"/>
        <v>23411.179693608043</v>
      </c>
      <c r="E137" s="47">
        <f t="shared" si="23"/>
        <v>24644.232178293765</v>
      </c>
      <c r="F137" s="51">
        <f t="shared" si="23"/>
        <v>25748.923100726603</v>
      </c>
      <c r="G137" s="51">
        <f t="shared" si="23"/>
        <v>0</v>
      </c>
      <c r="H137" s="51">
        <f t="shared" si="23"/>
        <v>0</v>
      </c>
      <c r="I137" s="51">
        <f t="shared" si="23"/>
        <v>0</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HLOOKUP(INDICE!$F$2,Nombres!$C$3:$D$636,74,FALSE)</f>
        <v>(Millones de pesos mexicanos)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329735.28101254924</v>
      </c>
      <c r="C143" s="44">
        <v>347769.8910054877</v>
      </c>
      <c r="D143" s="44">
        <v>325627.43008341675</v>
      </c>
      <c r="E143" s="45">
        <v>275885.42044797464</v>
      </c>
      <c r="F143" s="44">
        <v>249925.37584669385</v>
      </c>
      <c r="G143" s="44">
        <v>0</v>
      </c>
      <c r="H143" s="44">
        <v>0</v>
      </c>
      <c r="I143" s="44">
        <v>0</v>
      </c>
    </row>
    <row r="144" spans="1:9" ht="15">
      <c r="A144" s="43" t="str">
        <f>HLOOKUP(INDICE!$F$2,Nombres!$C$3:$D$636,53,FALSE)</f>
        <v>Activos financieros a valor razonable</v>
      </c>
      <c r="B144" s="58">
        <v>956069.9291404511</v>
      </c>
      <c r="C144" s="58">
        <v>967872.1620786877</v>
      </c>
      <c r="D144" s="58">
        <v>997306.0428109224</v>
      </c>
      <c r="E144" s="64">
        <v>971366.2395347592</v>
      </c>
      <c r="F144" s="44">
        <v>949875.792469561</v>
      </c>
      <c r="G144" s="44">
        <v>0</v>
      </c>
      <c r="H144" s="44">
        <v>0</v>
      </c>
      <c r="I144" s="44">
        <v>0</v>
      </c>
    </row>
    <row r="145" spans="1:9" ht="15">
      <c r="A145" s="43" t="str">
        <f>HLOOKUP(INDICE!$F$2,Nombres!$C$3:$D$636,54,FALSE)</f>
        <v>Activos financieros a coste amortizado</v>
      </c>
      <c r="B145" s="44">
        <v>1427441.1448593258</v>
      </c>
      <c r="C145" s="44">
        <v>1502843.0385191047</v>
      </c>
      <c r="D145" s="44">
        <v>1538240.081121769</v>
      </c>
      <c r="E145" s="45">
        <v>1609903.1299313686</v>
      </c>
      <c r="F145" s="44">
        <v>1661816.8048162984</v>
      </c>
      <c r="G145" s="44">
        <v>0</v>
      </c>
      <c r="H145" s="44">
        <v>0</v>
      </c>
      <c r="I145" s="44">
        <v>0</v>
      </c>
    </row>
    <row r="146" spans="1:9" ht="15">
      <c r="A146" s="43" t="str">
        <f>HLOOKUP(INDICE!$F$2,Nombres!$C$3:$D$636,55,FALSE)</f>
        <v>    de los que préstamos y anticipos a la clientela</v>
      </c>
      <c r="B146" s="44">
        <v>1332748.8206971737</v>
      </c>
      <c r="C146" s="44">
        <v>1395754.1180773547</v>
      </c>
      <c r="D146" s="44">
        <v>1435405.9175406417</v>
      </c>
      <c r="E146" s="45">
        <v>1485591.1504920998</v>
      </c>
      <c r="F146" s="44">
        <v>1517655.8267528606</v>
      </c>
      <c r="G146" s="44">
        <v>0</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39114.211785576204</v>
      </c>
      <c r="C148" s="44">
        <v>38864.56931860144</v>
      </c>
      <c r="D148" s="44">
        <v>39147.488033550224</v>
      </c>
      <c r="E148" s="45">
        <v>41074.306943756616</v>
      </c>
      <c r="F148" s="44">
        <v>41195.7358175839</v>
      </c>
      <c r="G148" s="44">
        <v>0</v>
      </c>
      <c r="H148" s="44">
        <v>0</v>
      </c>
      <c r="I148" s="44">
        <v>0</v>
      </c>
    </row>
    <row r="149" spans="1:9" ht="15">
      <c r="A149" s="43" t="str">
        <f>HLOOKUP(INDICE!$F$2,Nombres!$C$3:$D$636,57,FALSE)</f>
        <v>Otros activos</v>
      </c>
      <c r="B149" s="58">
        <f>+B150-B148-B145-B144-B143</f>
        <v>67819.55066869996</v>
      </c>
      <c r="C149" s="58">
        <f aca="true" t="shared" si="25" ref="C149:I149">+C150-C148-C145-C144-C143</f>
        <v>74699.21606981609</v>
      </c>
      <c r="D149" s="58">
        <f t="shared" si="25"/>
        <v>73712.79790796619</v>
      </c>
      <c r="E149" s="64">
        <f t="shared" si="25"/>
        <v>74935.43209980644</v>
      </c>
      <c r="F149" s="44">
        <f t="shared" si="25"/>
        <v>81460.37474381112</v>
      </c>
      <c r="G149" s="44">
        <f t="shared" si="25"/>
        <v>0</v>
      </c>
      <c r="H149" s="44">
        <f t="shared" si="25"/>
        <v>0</v>
      </c>
      <c r="I149" s="44">
        <f t="shared" si="25"/>
        <v>0</v>
      </c>
    </row>
    <row r="150" spans="1:9" ht="15">
      <c r="A150" s="47" t="str">
        <f>HLOOKUP(INDICE!$F$2,Nombres!$C$3:$D$636,58,FALSE)</f>
        <v>Total activo / pasivo</v>
      </c>
      <c r="B150" s="47">
        <v>2820180.1174666025</v>
      </c>
      <c r="C150" s="47">
        <v>2932048.8769916976</v>
      </c>
      <c r="D150" s="47">
        <v>2974033.8399576247</v>
      </c>
      <c r="E150" s="47">
        <v>2973164.5289576654</v>
      </c>
      <c r="F150" s="51">
        <v>2984274.083693948</v>
      </c>
      <c r="G150" s="51">
        <v>0</v>
      </c>
      <c r="H150" s="51">
        <v>0</v>
      </c>
      <c r="I150" s="51">
        <v>0</v>
      </c>
    </row>
    <row r="151" spans="1:9" ht="15">
      <c r="A151" s="43" t="str">
        <f>HLOOKUP(INDICE!$F$2,Nombres!$C$3:$D$636,59,FALSE)</f>
        <v>Pasivos financieros mantenidos para negociar y designados a valor razonable con cambios en resultados</v>
      </c>
      <c r="B151" s="58">
        <v>503072.6518027524</v>
      </c>
      <c r="C151" s="58">
        <v>561758.8243830474</v>
      </c>
      <c r="D151" s="58">
        <v>604906.1318061118</v>
      </c>
      <c r="E151" s="64">
        <v>538913.5757275431</v>
      </c>
      <c r="F151" s="44">
        <v>550591.0208760097</v>
      </c>
      <c r="G151" s="44">
        <v>0</v>
      </c>
      <c r="H151" s="44">
        <v>0</v>
      </c>
      <c r="I151" s="44">
        <v>0</v>
      </c>
    </row>
    <row r="152" spans="1:9" ht="15">
      <c r="A152" s="43" t="str">
        <f>HLOOKUP(INDICE!$F$2,Nombres!$C$3:$D$636,60,FALSE)</f>
        <v>Depósitos de bancos centrales y entidades de crédito</v>
      </c>
      <c r="B152" s="58">
        <v>61796.81899985728</v>
      </c>
      <c r="C152" s="58">
        <v>107768.3249943455</v>
      </c>
      <c r="D152" s="58">
        <v>143740.21345459318</v>
      </c>
      <c r="E152" s="64">
        <v>91810.17674371359</v>
      </c>
      <c r="F152" s="44">
        <v>134762.10864499706</v>
      </c>
      <c r="G152" s="44">
        <v>0</v>
      </c>
      <c r="H152" s="44">
        <v>0</v>
      </c>
      <c r="I152" s="44">
        <v>0</v>
      </c>
    </row>
    <row r="153" spans="1:9" ht="15">
      <c r="A153" s="43" t="str">
        <f>HLOOKUP(INDICE!$F$2,Nombres!$C$3:$D$636,61,FALSE)</f>
        <v>Depósitos de la clientela</v>
      </c>
      <c r="B153" s="58">
        <v>1536089.811294505</v>
      </c>
      <c r="C153" s="58">
        <v>1523917.9128222005</v>
      </c>
      <c r="D153" s="58">
        <v>1504822.2410280593</v>
      </c>
      <c r="E153" s="64">
        <v>1621557.2326777908</v>
      </c>
      <c r="F153" s="44">
        <v>1574511.723177095</v>
      </c>
      <c r="G153" s="44">
        <v>0</v>
      </c>
      <c r="H153" s="44">
        <v>0</v>
      </c>
      <c r="I153" s="44">
        <v>0</v>
      </c>
    </row>
    <row r="154" spans="1:9" ht="15">
      <c r="A154" s="43" t="str">
        <f>HLOOKUP(INDICE!$F$2,Nombres!$C$3:$D$636,62,FALSE)</f>
        <v>Valores representativos de deuda emitidos</v>
      </c>
      <c r="B154" s="44">
        <v>183031.389062764</v>
      </c>
      <c r="C154" s="44">
        <v>196087.10301964468</v>
      </c>
      <c r="D154" s="44">
        <v>167143.3998544878</v>
      </c>
      <c r="E154" s="45">
        <v>161791.14266297407</v>
      </c>
      <c r="F154" s="44">
        <v>163344.74415355767</v>
      </c>
      <c r="G154" s="44">
        <v>0</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362979.8662885465</v>
      </c>
      <c r="C156" s="58">
        <f aca="true" t="shared" si="26" ref="C156:I156">+C150-C151-C152-C153-C154-C157</f>
        <v>354905.9747469452</v>
      </c>
      <c r="D156" s="58">
        <f t="shared" si="26"/>
        <v>364166.1953122724</v>
      </c>
      <c r="E156" s="64">
        <f t="shared" si="26"/>
        <v>354061.5105296385</v>
      </c>
      <c r="F156" s="44">
        <f t="shared" si="26"/>
        <v>377551.97948350536</v>
      </c>
      <c r="G156" s="44">
        <f t="shared" si="26"/>
        <v>0</v>
      </c>
      <c r="H156" s="44">
        <f t="shared" si="26"/>
        <v>0</v>
      </c>
      <c r="I156" s="44">
        <f t="shared" si="26"/>
        <v>0</v>
      </c>
    </row>
    <row r="157" spans="1:9" ht="15.75" customHeight="1">
      <c r="A157" s="43" t="str">
        <f>HLOOKUP(INDICE!$F$2,Nombres!$C$3:$D$636,282,FALSE)</f>
        <v>Dotación de capital regulatorio</v>
      </c>
      <c r="B157" s="44">
        <v>173209.58001817772</v>
      </c>
      <c r="C157" s="44">
        <v>187610.7370255141</v>
      </c>
      <c r="D157" s="44">
        <v>189255.65850210036</v>
      </c>
      <c r="E157" s="64">
        <v>205030.89061600505</v>
      </c>
      <c r="F157" s="44">
        <v>183512.5073587834</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Indicadores relevantes y de gestión</v>
      </c>
      <c r="B160" s="66"/>
      <c r="C160" s="66"/>
      <c r="D160" s="66"/>
      <c r="E160" s="66"/>
      <c r="F160" s="71"/>
      <c r="G160" s="71"/>
      <c r="H160" s="71"/>
      <c r="I160" s="71"/>
    </row>
    <row r="161" spans="1:9" ht="15">
      <c r="A161" s="35" t="str">
        <f>HLOOKUP(INDICE!$F$2,Nombres!$C$3:$D$636,74,FALSE)</f>
        <v>(Millones de pesos mexicanos)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1382178.6061449437</v>
      </c>
      <c r="C163" s="44">
        <v>1446563.0672261908</v>
      </c>
      <c r="D163" s="44">
        <v>1488151.7354509246</v>
      </c>
      <c r="E163" s="45">
        <v>1537648.956995221</v>
      </c>
      <c r="F163" s="44">
        <v>1570111.462220879</v>
      </c>
      <c r="G163" s="44">
        <v>0</v>
      </c>
      <c r="H163" s="44">
        <v>0</v>
      </c>
      <c r="I163" s="44">
        <v>0</v>
      </c>
    </row>
    <row r="164" spans="1:9" ht="15">
      <c r="A164" s="43" t="str">
        <f>HLOOKUP(INDICE!$F$2,Nombres!$C$3:$D$636,67,FALSE)</f>
        <v>Depósitos de clientes en gestión (**)</v>
      </c>
      <c r="B164" s="44">
        <v>1530733.8192467673</v>
      </c>
      <c r="C164" s="44">
        <v>1513721.4357923213</v>
      </c>
      <c r="D164" s="44">
        <v>1486981.468843496</v>
      </c>
      <c r="E164" s="45">
        <v>1608353.9247582192</v>
      </c>
      <c r="F164" s="44">
        <v>1564563.6435306515</v>
      </c>
      <c r="G164" s="44">
        <v>0</v>
      </c>
      <c r="H164" s="44">
        <v>0</v>
      </c>
      <c r="I164" s="44">
        <v>0</v>
      </c>
    </row>
    <row r="165" spans="1:9" ht="15">
      <c r="A165" s="43" t="str">
        <f>HLOOKUP(INDICE!$F$2,Nombres!$C$3:$D$636,68,FALSE)</f>
        <v>Fondos de inversión y carteras gestionadas</v>
      </c>
      <c r="B165" s="44">
        <v>706300.0305128762</v>
      </c>
      <c r="C165" s="44">
        <v>711567.52827619</v>
      </c>
      <c r="D165" s="44">
        <v>731365.0832727632</v>
      </c>
      <c r="E165" s="45">
        <v>742755.4820074316</v>
      </c>
      <c r="F165" s="44">
        <v>805024.5837895662</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54365.22614154609</v>
      </c>
      <c r="C167" s="44">
        <v>62177.19958384019</v>
      </c>
      <c r="D167" s="44">
        <v>59141.79479176696</v>
      </c>
      <c r="E167" s="45">
        <v>53850.33786973818</v>
      </c>
      <c r="F167" s="44">
        <v>67118.85576974467</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261" operator="notBetween">
      <formula>0.5</formula>
      <formula>-0.5</formula>
    </cfRule>
  </conditionalFormatting>
  <conditionalFormatting sqref="B82:I82">
    <cfRule type="cellIs" priority="2" dxfId="261" operator="notBetween">
      <formula>0.5</formula>
      <formula>-0.5</formula>
    </cfRule>
  </conditionalFormatting>
  <conditionalFormatting sqref="B138:I138">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491.72099998999977</v>
      </c>
      <c r="C8" s="41">
        <v>661.5430000000001</v>
      </c>
      <c r="D8" s="41">
        <v>807.5929998499998</v>
      </c>
      <c r="E8" s="42">
        <v>650.3160000100005</v>
      </c>
      <c r="F8" s="50">
        <v>626.46199913</v>
      </c>
      <c r="G8" s="50">
        <v>0</v>
      </c>
      <c r="H8" s="50">
        <v>0</v>
      </c>
      <c r="I8" s="50">
        <v>0</v>
      </c>
    </row>
    <row r="9" spans="1:9" ht="15">
      <c r="A9" s="43" t="str">
        <f>HLOOKUP(INDICE!$F$2,Nombres!$C$3:$D$636,34,FALSE)</f>
        <v>Comisiones netas</v>
      </c>
      <c r="B9" s="44">
        <v>136.62699999</v>
      </c>
      <c r="C9" s="44">
        <v>165.56400004</v>
      </c>
      <c r="D9" s="44">
        <v>161.24599966</v>
      </c>
      <c r="E9" s="45">
        <v>138.3319996799999</v>
      </c>
      <c r="F9" s="44">
        <v>171.99399953</v>
      </c>
      <c r="G9" s="44">
        <v>0</v>
      </c>
      <c r="H9" s="44">
        <v>0</v>
      </c>
      <c r="I9" s="44">
        <v>0</v>
      </c>
    </row>
    <row r="10" spans="1:9" ht="15">
      <c r="A10" s="43" t="str">
        <f>HLOOKUP(INDICE!$F$2,Nombres!$C$3:$D$636,35,FALSE)</f>
        <v>Resultados de operaciones financieras</v>
      </c>
      <c r="B10" s="44">
        <v>174.91700000000003</v>
      </c>
      <c r="C10" s="44">
        <v>220.159</v>
      </c>
      <c r="D10" s="44">
        <v>196.23599941000003</v>
      </c>
      <c r="E10" s="45">
        <v>150.14099987999998</v>
      </c>
      <c r="F10" s="44">
        <v>223.76600002</v>
      </c>
      <c r="G10" s="44">
        <v>0</v>
      </c>
      <c r="H10" s="44">
        <v>0</v>
      </c>
      <c r="I10" s="44">
        <v>0</v>
      </c>
    </row>
    <row r="11" spans="1:9" ht="15">
      <c r="A11" s="43" t="str">
        <f>HLOOKUP(INDICE!$F$2,Nombres!$C$3:$D$636,36,FALSE)</f>
        <v>Otros ingresos y cargas de explotación</v>
      </c>
      <c r="B11" s="44">
        <v>-303.35600001</v>
      </c>
      <c r="C11" s="44">
        <v>-211.69399998000011</v>
      </c>
      <c r="D11" s="44">
        <v>-153.327</v>
      </c>
      <c r="E11" s="45">
        <v>-113.98099851</v>
      </c>
      <c r="F11" s="44">
        <v>-220.45699999999997</v>
      </c>
      <c r="G11" s="44">
        <v>0</v>
      </c>
      <c r="H11" s="44">
        <v>0</v>
      </c>
      <c r="I11" s="44">
        <v>0</v>
      </c>
    </row>
    <row r="12" spans="1:9" ht="15">
      <c r="A12" s="41" t="str">
        <f>HLOOKUP(INDICE!$F$2,Nombres!$C$3:$D$636,37,FALSE)</f>
        <v>Margen bruto</v>
      </c>
      <c r="B12" s="41">
        <f>+SUM(B8:B11)</f>
        <v>499.90899996999974</v>
      </c>
      <c r="C12" s="41">
        <f aca="true" t="shared" si="0" ref="C12:I12">+SUM(C8:C11)</f>
        <v>835.5720000599999</v>
      </c>
      <c r="D12" s="41">
        <f t="shared" si="0"/>
        <v>1011.7479989199999</v>
      </c>
      <c r="E12" s="42">
        <f t="shared" si="0"/>
        <v>824.8080010600004</v>
      </c>
      <c r="F12" s="50">
        <f t="shared" si="0"/>
        <v>801.76499868</v>
      </c>
      <c r="G12" s="50">
        <f t="shared" si="0"/>
        <v>0</v>
      </c>
      <c r="H12" s="50">
        <f t="shared" si="0"/>
        <v>0</v>
      </c>
      <c r="I12" s="50">
        <f t="shared" si="0"/>
        <v>0</v>
      </c>
    </row>
    <row r="13" spans="1:9" ht="15">
      <c r="A13" s="43" t="str">
        <f>HLOOKUP(INDICE!$F$2,Nombres!$C$3:$D$636,38,FALSE)</f>
        <v>Gastos de explotación</v>
      </c>
      <c r="B13" s="44">
        <v>-237.80315695</v>
      </c>
      <c r="C13" s="44">
        <v>-259.20114091000005</v>
      </c>
      <c r="D13" s="44">
        <v>-289.1236217</v>
      </c>
      <c r="E13" s="45">
        <v>-275.04751940999995</v>
      </c>
      <c r="F13" s="44">
        <v>-398.72017852</v>
      </c>
      <c r="G13" s="44">
        <v>0</v>
      </c>
      <c r="H13" s="44">
        <v>0</v>
      </c>
      <c r="I13" s="44">
        <v>0</v>
      </c>
    </row>
    <row r="14" spans="1:9" ht="15">
      <c r="A14" s="43" t="str">
        <f>HLOOKUP(INDICE!$F$2,Nombres!$C$3:$D$636,39,FALSE)</f>
        <v>  Gastos de administración</v>
      </c>
      <c r="B14" s="44">
        <v>-208.48513495000003</v>
      </c>
      <c r="C14" s="44">
        <v>-224.76311991</v>
      </c>
      <c r="D14" s="44">
        <v>-256.8875997</v>
      </c>
      <c r="E14" s="45">
        <v>-242.47249641000002</v>
      </c>
      <c r="F14" s="44">
        <v>-362.3051565299999</v>
      </c>
      <c r="G14" s="44">
        <v>0</v>
      </c>
      <c r="H14" s="44">
        <v>0</v>
      </c>
      <c r="I14" s="44">
        <v>0</v>
      </c>
    </row>
    <row r="15" spans="1:9" ht="15">
      <c r="A15" s="46" t="str">
        <f>HLOOKUP(INDICE!$F$2,Nombres!$C$3:$D$636,40,FALSE)</f>
        <v>  Gastos de personal</v>
      </c>
      <c r="B15" s="44">
        <v>-131.55028511</v>
      </c>
      <c r="C15" s="44">
        <v>-148.47128487999998</v>
      </c>
      <c r="D15" s="44">
        <v>-173.76428507000003</v>
      </c>
      <c r="E15" s="45">
        <v>-139.28546218999998</v>
      </c>
      <c r="F15" s="44">
        <v>-208.75799998999997</v>
      </c>
      <c r="G15" s="44">
        <v>0</v>
      </c>
      <c r="H15" s="44">
        <v>0</v>
      </c>
      <c r="I15" s="44">
        <v>0</v>
      </c>
    </row>
    <row r="16" spans="1:9" ht="15">
      <c r="A16" s="46" t="str">
        <f>HLOOKUP(INDICE!$F$2,Nombres!$C$3:$D$636,41,FALSE)</f>
        <v>  Otros gastos de administración</v>
      </c>
      <c r="B16" s="44">
        <v>-76.93484984</v>
      </c>
      <c r="C16" s="44">
        <v>-76.29183503</v>
      </c>
      <c r="D16" s="44">
        <v>-83.12331463000001</v>
      </c>
      <c r="E16" s="45">
        <v>-103.18703422</v>
      </c>
      <c r="F16" s="44">
        <v>-153.54715653999997</v>
      </c>
      <c r="G16" s="44">
        <v>0</v>
      </c>
      <c r="H16" s="44">
        <v>0</v>
      </c>
      <c r="I16" s="44">
        <v>0</v>
      </c>
    </row>
    <row r="17" spans="1:9" ht="15">
      <c r="A17" s="43" t="str">
        <f>HLOOKUP(INDICE!$F$2,Nombres!$C$3:$D$636,42,FALSE)</f>
        <v>  Amortización</v>
      </c>
      <c r="B17" s="44">
        <v>-29.318022</v>
      </c>
      <c r="C17" s="44">
        <v>-34.43802099999999</v>
      </c>
      <c r="D17" s="44">
        <v>-32.236022000000006</v>
      </c>
      <c r="E17" s="45">
        <v>-32.575023</v>
      </c>
      <c r="F17" s="44">
        <v>-36.41502199</v>
      </c>
      <c r="G17" s="44">
        <v>0</v>
      </c>
      <c r="H17" s="44">
        <v>0</v>
      </c>
      <c r="I17" s="44">
        <v>0</v>
      </c>
    </row>
    <row r="18" spans="1:9" ht="15">
      <c r="A18" s="41" t="str">
        <f>HLOOKUP(INDICE!$F$2,Nombres!$C$3:$D$636,43,FALSE)</f>
        <v>Margen neto</v>
      </c>
      <c r="B18" s="41">
        <f>+B12+B13</f>
        <v>262.1058430199997</v>
      </c>
      <c r="C18" s="41">
        <f aca="true" t="shared" si="1" ref="C18:I18">+C12+C13</f>
        <v>576.3708591499999</v>
      </c>
      <c r="D18" s="41">
        <f t="shared" si="1"/>
        <v>722.6243772199998</v>
      </c>
      <c r="E18" s="42">
        <f t="shared" si="1"/>
        <v>549.7604816500004</v>
      </c>
      <c r="F18" s="50">
        <f t="shared" si="1"/>
        <v>403.04482016</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-95.88099999</v>
      </c>
      <c r="C19" s="44">
        <v>-75.47300002</v>
      </c>
      <c r="D19" s="44">
        <v>-113.48000000000002</v>
      </c>
      <c r="E19" s="45">
        <v>-101.79900100000003</v>
      </c>
      <c r="F19" s="44">
        <v>-59.44499901</v>
      </c>
      <c r="G19" s="44">
        <v>0</v>
      </c>
      <c r="H19" s="44">
        <v>0</v>
      </c>
      <c r="I19" s="44">
        <v>0</v>
      </c>
    </row>
    <row r="20" spans="1:9" ht="15">
      <c r="A20" s="43" t="str">
        <f>HLOOKUP(INDICE!$F$2,Nombres!$C$3:$D$636,45,FALSE)</f>
        <v>Provisiones o reversión de provisiones y otros resultados</v>
      </c>
      <c r="B20" s="44">
        <v>-10.823000009999998</v>
      </c>
      <c r="C20" s="44">
        <v>-23.199999990000002</v>
      </c>
      <c r="D20" s="44">
        <v>-37.114999999999995</v>
      </c>
      <c r="E20" s="45">
        <v>-17.00899999000002</v>
      </c>
      <c r="F20" s="44">
        <v>-16.115</v>
      </c>
      <c r="G20" s="44">
        <v>0</v>
      </c>
      <c r="H20" s="44">
        <v>0</v>
      </c>
      <c r="I20" s="44">
        <v>0</v>
      </c>
    </row>
    <row r="21" spans="1:9" ht="15">
      <c r="A21" s="41" t="str">
        <f>HLOOKUP(INDICE!$F$2,Nombres!$C$3:$D$636,46,FALSE)</f>
        <v>Resultado antes de impuestos</v>
      </c>
      <c r="B21" s="41">
        <f>+B18+B19+B20</f>
        <v>155.40184301999972</v>
      </c>
      <c r="C21" s="41">
        <f aca="true" t="shared" si="2" ref="C21:I21">+C18+C19+C20</f>
        <v>477.69785913999993</v>
      </c>
      <c r="D21" s="41">
        <f t="shared" si="2"/>
        <v>572.0293772199998</v>
      </c>
      <c r="E21" s="42">
        <f t="shared" si="2"/>
        <v>430.9524806600004</v>
      </c>
      <c r="F21" s="50">
        <f t="shared" si="2"/>
        <v>327.48482114999996</v>
      </c>
      <c r="G21" s="50">
        <f t="shared" si="2"/>
        <v>0</v>
      </c>
      <c r="H21" s="50">
        <f t="shared" si="2"/>
        <v>0</v>
      </c>
      <c r="I21" s="50">
        <f t="shared" si="2"/>
        <v>0</v>
      </c>
    </row>
    <row r="22" spans="1:9" ht="15">
      <c r="A22" s="43" t="str">
        <f>HLOOKUP(INDICE!$F$2,Nombres!$C$3:$D$636,47,FALSE)</f>
        <v>Impuesto sobre beneficios</v>
      </c>
      <c r="B22" s="44">
        <v>-308.13385291</v>
      </c>
      <c r="C22" s="44">
        <v>-326.72415774</v>
      </c>
      <c r="D22" s="44">
        <v>-255.16651371999998</v>
      </c>
      <c r="E22" s="45">
        <v>-213.46384415999998</v>
      </c>
      <c r="F22" s="44">
        <v>-4.965546149999966</v>
      </c>
      <c r="G22" s="44">
        <v>0</v>
      </c>
      <c r="H22" s="44">
        <v>0</v>
      </c>
      <c r="I22" s="44">
        <v>0</v>
      </c>
    </row>
    <row r="23" spans="1:9" ht="15">
      <c r="A23" s="41" t="str">
        <f>HLOOKUP(INDICE!$F$2,Nombres!$C$3:$D$636,48,FALSE)</f>
        <v>Resultado del ejercicio</v>
      </c>
      <c r="B23" s="41">
        <f>+B21+B22</f>
        <v>-152.73200989000026</v>
      </c>
      <c r="C23" s="41">
        <f aca="true" t="shared" si="3" ref="C23:I23">+C21+C22</f>
        <v>150.97370139999992</v>
      </c>
      <c r="D23" s="41">
        <f t="shared" si="3"/>
        <v>316.8628634999998</v>
      </c>
      <c r="E23" s="42">
        <f t="shared" si="3"/>
        <v>217.4886365000004</v>
      </c>
      <c r="F23" s="50">
        <f t="shared" si="3"/>
        <v>322.519275</v>
      </c>
      <c r="G23" s="50">
        <f t="shared" si="3"/>
        <v>0</v>
      </c>
      <c r="H23" s="50">
        <f t="shared" si="3"/>
        <v>0</v>
      </c>
      <c r="I23" s="50">
        <f t="shared" si="3"/>
        <v>0</v>
      </c>
    </row>
    <row r="24" spans="1:9" ht="15">
      <c r="A24" s="43" t="str">
        <f>HLOOKUP(INDICE!$F$2,Nombres!$C$3:$D$636,49,FALSE)</f>
        <v>Minoritarios</v>
      </c>
      <c r="B24" s="44">
        <v>76.85299998999999</v>
      </c>
      <c r="C24" s="44">
        <v>-15.717999969999937</v>
      </c>
      <c r="D24" s="44">
        <v>-43.423000090000045</v>
      </c>
      <c r="E24" s="45">
        <v>-45.290999649999996</v>
      </c>
      <c r="F24" s="44">
        <v>-45.441999810000006</v>
      </c>
      <c r="G24" s="44">
        <v>0</v>
      </c>
      <c r="H24" s="44">
        <v>0</v>
      </c>
      <c r="I24" s="44">
        <v>0</v>
      </c>
    </row>
    <row r="25" spans="1:9" ht="15">
      <c r="A25" s="47" t="str">
        <f>HLOOKUP(INDICE!$F$2,Nombres!$C$3:$D$636,50,FALSE)</f>
        <v>Resultado atribuido</v>
      </c>
      <c r="B25" s="47">
        <f>+B23+B24</f>
        <v>-75.87900990000027</v>
      </c>
      <c r="C25" s="47">
        <f aca="true" t="shared" si="4" ref="C25:I25">+C23+C24</f>
        <v>135.25570143</v>
      </c>
      <c r="D25" s="47">
        <f t="shared" si="4"/>
        <v>273.4398634099997</v>
      </c>
      <c r="E25" s="47">
        <f t="shared" si="4"/>
        <v>172.1976368500004</v>
      </c>
      <c r="F25" s="51">
        <f t="shared" si="4"/>
        <v>277.07727518999997</v>
      </c>
      <c r="G25" s="51">
        <f t="shared" si="4"/>
        <v>0</v>
      </c>
      <c r="H25" s="51">
        <f t="shared" si="4"/>
        <v>0</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7926.378000000001</v>
      </c>
      <c r="C31" s="44">
        <v>8050.876</v>
      </c>
      <c r="D31" s="44">
        <v>8109.888</v>
      </c>
      <c r="E31" s="45">
        <v>6061.198</v>
      </c>
      <c r="F31" s="44">
        <v>8479.194</v>
      </c>
      <c r="G31" s="44">
        <v>0</v>
      </c>
      <c r="H31" s="44">
        <v>0</v>
      </c>
      <c r="I31" s="44">
        <v>0</v>
      </c>
    </row>
    <row r="32" spans="1:9" ht="15">
      <c r="A32" s="43" t="str">
        <f>HLOOKUP(INDICE!$F$2,Nombres!$C$3:$D$636,53,FALSE)</f>
        <v>Activos financieros a valor razonable</v>
      </c>
      <c r="B32" s="58">
        <v>5177.576</v>
      </c>
      <c r="C32" s="58">
        <v>5598.161000000001</v>
      </c>
      <c r="D32" s="58">
        <v>5557.729000000001</v>
      </c>
      <c r="E32" s="64">
        <v>5203.253</v>
      </c>
      <c r="F32" s="44">
        <v>5109.284</v>
      </c>
      <c r="G32" s="44">
        <v>0</v>
      </c>
      <c r="H32" s="44">
        <v>0</v>
      </c>
      <c r="I32" s="44">
        <v>0</v>
      </c>
    </row>
    <row r="33" spans="1:9" ht="15">
      <c r="A33" s="43" t="str">
        <f>HLOOKUP(INDICE!$F$2,Nombres!$C$3:$D$636,54,FALSE)</f>
        <v>Activos financieros a coste amortizado</v>
      </c>
      <c r="B33" s="44">
        <v>44006.130000000005</v>
      </c>
      <c r="C33" s="44">
        <v>48362.121</v>
      </c>
      <c r="D33" s="44">
        <v>52000.083999999995</v>
      </c>
      <c r="E33" s="45">
        <v>51621.424000000006</v>
      </c>
      <c r="F33" s="44">
        <v>54239.655999999995</v>
      </c>
      <c r="G33" s="44">
        <v>0</v>
      </c>
      <c r="H33" s="44">
        <v>0</v>
      </c>
      <c r="I33" s="44">
        <v>0</v>
      </c>
    </row>
    <row r="34" spans="1:9" ht="15">
      <c r="A34" s="43" t="str">
        <f>HLOOKUP(INDICE!$F$2,Nombres!$C$3:$D$636,55,FALSE)</f>
        <v>    de los que préstamos y anticipos a la clientela</v>
      </c>
      <c r="B34" s="44">
        <v>33726.289000000004</v>
      </c>
      <c r="C34" s="44">
        <v>35609.825999999994</v>
      </c>
      <c r="D34" s="44">
        <v>36898.085</v>
      </c>
      <c r="E34" s="45">
        <v>37442.536</v>
      </c>
      <c r="F34" s="44">
        <v>38995.194</v>
      </c>
      <c r="G34" s="44">
        <v>0</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859.8760000000001</v>
      </c>
      <c r="C36" s="44">
        <v>921.2160000000001</v>
      </c>
      <c r="D36" s="44">
        <v>960.4679999999998</v>
      </c>
      <c r="E36" s="45">
        <v>1212.8300000000002</v>
      </c>
      <c r="F36" s="44">
        <v>1368.49</v>
      </c>
      <c r="G36" s="44">
        <v>0</v>
      </c>
      <c r="H36" s="44">
        <v>0</v>
      </c>
      <c r="I36" s="44">
        <v>0</v>
      </c>
    </row>
    <row r="37" spans="1:9" ht="15">
      <c r="A37" s="43" t="str">
        <f>HLOOKUP(INDICE!$F$2,Nombres!$C$3:$D$636,57,FALSE)</f>
        <v>Otros activos</v>
      </c>
      <c r="B37" s="58">
        <f>+B38-B36-B33-B32-B31</f>
        <v>990.622999999996</v>
      </c>
      <c r="C37" s="58">
        <f aca="true" t="shared" si="5" ref="C37:I37">+C38-C36-C33-C32-C31</f>
        <v>1161.5330004899988</v>
      </c>
      <c r="D37" s="58">
        <f t="shared" si="5"/>
        <v>1769.8550000000005</v>
      </c>
      <c r="E37" s="64">
        <f t="shared" si="5"/>
        <v>1937.7750485200022</v>
      </c>
      <c r="F37" s="44">
        <f t="shared" si="5"/>
        <v>2025.4140000900043</v>
      </c>
      <c r="G37" s="44">
        <f t="shared" si="5"/>
        <v>0</v>
      </c>
      <c r="H37" s="44">
        <f t="shared" si="5"/>
        <v>0</v>
      </c>
      <c r="I37" s="44">
        <f t="shared" si="5"/>
        <v>0</v>
      </c>
    </row>
    <row r="38" spans="1:9" ht="15">
      <c r="A38" s="47" t="str">
        <f>HLOOKUP(INDICE!$F$2,Nombres!$C$3:$D$636,58,FALSE)</f>
        <v>Total activo / pasivo</v>
      </c>
      <c r="B38" s="51">
        <v>58960.583</v>
      </c>
      <c r="C38" s="51">
        <v>64093.90700049</v>
      </c>
      <c r="D38" s="51">
        <v>68398.02399999999</v>
      </c>
      <c r="E38" s="79">
        <v>66036.48004852001</v>
      </c>
      <c r="F38" s="51">
        <v>71222.03800009</v>
      </c>
      <c r="G38" s="51">
        <v>0</v>
      </c>
      <c r="H38" s="51">
        <v>0</v>
      </c>
      <c r="I38" s="51">
        <v>0</v>
      </c>
    </row>
    <row r="39" spans="1:9" ht="15">
      <c r="A39" s="43" t="str">
        <f>HLOOKUP(INDICE!$F$2,Nombres!$C$3:$D$636,59,FALSE)</f>
        <v>Pasivos financieros mantenidos para negociar y designados a valor razonable con cambios en resultados</v>
      </c>
      <c r="B39" s="58">
        <v>2198.122</v>
      </c>
      <c r="C39" s="58">
        <v>2380.947</v>
      </c>
      <c r="D39" s="58">
        <v>2417.973</v>
      </c>
      <c r="E39" s="64">
        <v>2137.822</v>
      </c>
      <c r="F39" s="44">
        <v>2079.359</v>
      </c>
      <c r="G39" s="44">
        <v>0</v>
      </c>
      <c r="H39" s="44">
        <v>0</v>
      </c>
      <c r="I39" s="44">
        <v>0</v>
      </c>
    </row>
    <row r="40" spans="1:9" ht="15.75" customHeight="1">
      <c r="A40" s="43" t="str">
        <f>HLOOKUP(INDICE!$F$2,Nombres!$C$3:$D$636,60,FALSE)</f>
        <v>Depósitos de bancos centrales y entidades de crédito</v>
      </c>
      <c r="B40" s="58">
        <v>3677.411</v>
      </c>
      <c r="C40" s="58">
        <v>5306.936</v>
      </c>
      <c r="D40" s="58">
        <v>3999.3920000000007</v>
      </c>
      <c r="E40" s="64">
        <v>2871.904</v>
      </c>
      <c r="F40" s="44">
        <v>2756.4519999999998</v>
      </c>
      <c r="G40" s="44">
        <v>0</v>
      </c>
      <c r="H40" s="44">
        <v>0</v>
      </c>
      <c r="I40" s="44">
        <v>0</v>
      </c>
    </row>
    <row r="41" spans="1:9" ht="15">
      <c r="A41" s="43" t="str">
        <f>HLOOKUP(INDICE!$F$2,Nombres!$C$3:$D$636,61,FALSE)</f>
        <v>Depósitos de la clientela</v>
      </c>
      <c r="B41" s="58">
        <v>40156.687</v>
      </c>
      <c r="C41" s="58">
        <v>42688.41499999999</v>
      </c>
      <c r="D41" s="58">
        <v>47197.636</v>
      </c>
      <c r="E41" s="64">
        <v>46339.215</v>
      </c>
      <c r="F41" s="44">
        <v>51233.727</v>
      </c>
      <c r="G41" s="44">
        <v>0</v>
      </c>
      <c r="H41" s="44">
        <v>0</v>
      </c>
      <c r="I41" s="44">
        <v>0</v>
      </c>
    </row>
    <row r="42" spans="1:9" ht="15">
      <c r="A42" s="43" t="str">
        <f>HLOOKUP(INDICE!$F$2,Nombres!$C$3:$D$636,62,FALSE)</f>
        <v>Valores representativos de deuda emitidos</v>
      </c>
      <c r="B42" s="44">
        <v>3548.0527025700003</v>
      </c>
      <c r="C42" s="44">
        <v>3897.0927195699996</v>
      </c>
      <c r="D42" s="44">
        <v>3378.92576667</v>
      </c>
      <c r="E42" s="45">
        <v>3235.59943234</v>
      </c>
      <c r="F42" s="44">
        <v>2904.1294815</v>
      </c>
      <c r="G42" s="44">
        <v>0</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2977.226512729998</v>
      </c>
      <c r="C44" s="58">
        <f aca="true" t="shared" si="6" ref="C44:I44">+C38-C39-C40-C41-C42-C45</f>
        <v>2999.736389970005</v>
      </c>
      <c r="D44" s="58">
        <f t="shared" si="6"/>
        <v>4843.201171659995</v>
      </c>
      <c r="E44" s="64">
        <f t="shared" si="6"/>
        <v>4741.393774020011</v>
      </c>
      <c r="F44" s="44">
        <f t="shared" si="6"/>
        <v>5087.139314660004</v>
      </c>
      <c r="G44" s="44">
        <f t="shared" si="6"/>
        <v>0</v>
      </c>
      <c r="H44" s="44">
        <f t="shared" si="6"/>
        <v>0</v>
      </c>
      <c r="I44" s="44">
        <f t="shared" si="6"/>
        <v>0</v>
      </c>
    </row>
    <row r="45" spans="1:9" ht="15">
      <c r="A45" s="43" t="str">
        <f>HLOOKUP(INDICE!$F$2,Nombres!$C$3:$D$636,282,FALSE)</f>
        <v>Dotación de capital regulatorio</v>
      </c>
      <c r="B45" s="44">
        <v>6403.0837847</v>
      </c>
      <c r="C45" s="44">
        <v>6820.77989095</v>
      </c>
      <c r="D45" s="44">
        <v>6560.896061669999</v>
      </c>
      <c r="E45" s="44">
        <v>6710.54584216</v>
      </c>
      <c r="F45" s="44">
        <v>7161.2312039299995</v>
      </c>
      <c r="G45" s="44">
        <v>0</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44651</v>
      </c>
      <c r="C50" s="53">
        <f t="shared" si="7"/>
        <v>44742</v>
      </c>
      <c r="D50" s="53">
        <f t="shared" si="7"/>
        <v>44834</v>
      </c>
      <c r="E50" s="67">
        <f t="shared" si="7"/>
        <v>44926</v>
      </c>
      <c r="F50" s="75">
        <f t="shared" si="7"/>
        <v>45016</v>
      </c>
      <c r="G50" s="75">
        <f t="shared" si="7"/>
        <v>45107</v>
      </c>
      <c r="H50" s="75">
        <f t="shared" si="7"/>
        <v>45199</v>
      </c>
      <c r="I50" s="75">
        <f t="shared" si="7"/>
        <v>45291</v>
      </c>
    </row>
    <row r="51" spans="1:9" ht="15">
      <c r="A51" s="43" t="str">
        <f>HLOOKUP(INDICE!$F$2,Nombres!$C$3:$D$636,66,FALSE)</f>
        <v>Préstamos y anticipos a la clientela bruto (*)</v>
      </c>
      <c r="B51" s="44">
        <v>35828.403</v>
      </c>
      <c r="C51" s="44">
        <v>37754.281</v>
      </c>
      <c r="D51" s="44">
        <v>39072.556</v>
      </c>
      <c r="E51" s="45">
        <v>39547.111000000004</v>
      </c>
      <c r="F51" s="44">
        <v>41062.337999999996</v>
      </c>
      <c r="G51" s="44">
        <v>0</v>
      </c>
      <c r="H51" s="44">
        <v>0</v>
      </c>
      <c r="I51" s="44">
        <v>0</v>
      </c>
    </row>
    <row r="52" spans="1:9" ht="15">
      <c r="A52" s="43" t="str">
        <f>HLOOKUP(INDICE!$F$2,Nombres!$C$3:$D$636,67,FALSE)</f>
        <v>Depósitos de clientes en gestión (**)</v>
      </c>
      <c r="B52" s="44">
        <v>40154.911</v>
      </c>
      <c r="C52" s="44">
        <v>42686.904</v>
      </c>
      <c r="D52" s="44">
        <v>47195.384</v>
      </c>
      <c r="E52" s="45">
        <v>45591.769</v>
      </c>
      <c r="F52" s="44">
        <v>49806.140999999996</v>
      </c>
      <c r="G52" s="44">
        <v>0</v>
      </c>
      <c r="H52" s="44">
        <v>0</v>
      </c>
      <c r="I52" s="44">
        <v>0</v>
      </c>
    </row>
    <row r="53" spans="1:9" ht="15">
      <c r="A53" s="43" t="str">
        <f>HLOOKUP(INDICE!$F$2,Nombres!$C$3:$D$636,68,FALSE)</f>
        <v>Fondos de inversión y carteras gestionadas</v>
      </c>
      <c r="B53" s="44">
        <v>2088.436</v>
      </c>
      <c r="C53" s="44">
        <v>2319.513</v>
      </c>
      <c r="D53" s="44">
        <v>2667.946</v>
      </c>
      <c r="E53" s="45">
        <v>3730.904</v>
      </c>
      <c r="F53" s="44">
        <v>4270.78</v>
      </c>
      <c r="G53" s="44">
        <v>0</v>
      </c>
      <c r="H53" s="44">
        <v>0</v>
      </c>
      <c r="I53" s="44">
        <v>0</v>
      </c>
    </row>
    <row r="54" spans="1:9" ht="15">
      <c r="A54" s="43" t="str">
        <f>HLOOKUP(INDICE!$F$2,Nombres!$C$3:$D$636,69,FALSE)</f>
        <v>Fondos de pensiones</v>
      </c>
      <c r="B54" s="44">
        <v>2333.143</v>
      </c>
      <c r="C54" s="44">
        <v>2605.557</v>
      </c>
      <c r="D54" s="44">
        <v>2902.554</v>
      </c>
      <c r="E54" s="45">
        <v>3204.8</v>
      </c>
      <c r="F54" s="44">
        <v>3220.571</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384.24055862988206</v>
      </c>
      <c r="C64" s="41">
        <v>589.8211471035177</v>
      </c>
      <c r="D64" s="41">
        <v>747.8317312045896</v>
      </c>
      <c r="E64" s="42">
        <v>774.6834899806863</v>
      </c>
      <c r="F64" s="50">
        <v>626.4619991299999</v>
      </c>
      <c r="G64" s="50">
        <v>0</v>
      </c>
      <c r="H64" s="50">
        <v>0</v>
      </c>
      <c r="I64" s="50">
        <v>0</v>
      </c>
    </row>
    <row r="65" spans="1:9" ht="15">
      <c r="A65" s="43" t="str">
        <f>HLOOKUP(INDICE!$F$2,Nombres!$C$3:$D$636,34,FALSE)</f>
        <v>Comisiones netas</v>
      </c>
      <c r="B65" s="44">
        <v>106.82109921553166</v>
      </c>
      <c r="C65" s="44">
        <v>148.50853105244624</v>
      </c>
      <c r="D65" s="44">
        <v>152.0491339683615</v>
      </c>
      <c r="E65" s="45">
        <v>168.24464163547742</v>
      </c>
      <c r="F65" s="44">
        <v>171.99399953</v>
      </c>
      <c r="G65" s="44">
        <v>0</v>
      </c>
      <c r="H65" s="44">
        <v>0</v>
      </c>
      <c r="I65" s="44">
        <v>0</v>
      </c>
    </row>
    <row r="66" spans="1:9" ht="15">
      <c r="A66" s="43" t="str">
        <f>HLOOKUP(INDICE!$F$2,Nombres!$C$3:$D$636,35,FALSE)</f>
        <v>Resultados de operaciones financieras</v>
      </c>
      <c r="B66" s="44">
        <v>136.46493948038454</v>
      </c>
      <c r="C66" s="44">
        <v>197.61502126345206</v>
      </c>
      <c r="D66" s="44">
        <v>186.43559111960073</v>
      </c>
      <c r="E66" s="45">
        <v>190.74437695469052</v>
      </c>
      <c r="F66" s="44">
        <v>223.76600002</v>
      </c>
      <c r="G66" s="44">
        <v>0</v>
      </c>
      <c r="H66" s="44">
        <v>0</v>
      </c>
      <c r="I66" s="44">
        <v>0</v>
      </c>
    </row>
    <row r="67" spans="1:9" ht="15">
      <c r="A67" s="43" t="str">
        <f>HLOOKUP(INDICE!$F$2,Nombres!$C$3:$D$636,36,FALSE)</f>
        <v>Otros ingresos y cargas de explotación</v>
      </c>
      <c r="B67" s="44">
        <v>-429.95273248581657</v>
      </c>
      <c r="C67" s="44">
        <v>-282.69149699863704</v>
      </c>
      <c r="D67" s="44">
        <v>-140.92633783086</v>
      </c>
      <c r="E67" s="45">
        <v>4.946165037241471</v>
      </c>
      <c r="F67" s="44">
        <v>-220.457</v>
      </c>
      <c r="G67" s="44">
        <v>0</v>
      </c>
      <c r="H67" s="44">
        <v>0</v>
      </c>
      <c r="I67" s="44">
        <v>0</v>
      </c>
    </row>
    <row r="68" spans="1:9" ht="15">
      <c r="A68" s="41" t="str">
        <f>HLOOKUP(INDICE!$F$2,Nombres!$C$3:$D$636,37,FALSE)</f>
        <v>Margen bruto</v>
      </c>
      <c r="B68" s="41">
        <f>+SUM(B64:B67)</f>
        <v>197.57386483998175</v>
      </c>
      <c r="C68" s="41">
        <f aca="true" t="shared" si="9" ref="C68:I68">+SUM(C64:C67)</f>
        <v>653.2532024207788</v>
      </c>
      <c r="D68" s="41">
        <f t="shared" si="9"/>
        <v>945.3901184616917</v>
      </c>
      <c r="E68" s="42">
        <f t="shared" si="9"/>
        <v>1138.6186736080956</v>
      </c>
      <c r="F68" s="50">
        <f t="shared" si="9"/>
        <v>801.7649986799998</v>
      </c>
      <c r="G68" s="50">
        <f t="shared" si="9"/>
        <v>0</v>
      </c>
      <c r="H68" s="50">
        <f t="shared" si="9"/>
        <v>0</v>
      </c>
      <c r="I68" s="50">
        <f t="shared" si="9"/>
        <v>0</v>
      </c>
    </row>
    <row r="69" spans="1:9" ht="15">
      <c r="A69" s="43" t="str">
        <f>HLOOKUP(INDICE!$F$2,Nombres!$C$3:$D$636,38,FALSE)</f>
        <v>Gastos de explotación</v>
      </c>
      <c r="B69" s="44">
        <v>-187.4617433305918</v>
      </c>
      <c r="C69" s="44">
        <v>-235.03214368902894</v>
      </c>
      <c r="D69" s="44">
        <v>-271.9525245545314</v>
      </c>
      <c r="E69" s="45">
        <v>-317.6035692106478</v>
      </c>
      <c r="F69" s="44">
        <v>-398.72017852</v>
      </c>
      <c r="G69" s="44">
        <v>0</v>
      </c>
      <c r="H69" s="44">
        <v>0</v>
      </c>
      <c r="I69" s="44">
        <v>0</v>
      </c>
    </row>
    <row r="70" spans="1:9" ht="15">
      <c r="A70" s="43" t="str">
        <f>HLOOKUP(INDICE!$F$2,Nombres!$C$3:$D$636,39,FALSE)</f>
        <v>  Gastos de administración</v>
      </c>
      <c r="B70" s="44">
        <v>-163.1272179946907</v>
      </c>
      <c r="C70" s="44">
        <v>-202.71776205951517</v>
      </c>
      <c r="D70" s="44">
        <v>-239.6473869697931</v>
      </c>
      <c r="E70" s="45">
        <v>-281.90280755077936</v>
      </c>
      <c r="F70" s="44">
        <v>-362.30515653</v>
      </c>
      <c r="G70" s="44">
        <v>0</v>
      </c>
      <c r="H70" s="44">
        <v>0</v>
      </c>
      <c r="I70" s="44">
        <v>0</v>
      </c>
    </row>
    <row r="71" spans="1:9" ht="15">
      <c r="A71" s="46" t="str">
        <f>HLOOKUP(INDICE!$F$2,Nombres!$C$3:$D$636,40,FALSE)</f>
        <v>  Gastos de personal</v>
      </c>
      <c r="B71" s="44">
        <v>-102.79605360070425</v>
      </c>
      <c r="C71" s="44">
        <v>-133.32814416059057</v>
      </c>
      <c r="D71" s="44">
        <v>-161.58359241689976</v>
      </c>
      <c r="E71" s="45">
        <v>-166.3132941335254</v>
      </c>
      <c r="F71" s="44">
        <v>-208.75799998999997</v>
      </c>
      <c r="G71" s="44">
        <v>0</v>
      </c>
      <c r="H71" s="44">
        <v>0</v>
      </c>
      <c r="I71" s="44">
        <v>0</v>
      </c>
    </row>
    <row r="72" spans="1:9" ht="15">
      <c r="A72" s="46" t="str">
        <f>HLOOKUP(INDICE!$F$2,Nombres!$C$3:$D$636,41,FALSE)</f>
        <v>  Otros gastos de administración</v>
      </c>
      <c r="B72" s="44">
        <v>-60.331164393986434</v>
      </c>
      <c r="C72" s="44">
        <v>-69.38961789892461</v>
      </c>
      <c r="D72" s="44">
        <v>-78.0637945528933</v>
      </c>
      <c r="E72" s="45">
        <v>-115.58951341725394</v>
      </c>
      <c r="F72" s="44">
        <v>-153.54715653999997</v>
      </c>
      <c r="G72" s="44">
        <v>0</v>
      </c>
      <c r="H72" s="44">
        <v>0</v>
      </c>
      <c r="I72" s="44">
        <v>0</v>
      </c>
    </row>
    <row r="73" spans="1:9" ht="15">
      <c r="A73" s="43" t="str">
        <f>HLOOKUP(INDICE!$F$2,Nombres!$C$3:$D$636,42,FALSE)</f>
        <v>  Amortización</v>
      </c>
      <c r="B73" s="44">
        <v>-24.334525335901095</v>
      </c>
      <c r="C73" s="44">
        <v>-32.314381629513804</v>
      </c>
      <c r="D73" s="44">
        <v>-32.30513758473835</v>
      </c>
      <c r="E73" s="45">
        <v>-35.700761659868405</v>
      </c>
      <c r="F73" s="44">
        <v>-36.41502199</v>
      </c>
      <c r="G73" s="44">
        <v>0</v>
      </c>
      <c r="H73" s="44">
        <v>0</v>
      </c>
      <c r="I73" s="44">
        <v>0</v>
      </c>
    </row>
    <row r="74" spans="1:9" ht="15">
      <c r="A74" s="41" t="str">
        <f>HLOOKUP(INDICE!$F$2,Nombres!$C$3:$D$636,43,FALSE)</f>
        <v>Margen neto</v>
      </c>
      <c r="B74" s="41">
        <f>+B68+B69</f>
        <v>10.112121509389965</v>
      </c>
      <c r="C74" s="41">
        <f aca="true" t="shared" si="10" ref="C74:I74">+C68+C69</f>
        <v>418.2210587317499</v>
      </c>
      <c r="D74" s="41">
        <f t="shared" si="10"/>
        <v>673.4375939071604</v>
      </c>
      <c r="E74" s="42">
        <f t="shared" si="10"/>
        <v>821.0151043974479</v>
      </c>
      <c r="F74" s="50">
        <f t="shared" si="10"/>
        <v>403.04482015999986</v>
      </c>
      <c r="G74" s="50">
        <f t="shared" si="10"/>
        <v>0</v>
      </c>
      <c r="H74" s="50">
        <f t="shared" si="10"/>
        <v>0</v>
      </c>
      <c r="I74" s="50">
        <f t="shared" si="10"/>
        <v>0</v>
      </c>
    </row>
    <row r="75" spans="1:9" ht="15">
      <c r="A75" s="43" t="str">
        <f>HLOOKUP(INDICE!$F$2,Nombres!$C$3:$D$636,44,FALSE)</f>
        <v>Deterioro de activos financieros no valorados a valor razonable con cambios en resultados</v>
      </c>
      <c r="B75" s="44">
        <v>-74.59891289844069</v>
      </c>
      <c r="C75" s="44">
        <v>-70.94695162933701</v>
      </c>
      <c r="D75" s="44">
        <v>-105.59899249193805</v>
      </c>
      <c r="E75" s="45">
        <v>-120.24824428649241</v>
      </c>
      <c r="F75" s="44">
        <v>-59.44499900999999</v>
      </c>
      <c r="G75" s="44">
        <v>0</v>
      </c>
      <c r="H75" s="44">
        <v>0</v>
      </c>
      <c r="I75" s="44">
        <v>0</v>
      </c>
    </row>
    <row r="76" spans="1:9" ht="15">
      <c r="A76" s="43" t="str">
        <f>HLOOKUP(INDICE!$F$2,Nombres!$C$3:$D$636,45,FALSE)</f>
        <v>Provisiones o reversión de provisiones y otros resultados</v>
      </c>
      <c r="B76" s="44">
        <v>-9.850312338679043</v>
      </c>
      <c r="C76" s="44">
        <v>-20.640197253272554</v>
      </c>
      <c r="D76" s="44">
        <v>-34.04479714929499</v>
      </c>
      <c r="E76" s="45">
        <v>-20.35641002085748</v>
      </c>
      <c r="F76" s="44">
        <v>-16.115000000000016</v>
      </c>
      <c r="G76" s="44">
        <v>0</v>
      </c>
      <c r="H76" s="44">
        <v>0</v>
      </c>
      <c r="I76" s="44">
        <v>0</v>
      </c>
    </row>
    <row r="77" spans="1:9" ht="15">
      <c r="A77" s="41" t="str">
        <f>HLOOKUP(INDICE!$F$2,Nombres!$C$3:$D$636,46,FALSE)</f>
        <v>Resultado antes de impuestos</v>
      </c>
      <c r="B77" s="41">
        <f>+B74+B75+B76</f>
        <v>-74.33710372772977</v>
      </c>
      <c r="C77" s="41">
        <f aca="true" t="shared" si="11" ref="C77:I77">+C74+C75+C76</f>
        <v>326.63390984914037</v>
      </c>
      <c r="D77" s="41">
        <f t="shared" si="11"/>
        <v>533.7938042659273</v>
      </c>
      <c r="E77" s="42">
        <f t="shared" si="11"/>
        <v>680.410450090098</v>
      </c>
      <c r="F77" s="50">
        <f t="shared" si="11"/>
        <v>327.48482114999985</v>
      </c>
      <c r="G77" s="50">
        <f t="shared" si="11"/>
        <v>0</v>
      </c>
      <c r="H77" s="50">
        <f t="shared" si="11"/>
        <v>0</v>
      </c>
      <c r="I77" s="50">
        <f t="shared" si="11"/>
        <v>0</v>
      </c>
    </row>
    <row r="78" spans="1:9" ht="15">
      <c r="A78" s="43" t="str">
        <f>HLOOKUP(INDICE!$F$2,Nombres!$C$3:$D$636,47,FALSE)</f>
        <v>Impuesto sobre beneficios</v>
      </c>
      <c r="B78" s="44">
        <v>-245.96357317688387</v>
      </c>
      <c r="C78" s="44">
        <v>-297.5320730499792</v>
      </c>
      <c r="D78" s="44">
        <v>-245.16331259966313</v>
      </c>
      <c r="E78" s="45">
        <v>-273.8484342374792</v>
      </c>
      <c r="F78" s="44">
        <v>-4.965546149999966</v>
      </c>
      <c r="G78" s="44">
        <v>0</v>
      </c>
      <c r="H78" s="44">
        <v>0</v>
      </c>
      <c r="I78" s="44">
        <v>0</v>
      </c>
    </row>
    <row r="79" spans="1:9" ht="15">
      <c r="A79" s="41" t="str">
        <f>HLOOKUP(INDICE!$F$2,Nombres!$C$3:$D$636,48,FALSE)</f>
        <v>Resultado del ejercicio</v>
      </c>
      <c r="B79" s="41">
        <f>+B77+B78</f>
        <v>-320.3006769046136</v>
      </c>
      <c r="C79" s="41">
        <f aca="true" t="shared" si="12" ref="C79:I79">+C77+C78</f>
        <v>29.101836799161163</v>
      </c>
      <c r="D79" s="41">
        <f t="shared" si="12"/>
        <v>288.63049166626416</v>
      </c>
      <c r="E79" s="42">
        <f t="shared" si="12"/>
        <v>406.56201585261886</v>
      </c>
      <c r="F79" s="50">
        <f t="shared" si="12"/>
        <v>322.5192749999999</v>
      </c>
      <c r="G79" s="50">
        <f t="shared" si="12"/>
        <v>0</v>
      </c>
      <c r="H79" s="50">
        <f t="shared" si="12"/>
        <v>0</v>
      </c>
      <c r="I79" s="50">
        <f t="shared" si="12"/>
        <v>0</v>
      </c>
    </row>
    <row r="80" spans="1:9" ht="15">
      <c r="A80" s="43" t="str">
        <f>HLOOKUP(INDICE!$F$2,Nombres!$C$3:$D$636,49,FALSE)</f>
        <v>Minoritarios</v>
      </c>
      <c r="B80" s="44">
        <v>161.2855405315173</v>
      </c>
      <c r="C80" s="44">
        <v>14.65381933721686</v>
      </c>
      <c r="D80" s="44">
        <v>-55.477012176865344</v>
      </c>
      <c r="E80" s="45">
        <v>-109.88292467492886</v>
      </c>
      <c r="F80" s="44">
        <v>-45.44199981</v>
      </c>
      <c r="G80" s="44">
        <v>0</v>
      </c>
      <c r="H80" s="44">
        <v>0</v>
      </c>
      <c r="I80" s="44">
        <v>0</v>
      </c>
    </row>
    <row r="81" spans="1:9" ht="15">
      <c r="A81" s="47" t="str">
        <f>HLOOKUP(INDICE!$F$2,Nombres!$C$3:$D$636,50,FALSE)</f>
        <v>Resultado atribuido</v>
      </c>
      <c r="B81" s="47">
        <f>+B79+B80</f>
        <v>-159.0151363730963</v>
      </c>
      <c r="C81" s="47">
        <f aca="true" t="shared" si="13" ref="C81:I81">+C79+C80</f>
        <v>43.75565613637802</v>
      </c>
      <c r="D81" s="47">
        <f t="shared" si="13"/>
        <v>233.15347948939882</v>
      </c>
      <c r="E81" s="47">
        <f t="shared" si="13"/>
        <v>296.67909117769</v>
      </c>
      <c r="F81" s="51">
        <f t="shared" si="13"/>
        <v>277.0772751899999</v>
      </c>
      <c r="G81" s="51">
        <f t="shared" si="13"/>
        <v>0</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6185.995653117853</v>
      </c>
      <c r="C87" s="44">
        <v>6684.366447772414</v>
      </c>
      <c r="D87" s="44">
        <v>7029.603588241875</v>
      </c>
      <c r="E87" s="45">
        <v>5800.222973977086</v>
      </c>
      <c r="F87" s="44">
        <v>8479.194</v>
      </c>
      <c r="G87" s="44">
        <v>0</v>
      </c>
      <c r="H87" s="44">
        <v>0</v>
      </c>
      <c r="I87" s="44">
        <v>0</v>
      </c>
    </row>
    <row r="88" spans="1:9" ht="15">
      <c r="A88" s="43" t="str">
        <f>HLOOKUP(INDICE!$F$2,Nombres!$C$3:$D$636,53,FALSE)</f>
        <v>Activos financieros a valor razonable</v>
      </c>
      <c r="B88" s="58">
        <v>4040.7437835651194</v>
      </c>
      <c r="C88" s="58">
        <v>4647.961235228075</v>
      </c>
      <c r="D88" s="58">
        <v>4817.407061709844</v>
      </c>
      <c r="E88" s="64">
        <v>4979.218232107776</v>
      </c>
      <c r="F88" s="44">
        <v>5109.284</v>
      </c>
      <c r="G88" s="44">
        <v>0</v>
      </c>
      <c r="H88" s="44">
        <v>0</v>
      </c>
      <c r="I88" s="44">
        <v>0</v>
      </c>
    </row>
    <row r="89" spans="1:9" ht="15">
      <c r="A89" s="43" t="str">
        <f>HLOOKUP(INDICE!$F$2,Nombres!$C$3:$D$636,54,FALSE)</f>
        <v>Activos financieros a coste amortizado</v>
      </c>
      <c r="B89" s="44">
        <v>34343.77327078512</v>
      </c>
      <c r="C89" s="44">
        <v>40153.41174743092</v>
      </c>
      <c r="D89" s="44">
        <v>45073.36933324836</v>
      </c>
      <c r="E89" s="45">
        <v>49398.77717807802</v>
      </c>
      <c r="F89" s="44">
        <v>54239.655999999995</v>
      </c>
      <c r="G89" s="44">
        <v>0</v>
      </c>
      <c r="H89" s="44">
        <v>0</v>
      </c>
      <c r="I89" s="44">
        <v>0</v>
      </c>
    </row>
    <row r="90" spans="1:9" ht="15">
      <c r="A90" s="43" t="str">
        <f>HLOOKUP(INDICE!$F$2,Nombres!$C$3:$D$636,55,FALSE)</f>
        <v>    de los que préstamos y anticipos a la clientela</v>
      </c>
      <c r="B90" s="44">
        <v>26321.06078587174</v>
      </c>
      <c r="C90" s="44">
        <v>29565.618216628063</v>
      </c>
      <c r="D90" s="44">
        <v>31983.044736900643</v>
      </c>
      <c r="E90" s="45">
        <v>35830.38493564541</v>
      </c>
      <c r="F90" s="44">
        <v>38995.194</v>
      </c>
      <c r="G90" s="44">
        <v>0</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726.6493440055102</v>
      </c>
      <c r="C92" s="44">
        <v>811.4537705670084</v>
      </c>
      <c r="D92" s="44">
        <v>870.781576197174</v>
      </c>
      <c r="E92" s="45">
        <v>1167.5966389567743</v>
      </c>
      <c r="F92" s="44">
        <v>1368.49</v>
      </c>
      <c r="G92" s="44">
        <v>0</v>
      </c>
      <c r="H92" s="44">
        <v>0</v>
      </c>
      <c r="I92" s="44">
        <v>0</v>
      </c>
    </row>
    <row r="93" spans="1:9" ht="15">
      <c r="A93" s="43" t="str">
        <f>HLOOKUP(INDICE!$F$2,Nombres!$C$3:$D$636,57,FALSE)</f>
        <v>Otros activos</v>
      </c>
      <c r="B93" s="58">
        <f>+B94-B92-B89-B88-B87</f>
        <v>780.5355140035781</v>
      </c>
      <c r="C93" s="58">
        <f aca="true" t="shared" si="15" ref="C93:I93">+C94-C92-C89-C88-C87</f>
        <v>969.4805417655898</v>
      </c>
      <c r="D93" s="58">
        <f t="shared" si="15"/>
        <v>1545.978881786681</v>
      </c>
      <c r="E93" s="64">
        <f t="shared" si="15"/>
        <v>1857.4563915097897</v>
      </c>
      <c r="F93" s="44">
        <f t="shared" si="15"/>
        <v>2025.4140000900043</v>
      </c>
      <c r="G93" s="44">
        <f t="shared" si="15"/>
        <v>0</v>
      </c>
      <c r="H93" s="44">
        <f t="shared" si="15"/>
        <v>0</v>
      </c>
      <c r="I93" s="44">
        <f t="shared" si="15"/>
        <v>0</v>
      </c>
    </row>
    <row r="94" spans="1:9" ht="15">
      <c r="A94" s="47" t="str">
        <f>HLOOKUP(INDICE!$F$2,Nombres!$C$3:$D$636,58,FALSE)</f>
        <v>Total activo / pasivo</v>
      </c>
      <c r="B94" s="47">
        <v>46077.69756547718</v>
      </c>
      <c r="C94" s="47">
        <v>53266.673742764004</v>
      </c>
      <c r="D94" s="47">
        <v>59337.14044118393</v>
      </c>
      <c r="E94" s="47">
        <v>63203.271414629446</v>
      </c>
      <c r="F94" s="47">
        <v>71222.03800009</v>
      </c>
      <c r="G94" s="47">
        <v>0</v>
      </c>
      <c r="H94" s="47">
        <v>0</v>
      </c>
      <c r="I94" s="47">
        <v>0</v>
      </c>
    </row>
    <row r="95" spans="1:9" ht="15">
      <c r="A95" s="43" t="str">
        <f>HLOOKUP(INDICE!$F$2,Nombres!$C$3:$D$636,59,FALSE)</f>
        <v>Pasivos financieros mantenidos para negociar y designados a valor razonable con cambios en resultados</v>
      </c>
      <c r="B95" s="58">
        <v>1715.4838107673795</v>
      </c>
      <c r="C95" s="58">
        <v>1976.8187015579902</v>
      </c>
      <c r="D95" s="58">
        <v>2095.88488485562</v>
      </c>
      <c r="E95" s="64">
        <v>2045.774495186206</v>
      </c>
      <c r="F95" s="44">
        <v>2079.359</v>
      </c>
      <c r="G95" s="44">
        <v>0</v>
      </c>
      <c r="H95" s="44">
        <v>0</v>
      </c>
      <c r="I95" s="44">
        <v>0</v>
      </c>
    </row>
    <row r="96" spans="1:9" ht="15">
      <c r="A96" s="43" t="str">
        <f>HLOOKUP(INDICE!$F$2,Nombres!$C$3:$D$636,60,FALSE)</f>
        <v>Depósitos de bancos centrales y entidades de crédito</v>
      </c>
      <c r="B96" s="58">
        <v>2869.9676524041347</v>
      </c>
      <c r="C96" s="58">
        <v>4406.167097701609</v>
      </c>
      <c r="D96" s="58">
        <v>3466.6496447282443</v>
      </c>
      <c r="E96" s="64">
        <v>2748.24936586079</v>
      </c>
      <c r="F96" s="44">
        <v>2756.4519999999998</v>
      </c>
      <c r="G96" s="44">
        <v>0</v>
      </c>
      <c r="H96" s="44">
        <v>0</v>
      </c>
      <c r="I96" s="44">
        <v>0</v>
      </c>
    </row>
    <row r="97" spans="1:9" ht="15">
      <c r="A97" s="43" t="str">
        <f>HLOOKUP(INDICE!$F$2,Nombres!$C$3:$D$636,61,FALSE)</f>
        <v>Depósitos de la clientela</v>
      </c>
      <c r="B97" s="58">
        <v>31339.546413962875</v>
      </c>
      <c r="C97" s="58">
        <v>35442.7280875503</v>
      </c>
      <c r="D97" s="58">
        <v>40910.63543443927</v>
      </c>
      <c r="E97" s="64">
        <v>44344.00252871851</v>
      </c>
      <c r="F97" s="44">
        <v>51233.727</v>
      </c>
      <c r="G97" s="44">
        <v>0</v>
      </c>
      <c r="H97" s="44">
        <v>0</v>
      </c>
      <c r="I97" s="44">
        <v>0</v>
      </c>
    </row>
    <row r="98" spans="1:9" ht="15">
      <c r="A98" s="43" t="str">
        <f>HLOOKUP(INDICE!$F$2,Nombres!$C$3:$D$636,62,FALSE)</f>
        <v>Valores representativos de deuda emitidos</v>
      </c>
      <c r="B98" s="44">
        <v>2769.0123528213107</v>
      </c>
      <c r="C98" s="44">
        <v>3235.622535802545</v>
      </c>
      <c r="D98" s="44">
        <v>2928.8331347839035</v>
      </c>
      <c r="E98" s="45">
        <v>3096.285282553991</v>
      </c>
      <c r="F98" s="44">
        <v>2904.1294815</v>
      </c>
      <c r="G98" s="44">
        <v>0</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2386.518583450408</v>
      </c>
      <c r="C100" s="58">
        <f aca="true" t="shared" si="16" ref="C100:I100">+C94-C95-C96-C97-C98-C101</f>
        <v>2542.2775176273444</v>
      </c>
      <c r="D100" s="58">
        <f t="shared" si="16"/>
        <v>4244.084785822685</v>
      </c>
      <c r="E100" s="64">
        <f t="shared" si="16"/>
        <v>4545.951652846343</v>
      </c>
      <c r="F100" s="44">
        <f t="shared" si="16"/>
        <v>5087.139314660004</v>
      </c>
      <c r="G100" s="44">
        <f t="shared" si="16"/>
        <v>0</v>
      </c>
      <c r="H100" s="44">
        <f t="shared" si="16"/>
        <v>0</v>
      </c>
      <c r="I100" s="44">
        <f t="shared" si="16"/>
        <v>0</v>
      </c>
    </row>
    <row r="101" spans="1:9" ht="15">
      <c r="A101" s="43" t="str">
        <f>HLOOKUP(INDICE!$F$2,Nombres!$C$3:$D$636,282,FALSE)</f>
        <v>Dotación de capital regulatorio</v>
      </c>
      <c r="B101" s="44">
        <v>4997.168752071074</v>
      </c>
      <c r="C101" s="44">
        <v>5663.059802524216</v>
      </c>
      <c r="D101" s="44">
        <v>5691.052556554213</v>
      </c>
      <c r="E101" s="44">
        <v>6423.008089463603</v>
      </c>
      <c r="F101" s="44">
        <v>7161.2312039299995</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27961.616922149646</v>
      </c>
      <c r="C107" s="44">
        <v>31346.085714917426</v>
      </c>
      <c r="D107" s="44">
        <v>33867.86350925951</v>
      </c>
      <c r="E107" s="45">
        <v>37844.343936070385</v>
      </c>
      <c r="F107" s="44">
        <v>41062.337999999996</v>
      </c>
      <c r="G107" s="44">
        <v>0</v>
      </c>
      <c r="H107" s="44">
        <v>0</v>
      </c>
      <c r="I107" s="44">
        <v>0</v>
      </c>
    </row>
    <row r="108" spans="1:9" ht="15">
      <c r="A108" s="43" t="str">
        <f>HLOOKUP(INDICE!$F$2,Nombres!$C$3:$D$636,67,FALSE)</f>
        <v>Depósitos de clientes en gestión (**)</v>
      </c>
      <c r="B108" s="44">
        <v>31338.16036748869</v>
      </c>
      <c r="C108" s="44">
        <v>35441.47355603068</v>
      </c>
      <c r="D108" s="44">
        <v>40908.683413982195</v>
      </c>
      <c r="E108" s="45">
        <v>43628.739067434566</v>
      </c>
      <c r="F108" s="44">
        <v>49806.140999999996</v>
      </c>
      <c r="G108" s="44">
        <v>0</v>
      </c>
      <c r="H108" s="44">
        <v>0</v>
      </c>
      <c r="I108" s="44">
        <v>0</v>
      </c>
    </row>
    <row r="109" spans="1:9" ht="15">
      <c r="A109" s="43" t="str">
        <f>HLOOKUP(INDICE!$F$2,Nombres!$C$3:$D$636,68,FALSE)</f>
        <v>Fondos de inversión y carteras gestionadas</v>
      </c>
      <c r="B109" s="44">
        <v>1629.8813932182945</v>
      </c>
      <c r="C109" s="44">
        <v>1925.8121566363627</v>
      </c>
      <c r="D109" s="44">
        <v>2312.5600223869374</v>
      </c>
      <c r="E109" s="45">
        <v>3570.263682939083</v>
      </c>
      <c r="F109" s="44">
        <v>4270.78</v>
      </c>
      <c r="G109" s="44">
        <v>0</v>
      </c>
      <c r="H109" s="44">
        <v>0</v>
      </c>
      <c r="I109" s="44">
        <v>0</v>
      </c>
    </row>
    <row r="110" spans="1:9" ht="15">
      <c r="A110" s="43" t="str">
        <f>HLOOKUP(INDICE!$F$2,Nombres!$C$3:$D$636,69,FALSE)</f>
        <v>Fondos de pensiones</v>
      </c>
      <c r="B110" s="44">
        <v>1820.8584622260444</v>
      </c>
      <c r="C110" s="44">
        <v>2163.304687410233</v>
      </c>
      <c r="D110" s="44">
        <v>2515.9168675900096</v>
      </c>
      <c r="E110" s="45">
        <v>3066.811971330051</v>
      </c>
      <c r="F110" s="44">
        <v>3220.571</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HLOOKUP(INDICE!$F$2,Nombres!$C$3:$D$636,77,FALSE)</f>
        <v>(Millones de liras turcas)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8">
        <f>+B$6</f>
        <v>2022</v>
      </c>
      <c r="C118" s="298"/>
      <c r="D118" s="298"/>
      <c r="E118" s="299"/>
      <c r="F118" s="298">
        <f>+F$6</f>
        <v>2023</v>
      </c>
      <c r="G118" s="298"/>
      <c r="H118" s="298"/>
      <c r="I118" s="298"/>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7984.370673066187</v>
      </c>
      <c r="C120" s="41">
        <v>11912.103729912464</v>
      </c>
      <c r="D120" s="41">
        <v>15421.139150641178</v>
      </c>
      <c r="E120" s="42">
        <v>16399.000355130935</v>
      </c>
      <c r="F120" s="50">
        <v>13036.521394293313</v>
      </c>
      <c r="G120" s="50">
        <v>0</v>
      </c>
      <c r="H120" s="50">
        <v>0</v>
      </c>
      <c r="I120" s="50">
        <v>0</v>
      </c>
    </row>
    <row r="121" spans="1:9" ht="15">
      <c r="A121" s="43" t="str">
        <f>HLOOKUP(INDICE!$F$2,Nombres!$C$3:$D$636,34,FALSE)</f>
        <v>Comisiones netas</v>
      </c>
      <c r="B121" s="44">
        <v>2219.170072850806</v>
      </c>
      <c r="C121" s="44">
        <v>2996.504286845563</v>
      </c>
      <c r="D121" s="44">
        <v>3132.4320903463604</v>
      </c>
      <c r="E121" s="45">
        <v>3574.414693272105</v>
      </c>
      <c r="F121" s="44">
        <v>3582.695857508028</v>
      </c>
      <c r="G121" s="44">
        <v>0</v>
      </c>
      <c r="H121" s="44">
        <v>0</v>
      </c>
      <c r="I121" s="44">
        <v>0</v>
      </c>
    </row>
    <row r="122" spans="1:9" ht="15">
      <c r="A122" s="43" t="str">
        <f>HLOOKUP(INDICE!$F$2,Nombres!$C$3:$D$636,35,FALSE)</f>
        <v>Resultados de operaciones financieras</v>
      </c>
      <c r="B122" s="44">
        <v>2843.792037335866</v>
      </c>
      <c r="C122" s="44">
        <v>3985.033567464518</v>
      </c>
      <c r="D122" s="44">
        <v>3838.1417238681247</v>
      </c>
      <c r="E122" s="45">
        <v>4065.0601163117767</v>
      </c>
      <c r="F122" s="44">
        <v>4665.416546586612</v>
      </c>
      <c r="G122" s="44">
        <v>0</v>
      </c>
      <c r="H122" s="44">
        <v>0</v>
      </c>
      <c r="I122" s="44">
        <v>0</v>
      </c>
    </row>
    <row r="123" spans="1:9" ht="15">
      <c r="A123" s="43" t="str">
        <f>HLOOKUP(INDICE!$F$2,Nombres!$C$3:$D$636,36,FALSE)</f>
        <v>Otros ingresos y cargas de explotación</v>
      </c>
      <c r="B123" s="44">
        <v>-4937.368536376534</v>
      </c>
      <c r="C123" s="44">
        <v>-3978.9817955351737</v>
      </c>
      <c r="D123" s="44">
        <v>-3164.033233882611</v>
      </c>
      <c r="E123" s="45">
        <v>-3524.908682650352</v>
      </c>
      <c r="F123" s="44">
        <v>-4597.245514813606</v>
      </c>
      <c r="G123" s="44">
        <v>0</v>
      </c>
      <c r="H123" s="44">
        <v>0</v>
      </c>
      <c r="I123" s="44">
        <v>0</v>
      </c>
    </row>
    <row r="124" spans="1:9" ht="15">
      <c r="A124" s="41" t="str">
        <f>HLOOKUP(INDICE!$F$2,Nombres!$C$3:$D$636,37,FALSE)</f>
        <v>Margen bruto</v>
      </c>
      <c r="B124" s="41">
        <f>+SUM(B120:B123)</f>
        <v>8109.964246876325</v>
      </c>
      <c r="C124" s="41">
        <f aca="true" t="shared" si="19" ref="C124:I124">+SUM(C120:C123)</f>
        <v>14914.65978868737</v>
      </c>
      <c r="D124" s="41">
        <f t="shared" si="19"/>
        <v>19227.67973097305</v>
      </c>
      <c r="E124" s="42">
        <f t="shared" si="19"/>
        <v>20513.566482064463</v>
      </c>
      <c r="F124" s="50">
        <f t="shared" si="19"/>
        <v>16687.388283574342</v>
      </c>
      <c r="G124" s="50">
        <f t="shared" si="19"/>
        <v>0</v>
      </c>
      <c r="H124" s="50">
        <f t="shared" si="19"/>
        <v>0</v>
      </c>
      <c r="I124" s="50">
        <f t="shared" si="19"/>
        <v>0</v>
      </c>
    </row>
    <row r="125" spans="1:9" ht="15">
      <c r="A125" s="43" t="str">
        <f>HLOOKUP(INDICE!$F$2,Nombres!$C$3:$D$636,38,FALSE)</f>
        <v>Gastos de explotación</v>
      </c>
      <c r="B125" s="44">
        <v>-3856.0286582633553</v>
      </c>
      <c r="C125" s="44">
        <v>-4696.176632754803</v>
      </c>
      <c r="D125" s="44">
        <v>-5565.864149058144</v>
      </c>
      <c r="E125" s="45">
        <v>-6778.651719747641</v>
      </c>
      <c r="F125" s="44">
        <v>-8300.127756597496</v>
      </c>
      <c r="G125" s="44">
        <v>0</v>
      </c>
      <c r="H125" s="44">
        <v>0</v>
      </c>
      <c r="I125" s="44">
        <v>0</v>
      </c>
    </row>
    <row r="126" spans="1:9" ht="15">
      <c r="A126" s="43" t="str">
        <f>HLOOKUP(INDICE!$F$2,Nombres!$C$3:$D$636,39,FALSE)</f>
        <v>  Gastos de administración</v>
      </c>
      <c r="B126" s="44">
        <v>-3380.52319117532</v>
      </c>
      <c r="C126" s="44">
        <v>-4073.5851726070514</v>
      </c>
      <c r="D126" s="44">
        <v>-4938.568872738388</v>
      </c>
      <c r="E126" s="45">
        <v>-5966.492445958412</v>
      </c>
      <c r="F126" s="44">
        <v>-7542.205530046736</v>
      </c>
      <c r="G126" s="44">
        <v>0</v>
      </c>
      <c r="H126" s="44">
        <v>0</v>
      </c>
      <c r="I126" s="44">
        <v>0</v>
      </c>
    </row>
    <row r="127" spans="1:9" ht="15">
      <c r="A127" s="46" t="str">
        <f>HLOOKUP(INDICE!$F$2,Nombres!$C$3:$D$636,40,FALSE)</f>
        <v>  Gastos de personal</v>
      </c>
      <c r="B127" s="44">
        <v>-2132.377900234281</v>
      </c>
      <c r="C127" s="44">
        <v>-2683.87051961705</v>
      </c>
      <c r="D127" s="44">
        <v>-3330.9030264493813</v>
      </c>
      <c r="E127" s="45">
        <v>-3521.16125324525</v>
      </c>
      <c r="F127" s="44">
        <v>-4344.464123194133</v>
      </c>
      <c r="G127" s="44">
        <v>0</v>
      </c>
      <c r="H127" s="44">
        <v>0</v>
      </c>
      <c r="I127" s="44">
        <v>0</v>
      </c>
    </row>
    <row r="128" spans="1:9" ht="15">
      <c r="A128" s="46" t="str">
        <f>HLOOKUP(INDICE!$F$2,Nombres!$C$3:$D$636,41,FALSE)</f>
        <v>  Otros gastos de administración</v>
      </c>
      <c r="B128" s="44">
        <v>-1248.1452909410395</v>
      </c>
      <c r="C128" s="44">
        <v>-1389.7146529900017</v>
      </c>
      <c r="D128" s="44">
        <v>-1607.665846289006</v>
      </c>
      <c r="E128" s="45">
        <v>-2445.3311927131604</v>
      </c>
      <c r="F128" s="44">
        <v>-3197.741406852604</v>
      </c>
      <c r="G128" s="44">
        <v>0</v>
      </c>
      <c r="H128" s="44">
        <v>0</v>
      </c>
      <c r="I128" s="44">
        <v>0</v>
      </c>
    </row>
    <row r="129" spans="1:9" ht="15">
      <c r="A129" s="43" t="str">
        <f>HLOOKUP(INDICE!$F$2,Nombres!$C$3:$D$636,42,FALSE)</f>
        <v>  Amortización</v>
      </c>
      <c r="B129" s="44">
        <v>-475.50546708803546</v>
      </c>
      <c r="C129" s="44">
        <v>-622.5914601477508</v>
      </c>
      <c r="D129" s="44">
        <v>-627.2952763197571</v>
      </c>
      <c r="E129" s="45">
        <v>-812.1592737892307</v>
      </c>
      <c r="F129" s="44">
        <v>-757.9222265507597</v>
      </c>
      <c r="G129" s="44">
        <v>0</v>
      </c>
      <c r="H129" s="44">
        <v>0</v>
      </c>
      <c r="I129" s="44">
        <v>0</v>
      </c>
    </row>
    <row r="130" spans="1:9" ht="15">
      <c r="A130" s="41" t="str">
        <f>HLOOKUP(INDICE!$F$2,Nombres!$C$3:$D$636,43,FALSE)</f>
        <v>Margen neto</v>
      </c>
      <c r="B130" s="41">
        <f>+B124+B125</f>
        <v>4253.93558861297</v>
      </c>
      <c r="C130" s="41">
        <f aca="true" t="shared" si="20" ref="C130:I130">+C124+C125</f>
        <v>10218.483155932567</v>
      </c>
      <c r="D130" s="41">
        <f t="shared" si="20"/>
        <v>13661.815581914907</v>
      </c>
      <c r="E130" s="42">
        <f t="shared" si="20"/>
        <v>13734.914762316821</v>
      </c>
      <c r="F130" s="50">
        <f t="shared" si="20"/>
        <v>8387.260526976846</v>
      </c>
      <c r="G130" s="50">
        <f t="shared" si="20"/>
        <v>0</v>
      </c>
      <c r="H130" s="50">
        <f t="shared" si="20"/>
        <v>0</v>
      </c>
      <c r="I130" s="50">
        <f t="shared" si="20"/>
        <v>0</v>
      </c>
    </row>
    <row r="131" spans="1:9" ht="15">
      <c r="A131" s="43" t="str">
        <f>HLOOKUP(INDICE!$F$2,Nombres!$C$3:$D$636,44,FALSE)</f>
        <v>Deterioro de activos financieros no valorados a valor razonable con cambios en resultados</v>
      </c>
      <c r="B131" s="44">
        <v>-1560.0697863285266</v>
      </c>
      <c r="C131" s="44">
        <v>-1409.2385700027787</v>
      </c>
      <c r="D131" s="44">
        <v>-2181.3812838063163</v>
      </c>
      <c r="E131" s="45">
        <v>-2548.167318311701</v>
      </c>
      <c r="F131" s="44">
        <v>-1250.0872622362563</v>
      </c>
      <c r="G131" s="44">
        <v>0</v>
      </c>
      <c r="H131" s="44">
        <v>0</v>
      </c>
      <c r="I131" s="44">
        <v>0</v>
      </c>
    </row>
    <row r="132" spans="1:9" ht="15">
      <c r="A132" s="43" t="str">
        <f>HLOOKUP(INDICE!$F$2,Nombres!$C$3:$D$636,45,FALSE)</f>
        <v>Provisiones o reversión de provisiones y otros resultados</v>
      </c>
      <c r="B132" s="44">
        <v>-176.10807576008972</v>
      </c>
      <c r="C132" s="44">
        <v>-414.09356780461087</v>
      </c>
      <c r="D132" s="44">
        <v>-698.0207741786018</v>
      </c>
      <c r="E132" s="45">
        <v>-475.0050557967588</v>
      </c>
      <c r="F132" s="44">
        <v>-336.43324756264764</v>
      </c>
      <c r="G132" s="44">
        <v>0</v>
      </c>
      <c r="H132" s="44">
        <v>0</v>
      </c>
      <c r="I132" s="44">
        <v>0</v>
      </c>
    </row>
    <row r="133" spans="1:9" ht="15">
      <c r="A133" s="41" t="str">
        <f>HLOOKUP(INDICE!$F$2,Nombres!$C$3:$D$636,46,FALSE)</f>
        <v>Resultado antes de impuestos</v>
      </c>
      <c r="B133" s="41">
        <f>+B130+B131+B132</f>
        <v>2517.757726524353</v>
      </c>
      <c r="C133" s="41">
        <f aca="true" t="shared" si="21" ref="C133:I133">+C130+C131+C132</f>
        <v>8395.151018125176</v>
      </c>
      <c r="D133" s="41">
        <f t="shared" si="21"/>
        <v>10782.413523929989</v>
      </c>
      <c r="E133" s="42">
        <f t="shared" si="21"/>
        <v>10711.74238820836</v>
      </c>
      <c r="F133" s="50">
        <f t="shared" si="21"/>
        <v>6800.740017177942</v>
      </c>
      <c r="G133" s="50">
        <f t="shared" si="21"/>
        <v>0</v>
      </c>
      <c r="H133" s="50">
        <f t="shared" si="21"/>
        <v>0</v>
      </c>
      <c r="I133" s="50">
        <f t="shared" si="21"/>
        <v>0</v>
      </c>
    </row>
    <row r="134" spans="1:9" ht="15">
      <c r="A134" s="43" t="str">
        <f>HLOOKUP(INDICE!$F$2,Nombres!$C$3:$D$636,47,FALSE)</f>
        <v>Impuesto sobre beneficios</v>
      </c>
      <c r="B134" s="44">
        <v>-5014.49947887421</v>
      </c>
      <c r="C134" s="44">
        <v>-5971.20947581308</v>
      </c>
      <c r="D134" s="44">
        <v>-5088.490819968889</v>
      </c>
      <c r="E134" s="45">
        <v>-5901.5640876184825</v>
      </c>
      <c r="F134" s="44">
        <v>-96.39797976041245</v>
      </c>
      <c r="G134" s="44">
        <v>0</v>
      </c>
      <c r="H134" s="44">
        <v>0</v>
      </c>
      <c r="I134" s="44">
        <v>0</v>
      </c>
    </row>
    <row r="135" spans="1:9" ht="15">
      <c r="A135" s="41" t="str">
        <f>HLOOKUP(INDICE!$F$2,Nombres!$C$3:$D$636,48,FALSE)</f>
        <v>Resultado del ejercicio</v>
      </c>
      <c r="B135" s="41">
        <f>+B133+B134</f>
        <v>-2496.7417523498566</v>
      </c>
      <c r="C135" s="41">
        <f aca="true" t="shared" si="22" ref="C135:I135">+C133+C134</f>
        <v>2423.9415423120963</v>
      </c>
      <c r="D135" s="41">
        <f t="shared" si="22"/>
        <v>5693.9227039611</v>
      </c>
      <c r="E135" s="42">
        <f t="shared" si="22"/>
        <v>4810.178300589878</v>
      </c>
      <c r="F135" s="50">
        <f t="shared" si="22"/>
        <v>6704.342037417529</v>
      </c>
      <c r="G135" s="50">
        <f t="shared" si="22"/>
        <v>0</v>
      </c>
      <c r="H135" s="50">
        <f t="shared" si="22"/>
        <v>0</v>
      </c>
      <c r="I135" s="50">
        <f t="shared" si="22"/>
        <v>0</v>
      </c>
    </row>
    <row r="136" spans="1:9" ht="15">
      <c r="A136" s="43" t="str">
        <f>HLOOKUP(INDICE!$F$2,Nombres!$C$3:$D$636,49,FALSE)</f>
        <v>Minoritarios</v>
      </c>
      <c r="B136" s="44">
        <v>1256.3325964271485</v>
      </c>
      <c r="C136" s="44">
        <v>-183.04769133979153</v>
      </c>
      <c r="D136" s="44">
        <v>-732.7922673901845</v>
      </c>
      <c r="E136" s="45">
        <v>-842.9678548377824</v>
      </c>
      <c r="F136" s="44">
        <v>-944.5719145202634</v>
      </c>
      <c r="G136" s="44">
        <v>0</v>
      </c>
      <c r="H136" s="44">
        <v>0</v>
      </c>
      <c r="I136" s="44">
        <v>0</v>
      </c>
    </row>
    <row r="137" spans="1:9" ht="15">
      <c r="A137" s="47" t="str">
        <f>HLOOKUP(INDICE!$F$2,Nombres!$C$3:$D$636,50,FALSE)</f>
        <v>Resultado atribuido</v>
      </c>
      <c r="B137" s="47">
        <f>+B135+B136</f>
        <v>-1240.4091559227081</v>
      </c>
      <c r="C137" s="47">
        <f aca="true" t="shared" si="23" ref="C137:I137">+C135+C136</f>
        <v>2240.893850972305</v>
      </c>
      <c r="D137" s="47">
        <f t="shared" si="23"/>
        <v>4961.130436570915</v>
      </c>
      <c r="E137" s="47">
        <f t="shared" si="23"/>
        <v>3967.2104457520954</v>
      </c>
      <c r="F137" s="51">
        <f t="shared" si="23"/>
        <v>5759.7701228972655</v>
      </c>
      <c r="G137" s="51">
        <f t="shared" si="23"/>
        <v>0</v>
      </c>
      <c r="H137" s="51">
        <f t="shared" si="23"/>
        <v>0</v>
      </c>
      <c r="I137" s="51">
        <f t="shared" si="23"/>
        <v>0</v>
      </c>
    </row>
    <row r="138" spans="1:9" ht="15">
      <c r="A138" s="62"/>
      <c r="B138" s="63">
        <v>0</v>
      </c>
      <c r="C138" s="63">
        <v>0</v>
      </c>
      <c r="D138" s="63">
        <v>0</v>
      </c>
      <c r="E138" s="63">
        <v>-5.4569682106375694E-12</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HLOOKUP(INDICE!$F$2,Nombres!$C$3:$D$636,77,FALSE)</f>
        <v>(Millones de liras turcas)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129059.66450961103</v>
      </c>
      <c r="C143" s="44">
        <v>139457.27407260635</v>
      </c>
      <c r="D143" s="44">
        <v>146660.02558161994</v>
      </c>
      <c r="E143" s="45">
        <v>121011.2119501936</v>
      </c>
      <c r="F143" s="44">
        <v>176903.1202600908</v>
      </c>
      <c r="G143" s="44">
        <v>0</v>
      </c>
      <c r="H143" s="44">
        <v>0</v>
      </c>
      <c r="I143" s="44">
        <v>0</v>
      </c>
    </row>
    <row r="144" spans="1:9" ht="15">
      <c r="A144" s="43" t="str">
        <f>HLOOKUP(INDICE!$F$2,Nombres!$C$3:$D$636,53,FALSE)</f>
        <v>Activos financieros a valor razonable</v>
      </c>
      <c r="B144" s="58">
        <v>84302.84570493786</v>
      </c>
      <c r="C144" s="58">
        <v>96971.34484242162</v>
      </c>
      <c r="D144" s="58">
        <v>100506.5270094619</v>
      </c>
      <c r="E144" s="64">
        <v>103882.4258196945</v>
      </c>
      <c r="F144" s="44">
        <v>106596.01394837265</v>
      </c>
      <c r="G144" s="44">
        <v>0</v>
      </c>
      <c r="H144" s="44">
        <v>0</v>
      </c>
      <c r="I144" s="44">
        <v>0</v>
      </c>
    </row>
    <row r="145" spans="1:9" ht="15">
      <c r="A145" s="43" t="str">
        <f>HLOOKUP(INDICE!$F$2,Nombres!$C$3:$D$636,54,FALSE)</f>
        <v>Activos financieros a coste amortizado</v>
      </c>
      <c r="B145" s="44">
        <v>716521.0105001717</v>
      </c>
      <c r="C145" s="44">
        <v>837728.6599656425</v>
      </c>
      <c r="D145" s="44">
        <v>940374.7190696573</v>
      </c>
      <c r="E145" s="45">
        <v>1030616.5680175455</v>
      </c>
      <c r="F145" s="44">
        <v>1131612.7910546635</v>
      </c>
      <c r="G145" s="44">
        <v>0</v>
      </c>
      <c r="H145" s="44">
        <v>0</v>
      </c>
      <c r="I145" s="44">
        <v>0</v>
      </c>
    </row>
    <row r="146" spans="1:9" ht="15">
      <c r="A146" s="43" t="str">
        <f>HLOOKUP(INDICE!$F$2,Nombres!$C$3:$D$636,55,FALSE)</f>
        <v>    de los que préstamos y anticipos a la clientela</v>
      </c>
      <c r="B146" s="44">
        <v>549141.555385598</v>
      </c>
      <c r="C146" s="44">
        <v>616833.4059746821</v>
      </c>
      <c r="D146" s="44">
        <v>667268.6589522304</v>
      </c>
      <c r="E146" s="45">
        <v>747536.4869863604</v>
      </c>
      <c r="F146" s="44">
        <v>813564.5314575385</v>
      </c>
      <c r="G146" s="44">
        <v>0</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14000.758994822892</v>
      </c>
      <c r="C148" s="44">
        <v>15957.303552069381</v>
      </c>
      <c r="D148" s="44">
        <v>17369.199358897105</v>
      </c>
      <c r="E148" s="45">
        <v>24214.029666998722</v>
      </c>
      <c r="F148" s="44">
        <v>28551.080567885543</v>
      </c>
      <c r="G148" s="44">
        <v>0</v>
      </c>
      <c r="H148" s="44">
        <v>0</v>
      </c>
      <c r="I148" s="44">
        <v>0</v>
      </c>
    </row>
    <row r="149" spans="1:9" ht="15">
      <c r="A149" s="43" t="str">
        <f>HLOOKUP(INDICE!$F$2,Nombres!$C$3:$D$636,57,FALSE)</f>
        <v>Otros activos</v>
      </c>
      <c r="B149" s="58">
        <f>+B150-B148-B145-B144-B143</f>
        <v>16129.620872926316</v>
      </c>
      <c r="C149" s="58">
        <f aca="true" t="shared" si="25" ref="C149:I149">+C150-C148-C145-C144-C143</f>
        <v>20120.074634575023</v>
      </c>
      <c r="D149" s="58">
        <f t="shared" si="25"/>
        <v>32006.23480567918</v>
      </c>
      <c r="E149" s="64">
        <f t="shared" si="25"/>
        <v>38687.48506619496</v>
      </c>
      <c r="F149" s="44">
        <f t="shared" si="25"/>
        <v>42256.61736650849</v>
      </c>
      <c r="G149" s="44">
        <f t="shared" si="25"/>
        <v>0</v>
      </c>
      <c r="H149" s="44">
        <f t="shared" si="25"/>
        <v>0</v>
      </c>
      <c r="I149" s="44">
        <f t="shared" si="25"/>
        <v>0</v>
      </c>
    </row>
    <row r="150" spans="1:9" ht="15">
      <c r="A150" s="47" t="str">
        <f>HLOOKUP(INDICE!$F$2,Nombres!$C$3:$D$636,58,FALSE)</f>
        <v>Total activo / pasivo</v>
      </c>
      <c r="B150" s="47">
        <v>960013.9005824698</v>
      </c>
      <c r="C150" s="47">
        <v>1110234.657067315</v>
      </c>
      <c r="D150" s="47">
        <v>1236916.7058253153</v>
      </c>
      <c r="E150" s="70">
        <v>1318411.7205206272</v>
      </c>
      <c r="F150" s="51">
        <v>1485919.623197521</v>
      </c>
      <c r="G150" s="51">
        <v>0</v>
      </c>
      <c r="H150" s="51">
        <v>0</v>
      </c>
      <c r="I150" s="51">
        <v>0</v>
      </c>
    </row>
    <row r="151" spans="1:9" ht="15">
      <c r="A151" s="43" t="str">
        <f>HLOOKUP(INDICE!$F$2,Nombres!$C$3:$D$636,59,FALSE)</f>
        <v>Pasivos financieros mantenidos para negociar y designados a valor razonable con cambios en resultados</v>
      </c>
      <c r="B151" s="58">
        <v>35790.48184065852</v>
      </c>
      <c r="C151" s="58">
        <v>41242.763934179326</v>
      </c>
      <c r="D151" s="58">
        <v>43726.86552954446</v>
      </c>
      <c r="E151" s="64">
        <v>42681.40244779775</v>
      </c>
      <c r="F151" s="44">
        <v>43382.082688626084</v>
      </c>
      <c r="G151" s="44">
        <v>0</v>
      </c>
      <c r="H151" s="44">
        <v>0</v>
      </c>
      <c r="I151" s="44">
        <v>0</v>
      </c>
    </row>
    <row r="152" spans="1:9" ht="15">
      <c r="A152" s="43" t="str">
        <f>HLOOKUP(INDICE!$F$2,Nombres!$C$3:$D$636,60,FALSE)</f>
        <v>Depósitos de bancos centrales y entidades de crédito</v>
      </c>
      <c r="B152" s="58">
        <v>59876.70912539791</v>
      </c>
      <c r="C152" s="58">
        <v>91926.7453923997</v>
      </c>
      <c r="D152" s="58">
        <v>72325.40486760435</v>
      </c>
      <c r="E152" s="64">
        <v>57337.276169596975</v>
      </c>
      <c r="F152" s="44">
        <v>57508.40936616945</v>
      </c>
      <c r="G152" s="44">
        <v>0</v>
      </c>
      <c r="H152" s="44">
        <v>0</v>
      </c>
      <c r="I152" s="44">
        <v>0</v>
      </c>
    </row>
    <row r="153" spans="1:9" ht="15">
      <c r="A153" s="43" t="str">
        <f>HLOOKUP(INDICE!$F$2,Nombres!$C$3:$D$636,61,FALSE)</f>
        <v>Depósitos de la clientela</v>
      </c>
      <c r="B153" s="58">
        <v>653843.2247411691</v>
      </c>
      <c r="C153" s="58">
        <v>739448.7246332152</v>
      </c>
      <c r="D153" s="58">
        <v>853526.769192372</v>
      </c>
      <c r="E153" s="64">
        <v>925157.7935534512</v>
      </c>
      <c r="F153" s="44">
        <v>1068899.493142115</v>
      </c>
      <c r="G153" s="44">
        <v>0</v>
      </c>
      <c r="H153" s="44">
        <v>0</v>
      </c>
      <c r="I153" s="44">
        <v>0</v>
      </c>
    </row>
    <row r="154" spans="1:9" ht="15">
      <c r="A154" s="43" t="str">
        <f>HLOOKUP(INDICE!$F$2,Nombres!$C$3:$D$636,62,FALSE)</f>
        <v>Valores representativos de deuda emitidos</v>
      </c>
      <c r="B154" s="44">
        <v>57770.458519149965</v>
      </c>
      <c r="C154" s="44">
        <v>67505.44008868505</v>
      </c>
      <c r="D154" s="44">
        <v>61104.83145737857</v>
      </c>
      <c r="E154" s="45">
        <v>64598.419106721456</v>
      </c>
      <c r="F154" s="44">
        <v>60589.43419818791</v>
      </c>
      <c r="G154" s="44">
        <v>0</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48476.095248302954</v>
      </c>
      <c r="C156" s="58">
        <f aca="true" t="shared" si="26" ref="C156:I156">+C150-C151-C152-C153-C154-C157</f>
        <v>51961.43374728589</v>
      </c>
      <c r="D156" s="58">
        <f t="shared" si="26"/>
        <v>87584.9343089062</v>
      </c>
      <c r="E156" s="64">
        <f t="shared" si="26"/>
        <v>94661.45255892666</v>
      </c>
      <c r="F156" s="44">
        <f t="shared" si="26"/>
        <v>106134.0049491892</v>
      </c>
      <c r="G156" s="44">
        <f t="shared" si="26"/>
        <v>0</v>
      </c>
      <c r="H156" s="44">
        <f t="shared" si="26"/>
        <v>0</v>
      </c>
      <c r="I156" s="44">
        <f t="shared" si="26"/>
        <v>0</v>
      </c>
    </row>
    <row r="157" spans="1:9" ht="15.75" customHeight="1">
      <c r="A157" s="43" t="str">
        <f>HLOOKUP(INDICE!$F$2,Nombres!$C$3:$D$636,282,FALSE)</f>
        <v>Dotación de capital regulatorio</v>
      </c>
      <c r="B157" s="44">
        <v>104256.93110779127</v>
      </c>
      <c r="C157" s="44">
        <v>118149.54927154962</v>
      </c>
      <c r="D157" s="44">
        <v>118647.90046950977</v>
      </c>
      <c r="E157" s="44">
        <v>133975.37668413314</v>
      </c>
      <c r="F157" s="44">
        <v>149406.19885323342</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HLOOKUP(INDICE!$F$2,Nombres!$C$3:$D$636,77,FALSE)</f>
        <v>(Millones de liras turcas)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583368.8061678539</v>
      </c>
      <c r="C163" s="44">
        <v>653979.6554848434</v>
      </c>
      <c r="D163" s="44">
        <v>706592.0099635504</v>
      </c>
      <c r="E163" s="45">
        <v>789554.1164038583</v>
      </c>
      <c r="F163" s="44">
        <v>856691.7701581657</v>
      </c>
      <c r="G163" s="44">
        <v>0</v>
      </c>
      <c r="H163" s="44">
        <v>0</v>
      </c>
      <c r="I163" s="44">
        <v>0</v>
      </c>
    </row>
    <row r="164" spans="1:9" ht="15">
      <c r="A164" s="43" t="str">
        <f>HLOOKUP(INDICE!$F$2,Nombres!$C$3:$D$636,67,FALSE)</f>
        <v>Depósitos de clientes en gestión (**)</v>
      </c>
      <c r="B164" s="44">
        <v>653814.3073763689</v>
      </c>
      <c r="C164" s="44">
        <v>739422.5510912151</v>
      </c>
      <c r="D164" s="44">
        <v>853486.0437991716</v>
      </c>
      <c r="E164" s="45">
        <v>910235.108908052</v>
      </c>
      <c r="F164" s="44">
        <v>1039115.4809070344</v>
      </c>
      <c r="G164" s="44">
        <v>0</v>
      </c>
      <c r="H164" s="44">
        <v>0</v>
      </c>
      <c r="I164" s="44">
        <v>0</v>
      </c>
    </row>
    <row r="165" spans="1:9" ht="15">
      <c r="A165" s="43" t="str">
        <f>HLOOKUP(INDICE!$F$2,Nombres!$C$3:$D$636,68,FALSE)</f>
        <v>Fondos de inversión y carteras gestionadas</v>
      </c>
      <c r="B165" s="44">
        <v>34004.5414828556</v>
      </c>
      <c r="C165" s="44">
        <v>40178.60418617469</v>
      </c>
      <c r="D165" s="44">
        <v>48247.40225886973</v>
      </c>
      <c r="E165" s="45">
        <v>74487.12526959607</v>
      </c>
      <c r="F165" s="44">
        <v>89102.1372956428</v>
      </c>
      <c r="G165" s="44">
        <v>0</v>
      </c>
      <c r="H165" s="44">
        <v>0</v>
      </c>
      <c r="I165" s="44">
        <v>0</v>
      </c>
    </row>
    <row r="166" spans="1:9" ht="15">
      <c r="A166" s="43" t="str">
        <f>HLOOKUP(INDICE!$F$2,Nombres!$C$3:$D$636,69,FALSE)</f>
        <v>Fondos de pensiones</v>
      </c>
      <c r="B166" s="44">
        <v>37988.93426896212</v>
      </c>
      <c r="C166" s="44">
        <v>45133.458354196235</v>
      </c>
      <c r="D166" s="44">
        <v>52490.07679169346</v>
      </c>
      <c r="E166" s="45">
        <v>63983.511519996624</v>
      </c>
      <c r="F166" s="44">
        <v>67191.41688693064</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6:E6"/>
    <mergeCell ref="F6:I6"/>
    <mergeCell ref="B62:E62"/>
    <mergeCell ref="F62:I62"/>
    <mergeCell ref="B118:E118"/>
    <mergeCell ref="F118:I118"/>
  </mergeCells>
  <conditionalFormatting sqref="B26:I26">
    <cfRule type="cellIs" priority="3" dxfId="261" operator="notBetween">
      <formula>0.5</formula>
      <formula>-0.5</formula>
    </cfRule>
  </conditionalFormatting>
  <conditionalFormatting sqref="B82:I82">
    <cfRule type="cellIs" priority="2" dxfId="261" operator="notBetween">
      <formula>0.5</formula>
      <formula>-0.5</formula>
    </cfRule>
  </conditionalFormatting>
  <conditionalFormatting sqref="B138:I138">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6.57421875" style="31" customWidth="1"/>
    <col min="2" max="6" width="11.421875" style="31" customWidth="1"/>
    <col min="7" max="9" width="0" style="31" hidden="1" customWidth="1"/>
    <col min="10" max="16384" width="11.421875" style="31" customWidth="1"/>
  </cols>
  <sheetData>
    <row r="1" spans="1:9" ht="18">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809.3452602399998</v>
      </c>
      <c r="C8" s="41">
        <v>1039.8659387700002</v>
      </c>
      <c r="D8" s="41">
        <v>1224.3587979000001</v>
      </c>
      <c r="E8" s="42">
        <v>1064.0967855</v>
      </c>
      <c r="F8" s="50">
        <v>1189.6238201899998</v>
      </c>
      <c r="G8" s="50">
        <v>0</v>
      </c>
      <c r="H8" s="50">
        <v>0</v>
      </c>
      <c r="I8" s="50">
        <v>0</v>
      </c>
    </row>
    <row r="9" spans="1:9" ht="15">
      <c r="A9" s="43" t="str">
        <f>HLOOKUP(INDICE!$F$2,Nombres!$C$3:$D$636,34,FALSE)</f>
        <v>Comisiones netas</v>
      </c>
      <c r="B9" s="44">
        <v>178.10568923</v>
      </c>
      <c r="C9" s="44">
        <v>222.69375806000002</v>
      </c>
      <c r="D9" s="44">
        <v>207.64165207999997</v>
      </c>
      <c r="E9" s="45">
        <v>169.65302934</v>
      </c>
      <c r="F9" s="44">
        <v>184.20062958999998</v>
      </c>
      <c r="G9" s="44">
        <v>0</v>
      </c>
      <c r="H9" s="44">
        <v>0</v>
      </c>
      <c r="I9" s="44">
        <v>0</v>
      </c>
    </row>
    <row r="10" spans="1:9" ht="15">
      <c r="A10" s="43" t="str">
        <f>HLOOKUP(INDICE!$F$2,Nombres!$C$3:$D$636,35,FALSE)</f>
        <v>Resultados de operaciones financieras</v>
      </c>
      <c r="B10" s="44">
        <v>93.22845095000001</v>
      </c>
      <c r="C10" s="44">
        <v>109.64612033999998</v>
      </c>
      <c r="D10" s="44">
        <v>151.86050311999998</v>
      </c>
      <c r="E10" s="45">
        <v>92.00741371000004</v>
      </c>
      <c r="F10" s="44">
        <v>127.07239331</v>
      </c>
      <c r="G10" s="44">
        <v>0</v>
      </c>
      <c r="H10" s="44">
        <v>0</v>
      </c>
      <c r="I10" s="44">
        <v>0</v>
      </c>
    </row>
    <row r="11" spans="1:9" ht="15">
      <c r="A11" s="43" t="str">
        <f>HLOOKUP(INDICE!$F$2,Nombres!$C$3:$D$636,36,FALSE)</f>
        <v>Otros ingresos y cargas de explotación</v>
      </c>
      <c r="B11" s="44">
        <v>-195.408</v>
      </c>
      <c r="C11" s="44">
        <v>-275.768</v>
      </c>
      <c r="D11" s="44">
        <v>-379.40400000000005</v>
      </c>
      <c r="E11" s="45">
        <v>-246.5109979899999</v>
      </c>
      <c r="F11" s="44">
        <v>-326.20599999999996</v>
      </c>
      <c r="G11" s="44">
        <v>0</v>
      </c>
      <c r="H11" s="44">
        <v>0</v>
      </c>
      <c r="I11" s="44">
        <v>0</v>
      </c>
    </row>
    <row r="12" spans="1:9" ht="15">
      <c r="A12" s="41" t="str">
        <f>HLOOKUP(INDICE!$F$2,Nombres!$C$3:$D$636,37,FALSE)</f>
        <v>Margen bruto</v>
      </c>
      <c r="B12" s="41">
        <f>+SUM(B8:B11)</f>
        <v>885.2714004199998</v>
      </c>
      <c r="C12" s="41">
        <f aca="true" t="shared" si="0" ref="C12:I12">+SUM(C8:C11)</f>
        <v>1096.43781717</v>
      </c>
      <c r="D12" s="41">
        <f t="shared" si="0"/>
        <v>1204.4569531000002</v>
      </c>
      <c r="E12" s="42">
        <f t="shared" si="0"/>
        <v>1079.2462305600002</v>
      </c>
      <c r="F12" s="50">
        <f t="shared" si="0"/>
        <v>1174.69084309</v>
      </c>
      <c r="G12" s="50">
        <f t="shared" si="0"/>
        <v>0</v>
      </c>
      <c r="H12" s="50">
        <f t="shared" si="0"/>
        <v>0</v>
      </c>
      <c r="I12" s="50">
        <f t="shared" si="0"/>
        <v>0</v>
      </c>
    </row>
    <row r="13" spans="1:9" ht="15">
      <c r="A13" s="43" t="str">
        <f>HLOOKUP(INDICE!$F$2,Nombres!$C$3:$D$636,38,FALSE)</f>
        <v>Gastos de explotación</v>
      </c>
      <c r="B13" s="44">
        <v>-412.59203234999995</v>
      </c>
      <c r="C13" s="44">
        <v>-510.32738589</v>
      </c>
      <c r="D13" s="44">
        <v>-570.29523092</v>
      </c>
      <c r="E13" s="45">
        <v>-482.55111457</v>
      </c>
      <c r="F13" s="44">
        <v>-533.12801333</v>
      </c>
      <c r="G13" s="44">
        <v>0</v>
      </c>
      <c r="H13" s="44">
        <v>0</v>
      </c>
      <c r="I13" s="44">
        <v>0</v>
      </c>
    </row>
    <row r="14" spans="1:9" ht="15">
      <c r="A14" s="43" t="str">
        <f>HLOOKUP(INDICE!$F$2,Nombres!$C$3:$D$636,39,FALSE)</f>
        <v>  Gastos de administración</v>
      </c>
      <c r="B14" s="44">
        <v>-377.96503235</v>
      </c>
      <c r="C14" s="44">
        <v>-462.43138589000006</v>
      </c>
      <c r="D14" s="44">
        <v>-523.0342309199999</v>
      </c>
      <c r="E14" s="45">
        <v>-442.17611457</v>
      </c>
      <c r="F14" s="44">
        <v>-490.18801333</v>
      </c>
      <c r="G14" s="44">
        <v>0</v>
      </c>
      <c r="H14" s="44">
        <v>0</v>
      </c>
      <c r="I14" s="44">
        <v>0</v>
      </c>
    </row>
    <row r="15" spans="1:9" ht="15">
      <c r="A15" s="46" t="str">
        <f>HLOOKUP(INDICE!$F$2,Nombres!$C$3:$D$636,40,FALSE)</f>
        <v>  Gastos de personal</v>
      </c>
      <c r="B15" s="44">
        <v>-200.55323161000004</v>
      </c>
      <c r="C15" s="44">
        <v>-246.03636455999998</v>
      </c>
      <c r="D15" s="44">
        <v>-267.32569603999997</v>
      </c>
      <c r="E15" s="45">
        <v>-232.22820937</v>
      </c>
      <c r="F15" s="44">
        <v>-251.67365672</v>
      </c>
      <c r="G15" s="44">
        <v>0</v>
      </c>
      <c r="H15" s="44">
        <v>0</v>
      </c>
      <c r="I15" s="44">
        <v>0</v>
      </c>
    </row>
    <row r="16" spans="1:9" ht="15">
      <c r="A16" s="46" t="str">
        <f>HLOOKUP(INDICE!$F$2,Nombres!$C$3:$D$636,41,FALSE)</f>
        <v>  Otros gastos de administración</v>
      </c>
      <c r="B16" s="44">
        <v>-177.41180074</v>
      </c>
      <c r="C16" s="44">
        <v>-216.39502133000002</v>
      </c>
      <c r="D16" s="44">
        <v>-255.70853488</v>
      </c>
      <c r="E16" s="45">
        <v>-209.94790519999998</v>
      </c>
      <c r="F16" s="44">
        <v>-238.51435661</v>
      </c>
      <c r="G16" s="44">
        <v>0</v>
      </c>
      <c r="H16" s="44">
        <v>0</v>
      </c>
      <c r="I16" s="44">
        <v>0</v>
      </c>
    </row>
    <row r="17" spans="1:9" ht="15">
      <c r="A17" s="43" t="str">
        <f>HLOOKUP(INDICE!$F$2,Nombres!$C$3:$D$636,42,FALSE)</f>
        <v>  Amortización</v>
      </c>
      <c r="B17" s="44">
        <v>-34.627</v>
      </c>
      <c r="C17" s="44">
        <v>-47.896</v>
      </c>
      <c r="D17" s="44">
        <v>-47.26100000000001</v>
      </c>
      <c r="E17" s="45">
        <v>-40.374999999999986</v>
      </c>
      <c r="F17" s="44">
        <v>-42.940000000000005</v>
      </c>
      <c r="G17" s="44">
        <v>0</v>
      </c>
      <c r="H17" s="44">
        <v>0</v>
      </c>
      <c r="I17" s="44">
        <v>0</v>
      </c>
    </row>
    <row r="18" spans="1:9" ht="15">
      <c r="A18" s="41" t="str">
        <f>HLOOKUP(INDICE!$F$2,Nombres!$C$3:$D$636,43,FALSE)</f>
        <v>Margen neto</v>
      </c>
      <c r="B18" s="41">
        <f>+B12+B13</f>
        <v>472.6793680699999</v>
      </c>
      <c r="C18" s="41">
        <f aca="true" t="shared" si="1" ref="C18:I18">+C12+C13</f>
        <v>586.1104312800001</v>
      </c>
      <c r="D18" s="41">
        <f t="shared" si="1"/>
        <v>634.1617221800002</v>
      </c>
      <c r="E18" s="42">
        <f t="shared" si="1"/>
        <v>596.6951159900002</v>
      </c>
      <c r="F18" s="50">
        <f t="shared" si="1"/>
        <v>641.56282976</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-140.98599999999996</v>
      </c>
      <c r="C19" s="44">
        <v>-130.73500000000004</v>
      </c>
      <c r="D19" s="44">
        <v>-210.06500000000003</v>
      </c>
      <c r="E19" s="45">
        <v>-280.007</v>
      </c>
      <c r="F19" s="44">
        <v>-227.27700000000004</v>
      </c>
      <c r="G19" s="44">
        <v>0</v>
      </c>
      <c r="H19" s="44">
        <v>0</v>
      </c>
      <c r="I19" s="44">
        <v>0</v>
      </c>
    </row>
    <row r="20" spans="1:9" ht="15">
      <c r="A20" s="43" t="str">
        <f>HLOOKUP(INDICE!$F$2,Nombres!$C$3:$D$636,45,FALSE)</f>
        <v>Provisiones o reversión de provisiones y otros resultados</v>
      </c>
      <c r="B20" s="44">
        <v>-16.292266</v>
      </c>
      <c r="C20" s="44">
        <v>-25.30676299999998</v>
      </c>
      <c r="D20" s="44">
        <v>-21.757181000000003</v>
      </c>
      <c r="E20" s="45">
        <v>-30.31696924</v>
      </c>
      <c r="F20" s="44">
        <v>-8.828408989999998</v>
      </c>
      <c r="G20" s="44">
        <v>0</v>
      </c>
      <c r="H20" s="44">
        <v>0</v>
      </c>
      <c r="I20" s="44">
        <v>0</v>
      </c>
    </row>
    <row r="21" spans="1:9" ht="15">
      <c r="A21" s="41" t="str">
        <f>HLOOKUP(INDICE!$F$2,Nombres!$C$3:$D$636,46,FALSE)</f>
        <v>Resultado antes de impuestos</v>
      </c>
      <c r="B21" s="41">
        <f>+B18+B19+B20</f>
        <v>315.4011020699999</v>
      </c>
      <c r="C21" s="41">
        <f aca="true" t="shared" si="2" ref="C21:I21">+C18+C19+C20</f>
        <v>430.06866828000005</v>
      </c>
      <c r="D21" s="41">
        <f t="shared" si="2"/>
        <v>402.33954118000014</v>
      </c>
      <c r="E21" s="42">
        <f t="shared" si="2"/>
        <v>286.3711467500002</v>
      </c>
      <c r="F21" s="50">
        <f t="shared" si="2"/>
        <v>405.45742076999994</v>
      </c>
      <c r="G21" s="50">
        <f t="shared" si="2"/>
        <v>0</v>
      </c>
      <c r="H21" s="50">
        <f t="shared" si="2"/>
        <v>0</v>
      </c>
      <c r="I21" s="50">
        <f t="shared" si="2"/>
        <v>0</v>
      </c>
    </row>
    <row r="22" spans="1:9" ht="15">
      <c r="A22" s="43" t="str">
        <f>HLOOKUP(INDICE!$F$2,Nombres!$C$3:$D$636,47,FALSE)</f>
        <v>Impuesto sobre beneficios</v>
      </c>
      <c r="B22" s="44">
        <v>-89.37330450000002</v>
      </c>
      <c r="C22" s="44">
        <v>-55.141245510000005</v>
      </c>
      <c r="D22" s="44">
        <v>-96.94336594</v>
      </c>
      <c r="E22" s="45">
        <v>-106.01119015999998</v>
      </c>
      <c r="F22" s="44">
        <v>-123.59758569999998</v>
      </c>
      <c r="G22" s="44">
        <v>0</v>
      </c>
      <c r="H22" s="44">
        <v>0</v>
      </c>
      <c r="I22" s="44">
        <v>0</v>
      </c>
    </row>
    <row r="23" spans="1:9" ht="15">
      <c r="A23" s="41" t="str">
        <f>HLOOKUP(INDICE!$F$2,Nombres!$C$3:$D$636,48,FALSE)</f>
        <v>Resultado del ejercicio</v>
      </c>
      <c r="B23" s="41">
        <f>+B21+B22</f>
        <v>226.0277975699999</v>
      </c>
      <c r="C23" s="41">
        <f aca="true" t="shared" si="3" ref="C23:I23">+C21+C22</f>
        <v>374.92742277</v>
      </c>
      <c r="D23" s="41">
        <f t="shared" si="3"/>
        <v>305.39617524000016</v>
      </c>
      <c r="E23" s="42">
        <f t="shared" si="3"/>
        <v>180.35995659000022</v>
      </c>
      <c r="F23" s="50">
        <f t="shared" si="3"/>
        <v>281.85983507</v>
      </c>
      <c r="G23" s="50">
        <f t="shared" si="3"/>
        <v>0</v>
      </c>
      <c r="H23" s="50">
        <f t="shared" si="3"/>
        <v>0</v>
      </c>
      <c r="I23" s="50">
        <f t="shared" si="3"/>
        <v>0</v>
      </c>
    </row>
    <row r="24" spans="1:9" ht="15">
      <c r="A24" s="43" t="str">
        <f>HLOOKUP(INDICE!$F$2,Nombres!$C$3:$D$636,49,FALSE)</f>
        <v>Minoritarios</v>
      </c>
      <c r="B24" s="44">
        <v>-66.08792096</v>
      </c>
      <c r="C24" s="44">
        <v>-117.33203138</v>
      </c>
      <c r="D24" s="44">
        <v>-97.91284262</v>
      </c>
      <c r="E24" s="45">
        <v>-67.78877473</v>
      </c>
      <c r="F24" s="44">
        <v>-98.3022067</v>
      </c>
      <c r="G24" s="44">
        <v>0</v>
      </c>
      <c r="H24" s="44">
        <v>0</v>
      </c>
      <c r="I24" s="44">
        <v>0</v>
      </c>
    </row>
    <row r="25" spans="1:9" ht="15">
      <c r="A25" s="47" t="str">
        <f>HLOOKUP(INDICE!$F$2,Nombres!$C$3:$D$636,50,FALSE)</f>
        <v>Resultado atribuido</v>
      </c>
      <c r="B25" s="47">
        <f>+B23+B24</f>
        <v>159.93987660999989</v>
      </c>
      <c r="C25" s="47">
        <f aca="true" t="shared" si="4" ref="C25:I25">+C23+C24</f>
        <v>257.59539139000003</v>
      </c>
      <c r="D25" s="47">
        <f t="shared" si="4"/>
        <v>207.48333262000017</v>
      </c>
      <c r="E25" s="47">
        <f t="shared" si="4"/>
        <v>112.57118186000022</v>
      </c>
      <c r="F25" s="51">
        <f t="shared" si="4"/>
        <v>183.55762836999997</v>
      </c>
      <c r="G25" s="51">
        <f t="shared" si="4"/>
        <v>0</v>
      </c>
      <c r="H25" s="51">
        <f t="shared" si="4"/>
        <v>0</v>
      </c>
      <c r="I25" s="51">
        <f t="shared" si="4"/>
        <v>0</v>
      </c>
    </row>
    <row r="26" spans="1:9" ht="15">
      <c r="A26" s="62"/>
      <c r="B26" s="63">
        <v>0</v>
      </c>
      <c r="C26" s="63">
        <v>0</v>
      </c>
      <c r="D26" s="63">
        <v>0</v>
      </c>
      <c r="E26" s="63">
        <v>0</v>
      </c>
      <c r="F26" s="63">
        <v>0</v>
      </c>
      <c r="G26" s="63">
        <v>0</v>
      </c>
      <c r="H26" s="63">
        <v>0</v>
      </c>
      <c r="I26" s="63">
        <v>0</v>
      </c>
    </row>
    <row r="27" spans="1:15" ht="15">
      <c r="A27" s="41"/>
      <c r="B27" s="41"/>
      <c r="C27" s="41"/>
      <c r="D27" s="41"/>
      <c r="E27" s="41"/>
      <c r="F27" s="41"/>
      <c r="G27" s="41"/>
      <c r="H27" s="41"/>
      <c r="I27" s="41"/>
      <c r="N27" s="159"/>
      <c r="O27" s="159"/>
    </row>
    <row r="28" spans="1:15" ht="18">
      <c r="A28" s="33" t="str">
        <f>HLOOKUP(INDICE!$F$2,Nombres!$C$3:$D$636,51,FALSE)</f>
        <v>Balances</v>
      </c>
      <c r="B28" s="34"/>
      <c r="C28" s="34"/>
      <c r="D28" s="34"/>
      <c r="E28" s="34"/>
      <c r="F28" s="34"/>
      <c r="G28" s="34"/>
      <c r="H28" s="34"/>
      <c r="I28" s="34"/>
      <c r="N28" s="159"/>
      <c r="O28" s="159"/>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10" ht="15">
      <c r="A31" s="43" t="str">
        <f>HLOOKUP(INDICE!$F$2,Nombres!$C$3:$D$636,52,FALSE)</f>
        <v>Efectivo, saldos en efectivo en bancos centrales y otros depósitos a la vista</v>
      </c>
      <c r="B31" s="44">
        <v>8269.488</v>
      </c>
      <c r="C31" s="44">
        <v>8882.579</v>
      </c>
      <c r="D31" s="44">
        <v>9752.209</v>
      </c>
      <c r="E31" s="45">
        <v>7694.839000000001</v>
      </c>
      <c r="F31" s="44">
        <v>7645.817</v>
      </c>
      <c r="G31" s="44">
        <v>0</v>
      </c>
      <c r="H31" s="44">
        <v>0</v>
      </c>
      <c r="I31" s="44">
        <v>0</v>
      </c>
      <c r="J31" s="81"/>
    </row>
    <row r="32" spans="1:10" ht="15">
      <c r="A32" s="43" t="str">
        <f>HLOOKUP(INDICE!$F$2,Nombres!$C$3:$D$636,53,FALSE)</f>
        <v>Activos financieros a valor razonable</v>
      </c>
      <c r="B32" s="58">
        <v>10160.704</v>
      </c>
      <c r="C32" s="58">
        <v>11217.654999999999</v>
      </c>
      <c r="D32" s="58">
        <v>11849.345</v>
      </c>
      <c r="E32" s="64">
        <v>10738.556</v>
      </c>
      <c r="F32" s="44">
        <v>10559.294</v>
      </c>
      <c r="G32" s="44">
        <v>0</v>
      </c>
      <c r="H32" s="44">
        <v>0</v>
      </c>
      <c r="I32" s="44">
        <v>0</v>
      </c>
      <c r="J32" s="81"/>
    </row>
    <row r="33" spans="1:10" ht="15">
      <c r="A33" s="43" t="str">
        <f>HLOOKUP(INDICE!$F$2,Nombres!$C$3:$D$636,54,FALSE)</f>
        <v>Activos financieros a coste amortizado</v>
      </c>
      <c r="B33" s="44">
        <v>40379.396</v>
      </c>
      <c r="C33" s="44">
        <v>43153.240999999995</v>
      </c>
      <c r="D33" s="44">
        <v>44189.292</v>
      </c>
      <c r="E33" s="45">
        <v>40448.375</v>
      </c>
      <c r="F33" s="44">
        <v>41733.51099999999</v>
      </c>
      <c r="G33" s="44">
        <v>0</v>
      </c>
      <c r="H33" s="44">
        <v>0</v>
      </c>
      <c r="I33" s="44">
        <v>0</v>
      </c>
      <c r="J33" s="81"/>
    </row>
    <row r="34" spans="1:10" ht="15">
      <c r="A34" s="43" t="str">
        <f>HLOOKUP(INDICE!$F$2,Nombres!$C$3:$D$636,55,FALSE)</f>
        <v>    de los que préstamos y anticipos a la clientela</v>
      </c>
      <c r="B34" s="44">
        <v>38008.44</v>
      </c>
      <c r="C34" s="44">
        <v>40208.93</v>
      </c>
      <c r="D34" s="44">
        <v>40973.68</v>
      </c>
      <c r="E34" s="45">
        <v>38436.994</v>
      </c>
      <c r="F34" s="44">
        <v>39185.032</v>
      </c>
      <c r="G34" s="44">
        <v>0</v>
      </c>
      <c r="H34" s="44">
        <v>0</v>
      </c>
      <c r="I34" s="44">
        <v>0</v>
      </c>
      <c r="J34" s="81"/>
    </row>
    <row r="35" spans="1:10" ht="15" customHeight="1" hidden="1">
      <c r="A35" s="43"/>
      <c r="B35" s="44"/>
      <c r="C35" s="44"/>
      <c r="D35" s="44"/>
      <c r="E35" s="45"/>
      <c r="F35" s="44"/>
      <c r="G35" s="44"/>
      <c r="H35" s="44"/>
      <c r="I35" s="44"/>
      <c r="J35" s="81"/>
    </row>
    <row r="36" spans="1:10" ht="15">
      <c r="A36" s="43" t="str">
        <f>HLOOKUP(INDICE!$F$2,Nombres!$C$3:$D$636,56,FALSE)</f>
        <v>Activos tangibles</v>
      </c>
      <c r="B36" s="44">
        <v>992.9409999999999</v>
      </c>
      <c r="C36" s="44">
        <v>1099.981</v>
      </c>
      <c r="D36" s="44">
        <v>1177.8210000000001</v>
      </c>
      <c r="E36" s="45">
        <v>1087.7910000000002</v>
      </c>
      <c r="F36" s="44">
        <v>1069.88</v>
      </c>
      <c r="G36" s="44">
        <v>0</v>
      </c>
      <c r="H36" s="44">
        <v>0</v>
      </c>
      <c r="I36" s="44">
        <v>0</v>
      </c>
      <c r="J36" s="81"/>
    </row>
    <row r="37" spans="1:10" ht="15">
      <c r="A37" s="43" t="str">
        <f>HLOOKUP(INDICE!$F$2,Nombres!$C$3:$D$636,57,FALSE)</f>
        <v>Otros activos</v>
      </c>
      <c r="B37" s="58">
        <f aca="true" t="shared" si="5" ref="B37:I37">+B38-B36-B33-B32-B31</f>
        <v>1836.6017084499945</v>
      </c>
      <c r="C37" s="58">
        <f t="shared" si="5"/>
        <v>1976.416111430006</v>
      </c>
      <c r="D37" s="58">
        <f t="shared" si="5"/>
        <v>2075.2930126600004</v>
      </c>
      <c r="E37" s="64">
        <f t="shared" si="5"/>
        <v>1981.2534565900014</v>
      </c>
      <c r="F37" s="44">
        <f t="shared" si="5"/>
        <v>2054.0121032600046</v>
      </c>
      <c r="G37" s="44">
        <f t="shared" si="5"/>
        <v>0</v>
      </c>
      <c r="H37" s="44">
        <f t="shared" si="5"/>
        <v>0</v>
      </c>
      <c r="I37" s="44">
        <f t="shared" si="5"/>
        <v>0</v>
      </c>
      <c r="J37" s="81"/>
    </row>
    <row r="38" spans="1:10" ht="15">
      <c r="A38" s="47" t="str">
        <f>HLOOKUP(INDICE!$F$2,Nombres!$C$3:$D$636,58,FALSE)</f>
        <v>Total activo / pasivo</v>
      </c>
      <c r="B38" s="47">
        <v>61639.13070844999</v>
      </c>
      <c r="C38" s="47">
        <v>66329.87211143</v>
      </c>
      <c r="D38" s="47">
        <v>69043.96001266</v>
      </c>
      <c r="E38" s="47">
        <v>61950.81445659</v>
      </c>
      <c r="F38" s="51">
        <v>63062.51410325999</v>
      </c>
      <c r="G38" s="51">
        <v>0</v>
      </c>
      <c r="H38" s="51">
        <v>0</v>
      </c>
      <c r="I38" s="51">
        <v>0</v>
      </c>
      <c r="J38" s="81"/>
    </row>
    <row r="39" spans="1:10" ht="15">
      <c r="A39" s="43" t="str">
        <f>HLOOKUP(INDICE!$F$2,Nombres!$C$3:$D$636,59,FALSE)</f>
        <v>Pasivos financieros mantenidos para negociar y designados a valor razonable con cambios en resultados</v>
      </c>
      <c r="B39" s="58">
        <v>2583.813</v>
      </c>
      <c r="C39" s="58">
        <v>3104.51</v>
      </c>
      <c r="D39" s="58">
        <v>3560.7909999999997</v>
      </c>
      <c r="E39" s="64">
        <v>2813.4749999999995</v>
      </c>
      <c r="F39" s="44">
        <v>2389.8540000000003</v>
      </c>
      <c r="G39" s="44">
        <v>0</v>
      </c>
      <c r="H39" s="44">
        <v>0</v>
      </c>
      <c r="I39" s="44">
        <v>0</v>
      </c>
      <c r="J39" s="81"/>
    </row>
    <row r="40" spans="1:10" ht="15.75" customHeight="1">
      <c r="A40" s="43" t="str">
        <f>HLOOKUP(INDICE!$F$2,Nombres!$C$3:$D$636,60,FALSE)</f>
        <v>Depósitos de bancos centrales y entidades de crédito</v>
      </c>
      <c r="B40" s="58">
        <v>6513.56600001</v>
      </c>
      <c r="C40" s="58">
        <v>5653.09799999</v>
      </c>
      <c r="D40" s="58">
        <v>6112.710000000001</v>
      </c>
      <c r="E40" s="64">
        <v>5610.171</v>
      </c>
      <c r="F40" s="44">
        <v>5395.4490000000005</v>
      </c>
      <c r="G40" s="44">
        <v>0</v>
      </c>
      <c r="H40" s="44">
        <v>0</v>
      </c>
      <c r="I40" s="44">
        <v>0</v>
      </c>
      <c r="J40" s="81"/>
    </row>
    <row r="41" spans="1:10" ht="15">
      <c r="A41" s="43" t="str">
        <f>HLOOKUP(INDICE!$F$2,Nombres!$C$3:$D$636,61,FALSE)</f>
        <v>Depósitos de la clientela</v>
      </c>
      <c r="B41" s="58">
        <v>38875.17499999</v>
      </c>
      <c r="C41" s="58">
        <v>43314.07300001</v>
      </c>
      <c r="D41" s="58">
        <v>44547.035</v>
      </c>
      <c r="E41" s="64">
        <v>40042.234</v>
      </c>
      <c r="F41" s="44">
        <v>40781.55</v>
      </c>
      <c r="G41" s="44">
        <v>0</v>
      </c>
      <c r="H41" s="44">
        <v>0</v>
      </c>
      <c r="I41" s="44">
        <v>0</v>
      </c>
      <c r="J41" s="81"/>
    </row>
    <row r="42" spans="1:10" ht="15">
      <c r="A42" s="43" t="str">
        <f>HLOOKUP(INDICE!$F$2,Nombres!$C$3:$D$636,62,FALSE)</f>
        <v>Valores representativos de deuda emitidos</v>
      </c>
      <c r="B42" s="44">
        <v>3383.66458862</v>
      </c>
      <c r="C42" s="44">
        <v>3818.33995903</v>
      </c>
      <c r="D42" s="44">
        <v>3278.1200854899994</v>
      </c>
      <c r="E42" s="45">
        <v>2956.3270422799997</v>
      </c>
      <c r="F42" s="44">
        <v>3070.4411996899994</v>
      </c>
      <c r="G42" s="44">
        <v>0</v>
      </c>
      <c r="H42" s="44">
        <v>0</v>
      </c>
      <c r="I42" s="44">
        <v>0</v>
      </c>
      <c r="J42" s="81"/>
    </row>
    <row r="43" spans="1:10" ht="15" customHeight="1" hidden="1">
      <c r="A43" s="43"/>
      <c r="B43" s="44"/>
      <c r="C43" s="44"/>
      <c r="D43" s="44"/>
      <c r="E43" s="45"/>
      <c r="F43" s="44"/>
      <c r="G43" s="44"/>
      <c r="H43" s="44"/>
      <c r="I43" s="44"/>
      <c r="J43" s="81"/>
    </row>
    <row r="44" spans="1:10" ht="15">
      <c r="A44" s="43" t="str">
        <f>HLOOKUP(INDICE!$F$2,Nombres!$C$3:$D$636,63,FALSE)</f>
        <v>Otros pasivos</v>
      </c>
      <c r="B44" s="58">
        <f aca="true" t="shared" si="6" ref="B44:I44">+B38-B39-B40-B41-B42-B45</f>
        <v>4687.64166705999</v>
      </c>
      <c r="C44" s="58">
        <f t="shared" si="6"/>
        <v>4394.066132869995</v>
      </c>
      <c r="D44" s="58">
        <f>+D38-D39-D40-D41-D42-D45</f>
        <v>5239.9782503299975</v>
      </c>
      <c r="E44" s="64">
        <f t="shared" si="6"/>
        <v>4654.624145960002</v>
      </c>
      <c r="F44" s="44">
        <f t="shared" si="6"/>
        <v>5536.628315459991</v>
      </c>
      <c r="G44" s="44">
        <f t="shared" si="6"/>
        <v>0</v>
      </c>
      <c r="H44" s="44">
        <f t="shared" si="6"/>
        <v>0</v>
      </c>
      <c r="I44" s="44">
        <f t="shared" si="6"/>
        <v>0</v>
      </c>
      <c r="J44" s="81"/>
    </row>
    <row r="45" spans="1:10" ht="15">
      <c r="A45" s="43" t="str">
        <f>HLOOKUP(INDICE!$F$2,Nombres!$C$3:$D$636,282,FALSE)</f>
        <v>Dotación de capital regulatorio</v>
      </c>
      <c r="B45" s="44">
        <v>5595.270452769999</v>
      </c>
      <c r="C45" s="44">
        <v>6045.78501953</v>
      </c>
      <c r="D45" s="58">
        <v>6305.325676840001</v>
      </c>
      <c r="E45" s="64">
        <v>5873.983268350001</v>
      </c>
      <c r="F45" s="44">
        <v>5888.591588109999</v>
      </c>
      <c r="G45" s="44">
        <v>0</v>
      </c>
      <c r="H45" s="44">
        <v>0</v>
      </c>
      <c r="I45" s="44">
        <v>0</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Indicadores relevantes y de gestión</v>
      </c>
      <c r="B48" s="34"/>
      <c r="C48" s="34"/>
      <c r="D48" s="34"/>
      <c r="E48" s="34"/>
      <c r="F48" s="68"/>
      <c r="G48" s="68"/>
      <c r="H48" s="68"/>
      <c r="I48" s="68"/>
      <c r="J48" s="81"/>
    </row>
    <row r="49" spans="1:10" ht="15">
      <c r="A49" s="35" t="str">
        <f>HLOOKUP(INDICE!$F$2,Nombres!$C$3:$D$636,32,FALSE)</f>
        <v>(Millones de euros)</v>
      </c>
      <c r="B49" s="30"/>
      <c r="C49" s="30"/>
      <c r="D49" s="30"/>
      <c r="E49" s="30"/>
      <c r="F49" s="69"/>
      <c r="G49" s="44"/>
      <c r="H49" s="44"/>
      <c r="I49" s="44"/>
      <c r="J49" s="81"/>
    </row>
    <row r="50" spans="1:10"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c r="J50" s="81"/>
    </row>
    <row r="51" spans="1:10" ht="15">
      <c r="A51" s="43" t="str">
        <f>HLOOKUP(INDICE!$F$2,Nombres!$C$3:$D$636,66,FALSE)</f>
        <v>Préstamos y anticipos a la clientela bruto (*)</v>
      </c>
      <c r="B51" s="44">
        <v>39832.729999999996</v>
      </c>
      <c r="C51" s="44">
        <v>42094.554000000004</v>
      </c>
      <c r="D51" s="44">
        <v>42871.12900000001</v>
      </c>
      <c r="E51" s="45">
        <v>40205.166000000005</v>
      </c>
      <c r="F51" s="44">
        <v>41018.973</v>
      </c>
      <c r="G51" s="44">
        <v>0</v>
      </c>
      <c r="H51" s="44">
        <v>0</v>
      </c>
      <c r="I51" s="44">
        <v>0</v>
      </c>
      <c r="J51" s="81"/>
    </row>
    <row r="52" spans="1:10" ht="15">
      <c r="A52" s="43" t="str">
        <f>HLOOKUP(INDICE!$F$2,Nombres!$C$3:$D$636,67,FALSE)</f>
        <v>Depósitos de clientes en gestión (**)</v>
      </c>
      <c r="B52" s="44">
        <v>38875.174999990006</v>
      </c>
      <c r="C52" s="44">
        <v>43314.073000009994</v>
      </c>
      <c r="D52" s="44">
        <v>44547.035</v>
      </c>
      <c r="E52" s="45">
        <v>40042.234</v>
      </c>
      <c r="F52" s="44">
        <v>40781.549999999996</v>
      </c>
      <c r="G52" s="44">
        <v>0</v>
      </c>
      <c r="H52" s="44">
        <v>0</v>
      </c>
      <c r="I52" s="44">
        <v>0</v>
      </c>
      <c r="J52" s="81"/>
    </row>
    <row r="53" spans="1:10" ht="15">
      <c r="A53" s="43" t="str">
        <f>HLOOKUP(INDICE!$F$2,Nombres!$C$3:$D$636,68,FALSE)</f>
        <v>Fondos de inversión y carteras gestionadas</v>
      </c>
      <c r="B53" s="44">
        <v>6100.543357240001</v>
      </c>
      <c r="C53" s="44">
        <v>5744.49304466</v>
      </c>
      <c r="D53" s="44">
        <v>6143.737032859998</v>
      </c>
      <c r="E53" s="45">
        <v>5804.15867674</v>
      </c>
      <c r="F53" s="44">
        <v>6180.335767650001</v>
      </c>
      <c r="G53" s="44">
        <v>0</v>
      </c>
      <c r="H53" s="44">
        <v>0</v>
      </c>
      <c r="I53" s="44">
        <v>0</v>
      </c>
      <c r="J53" s="81"/>
    </row>
    <row r="54" spans="1:10" ht="15">
      <c r="A54" s="43" t="str">
        <f>HLOOKUP(INDICE!$F$2,Nombres!$C$3:$D$636,69,FALSE)</f>
        <v>Fondos de pensiones</v>
      </c>
      <c r="B54" s="44">
        <v>10877.21268134</v>
      </c>
      <c r="C54" s="44">
        <v>11766.86765503</v>
      </c>
      <c r="D54" s="44">
        <v>12831.88276355</v>
      </c>
      <c r="E54" s="45">
        <v>11955.83686405</v>
      </c>
      <c r="F54" s="44">
        <v>11790.91146365</v>
      </c>
      <c r="G54" s="44">
        <v>0</v>
      </c>
      <c r="H54" s="44">
        <v>0</v>
      </c>
      <c r="I54" s="44">
        <v>0</v>
      </c>
      <c r="J54" s="81"/>
    </row>
    <row r="55" spans="1:10" ht="15">
      <c r="A55" s="43" t="str">
        <f>HLOOKUP(INDICE!$F$2,Nombres!$C$3:$D$636,70,FALSE)</f>
        <v>Otros recursos fuera de balance</v>
      </c>
      <c r="B55" s="44">
        <v>0</v>
      </c>
      <c r="C55" s="44">
        <v>0</v>
      </c>
      <c r="D55" s="44">
        <v>0</v>
      </c>
      <c r="E55" s="45">
        <v>0</v>
      </c>
      <c r="F55" s="44">
        <v>0</v>
      </c>
      <c r="G55" s="44">
        <v>0</v>
      </c>
      <c r="H55" s="44">
        <v>0</v>
      </c>
      <c r="I55" s="44">
        <v>0</v>
      </c>
      <c r="J55" s="81"/>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654.5847979769218</v>
      </c>
      <c r="C64" s="41">
        <v>836.2488756450161</v>
      </c>
      <c r="D64" s="41">
        <v>1064.3181153763835</v>
      </c>
      <c r="E64" s="42">
        <v>1231.3818464063586</v>
      </c>
      <c r="F64" s="50">
        <v>1189.62382019</v>
      </c>
      <c r="G64" s="50">
        <v>0</v>
      </c>
      <c r="H64" s="50">
        <v>0</v>
      </c>
      <c r="I64" s="50">
        <v>0</v>
      </c>
    </row>
    <row r="65" spans="1:9" ht="15">
      <c r="A65" s="43" t="str">
        <f>HLOOKUP(INDICE!$F$2,Nombres!$C$3:$D$636,34,FALSE)</f>
        <v>Comisiones netas</v>
      </c>
      <c r="B65" s="44">
        <v>152.28588790807143</v>
      </c>
      <c r="C65" s="44">
        <v>186.65094731891793</v>
      </c>
      <c r="D65" s="44">
        <v>189.862516474313</v>
      </c>
      <c r="E65" s="45">
        <v>203.02224760170475</v>
      </c>
      <c r="F65" s="44">
        <v>184.20062958999998</v>
      </c>
      <c r="G65" s="44">
        <v>0</v>
      </c>
      <c r="H65" s="44">
        <v>0</v>
      </c>
      <c r="I65" s="44">
        <v>0</v>
      </c>
    </row>
    <row r="66" spans="1:9" ht="15">
      <c r="A66" s="43" t="str">
        <f>HLOOKUP(INDICE!$F$2,Nombres!$C$3:$D$636,35,FALSE)</f>
        <v>Resultados de operaciones financieras</v>
      </c>
      <c r="B66" s="44">
        <v>76.51416541643474</v>
      </c>
      <c r="C66" s="44">
        <v>95.84501161057574</v>
      </c>
      <c r="D66" s="44">
        <v>134.0113415585265</v>
      </c>
      <c r="E66" s="45">
        <v>109.34887019791535</v>
      </c>
      <c r="F66" s="44">
        <v>127.07239331</v>
      </c>
      <c r="G66" s="44">
        <v>0</v>
      </c>
      <c r="H66" s="44">
        <v>0</v>
      </c>
      <c r="I66" s="44">
        <v>0</v>
      </c>
    </row>
    <row r="67" spans="1:9" ht="15">
      <c r="A67" s="43" t="str">
        <f>HLOOKUP(INDICE!$F$2,Nombres!$C$3:$D$636,36,FALSE)</f>
        <v>Otros ingresos y cargas de explotación</v>
      </c>
      <c r="B67" s="44">
        <v>-176.0766141902578</v>
      </c>
      <c r="C67" s="44">
        <v>-257.6368221341795</v>
      </c>
      <c r="D67" s="44">
        <v>-363.9790579024882</v>
      </c>
      <c r="E67" s="45">
        <v>-266.1836535050604</v>
      </c>
      <c r="F67" s="44">
        <v>-326.206</v>
      </c>
      <c r="G67" s="44">
        <v>0</v>
      </c>
      <c r="H67" s="44">
        <v>0</v>
      </c>
      <c r="I67" s="44">
        <v>0</v>
      </c>
    </row>
    <row r="68" spans="1:9" ht="15">
      <c r="A68" s="41" t="str">
        <f>HLOOKUP(INDICE!$F$2,Nombres!$C$3:$D$636,37,FALSE)</f>
        <v>Margen bruto</v>
      </c>
      <c r="B68" s="41">
        <f>+SUM(B64:B67)</f>
        <v>707.3082371111701</v>
      </c>
      <c r="C68" s="41">
        <f aca="true" t="shared" si="9" ref="C68:I68">+SUM(C64:C67)</f>
        <v>861.1080124403302</v>
      </c>
      <c r="D68" s="41">
        <f t="shared" si="9"/>
        <v>1024.2129155067348</v>
      </c>
      <c r="E68" s="42">
        <f t="shared" si="9"/>
        <v>1277.5693107009183</v>
      </c>
      <c r="F68" s="50">
        <f t="shared" si="9"/>
        <v>1174.6908430900003</v>
      </c>
      <c r="G68" s="50">
        <f t="shared" si="9"/>
        <v>0</v>
      </c>
      <c r="H68" s="50">
        <f t="shared" si="9"/>
        <v>0</v>
      </c>
      <c r="I68" s="50">
        <f t="shared" si="9"/>
        <v>0</v>
      </c>
    </row>
    <row r="69" spans="1:9" ht="15">
      <c r="A69" s="43" t="str">
        <f>HLOOKUP(INDICE!$F$2,Nombres!$C$3:$D$636,38,FALSE)</f>
        <v>Gastos de explotación</v>
      </c>
      <c r="B69" s="44">
        <v>-347.12056500215874</v>
      </c>
      <c r="C69" s="44">
        <v>-422.59517698516754</v>
      </c>
      <c r="D69" s="44">
        <v>-512.283986836875</v>
      </c>
      <c r="E69" s="45">
        <v>-552.1957240473864</v>
      </c>
      <c r="F69" s="44">
        <v>-533.12801333</v>
      </c>
      <c r="G69" s="44">
        <v>0</v>
      </c>
      <c r="H69" s="44">
        <v>0</v>
      </c>
      <c r="I69" s="44">
        <v>0</v>
      </c>
    </row>
    <row r="70" spans="1:9" ht="15">
      <c r="A70" s="43" t="str">
        <f>HLOOKUP(INDICE!$F$2,Nombres!$C$3:$D$636,39,FALSE)</f>
        <v>  Gastos de administración</v>
      </c>
      <c r="B70" s="44">
        <v>-314.6088189924577</v>
      </c>
      <c r="C70" s="44">
        <v>-378.1903423554853</v>
      </c>
      <c r="D70" s="44">
        <v>-467.6614948648905</v>
      </c>
      <c r="E70" s="45">
        <v>-510.1681127232987</v>
      </c>
      <c r="F70" s="44">
        <v>-490.18801333</v>
      </c>
      <c r="G70" s="44">
        <v>0</v>
      </c>
      <c r="H70" s="44">
        <v>0</v>
      </c>
      <c r="I70" s="44">
        <v>0</v>
      </c>
    </row>
    <row r="71" spans="1:9" ht="15">
      <c r="A71" s="46" t="str">
        <f>HLOOKUP(INDICE!$F$2,Nombres!$C$3:$D$636,40,FALSE)</f>
        <v>  Gastos de personal</v>
      </c>
      <c r="B71" s="44">
        <v>-167.10867692235098</v>
      </c>
      <c r="C71" s="44">
        <v>-200.97043128581143</v>
      </c>
      <c r="D71" s="44">
        <v>-239.42945221260914</v>
      </c>
      <c r="E71" s="45">
        <v>-268.0108972876225</v>
      </c>
      <c r="F71" s="44">
        <v>-251.67365672000003</v>
      </c>
      <c r="G71" s="44">
        <v>0</v>
      </c>
      <c r="H71" s="44">
        <v>0</v>
      </c>
      <c r="I71" s="44">
        <v>0</v>
      </c>
    </row>
    <row r="72" spans="1:9" ht="15">
      <c r="A72" s="46" t="str">
        <f>HLOOKUP(INDICE!$F$2,Nombres!$C$3:$D$636,41,FALSE)</f>
        <v>  Otros gastos de administración</v>
      </c>
      <c r="B72" s="44">
        <v>-147.50014207010673</v>
      </c>
      <c r="C72" s="44">
        <v>-177.2199110696739</v>
      </c>
      <c r="D72" s="44">
        <v>-228.2320426522814</v>
      </c>
      <c r="E72" s="45">
        <v>-242.15721543567614</v>
      </c>
      <c r="F72" s="44">
        <v>-238.51435660999994</v>
      </c>
      <c r="G72" s="44">
        <v>0</v>
      </c>
      <c r="H72" s="44">
        <v>0</v>
      </c>
      <c r="I72" s="44">
        <v>0</v>
      </c>
    </row>
    <row r="73" spans="1:9" ht="15">
      <c r="A73" s="43" t="str">
        <f>HLOOKUP(INDICE!$F$2,Nombres!$C$3:$D$636,42,FALSE)</f>
        <v>  Amortización</v>
      </c>
      <c r="B73" s="44">
        <v>-32.51174600970103</v>
      </c>
      <c r="C73" s="44">
        <v>-44.40483462968217</v>
      </c>
      <c r="D73" s="44">
        <v>-44.62249197198449</v>
      </c>
      <c r="E73" s="45">
        <v>-42.02761132408772</v>
      </c>
      <c r="F73" s="44">
        <v>-42.940000000000005</v>
      </c>
      <c r="G73" s="44">
        <v>0</v>
      </c>
      <c r="H73" s="44">
        <v>0</v>
      </c>
      <c r="I73" s="44">
        <v>0</v>
      </c>
    </row>
    <row r="74" spans="1:9" ht="15">
      <c r="A74" s="41" t="str">
        <f>HLOOKUP(INDICE!$F$2,Nombres!$C$3:$D$636,43,FALSE)</f>
        <v>Margen neto</v>
      </c>
      <c r="B74" s="41">
        <f>+B68+B69</f>
        <v>360.1876721090114</v>
      </c>
      <c r="C74" s="41">
        <f aca="true" t="shared" si="10" ref="C74:I74">+C68+C69</f>
        <v>438.51283545516264</v>
      </c>
      <c r="D74" s="41">
        <f t="shared" si="10"/>
        <v>511.92892866985983</v>
      </c>
      <c r="E74" s="42">
        <f t="shared" si="10"/>
        <v>725.3735866535319</v>
      </c>
      <c r="F74" s="50">
        <f t="shared" si="10"/>
        <v>641.5628297600002</v>
      </c>
      <c r="G74" s="50">
        <f t="shared" si="10"/>
        <v>0</v>
      </c>
      <c r="H74" s="50">
        <f t="shared" si="10"/>
        <v>0</v>
      </c>
      <c r="I74" s="50">
        <f t="shared" si="10"/>
        <v>0</v>
      </c>
    </row>
    <row r="75" spans="1:9" ht="15">
      <c r="A75" s="43" t="str">
        <f>HLOOKUP(INDICE!$F$2,Nombres!$C$3:$D$636,44,FALSE)</f>
        <v>Deterioro de activos financieros no valorados a valor razonable con cambios en resultados</v>
      </c>
      <c r="B75" s="44">
        <v>-114.6660483997261</v>
      </c>
      <c r="C75" s="44">
        <v>-117.24838530141173</v>
      </c>
      <c r="D75" s="44">
        <v>-190.42915498427345</v>
      </c>
      <c r="E75" s="45">
        <v>-287.8135481992199</v>
      </c>
      <c r="F75" s="44">
        <v>-227.277</v>
      </c>
      <c r="G75" s="44">
        <v>0</v>
      </c>
      <c r="H75" s="44">
        <v>0</v>
      </c>
      <c r="I75" s="44">
        <v>0</v>
      </c>
    </row>
    <row r="76" spans="1:9" ht="15">
      <c r="A76" s="43" t="str">
        <f>HLOOKUP(INDICE!$F$2,Nombres!$C$3:$D$636,45,FALSE)</f>
        <v>Provisiones o reversión de provisiones y otros resultados</v>
      </c>
      <c r="B76" s="44">
        <v>-14.350933414261418</v>
      </c>
      <c r="C76" s="44">
        <v>-19.576176571491175</v>
      </c>
      <c r="D76" s="44">
        <v>-21.256156012849416</v>
      </c>
      <c r="E76" s="45">
        <v>-31.864864444591554</v>
      </c>
      <c r="F76" s="44">
        <v>-8.828408989999998</v>
      </c>
      <c r="G76" s="44">
        <v>0</v>
      </c>
      <c r="H76" s="44">
        <v>0</v>
      </c>
      <c r="I76" s="44">
        <v>0</v>
      </c>
    </row>
    <row r="77" spans="1:9" ht="15">
      <c r="A77" s="41" t="str">
        <f>HLOOKUP(INDICE!$F$2,Nombres!$C$3:$D$636,46,FALSE)</f>
        <v>Resultado antes de impuestos</v>
      </c>
      <c r="B77" s="41">
        <f>+B74+B75+B76</f>
        <v>231.17069029502386</v>
      </c>
      <c r="C77" s="41">
        <f aca="true" t="shared" si="11" ref="C77:I77">+C74+C75+C76</f>
        <v>301.68827358225974</v>
      </c>
      <c r="D77" s="41">
        <f t="shared" si="11"/>
        <v>300.24361767273695</v>
      </c>
      <c r="E77" s="42">
        <f t="shared" si="11"/>
        <v>405.69517400972046</v>
      </c>
      <c r="F77" s="50">
        <f t="shared" si="11"/>
        <v>405.4574207700002</v>
      </c>
      <c r="G77" s="50">
        <f t="shared" si="11"/>
        <v>0</v>
      </c>
      <c r="H77" s="50">
        <f t="shared" si="11"/>
        <v>0</v>
      </c>
      <c r="I77" s="50">
        <f t="shared" si="11"/>
        <v>0</v>
      </c>
    </row>
    <row r="78" spans="1:9" ht="15">
      <c r="A78" s="43" t="str">
        <f>HLOOKUP(INDICE!$F$2,Nombres!$C$3:$D$636,47,FALSE)</f>
        <v>Impuesto sobre beneficios</v>
      </c>
      <c r="B78" s="44">
        <v>-63.45403084470715</v>
      </c>
      <c r="C78" s="44">
        <v>-9.616409555418578</v>
      </c>
      <c r="D78" s="44">
        <v>-61.12032554410036</v>
      </c>
      <c r="E78" s="45">
        <v>-146.79638877966084</v>
      </c>
      <c r="F78" s="44">
        <v>-123.5975857</v>
      </c>
      <c r="G78" s="44">
        <v>0</v>
      </c>
      <c r="H78" s="44">
        <v>0</v>
      </c>
      <c r="I78" s="44">
        <v>0</v>
      </c>
    </row>
    <row r="79" spans="1:9" ht="15">
      <c r="A79" s="41" t="str">
        <f>HLOOKUP(INDICE!$F$2,Nombres!$C$3:$D$636,48,FALSE)</f>
        <v>Resultado del ejercicio</v>
      </c>
      <c r="B79" s="41">
        <f>+B77+B78</f>
        <v>167.7166594503167</v>
      </c>
      <c r="C79" s="41">
        <f aca="true" t="shared" si="12" ref="C79:I79">+C77+C78</f>
        <v>292.0718640268412</v>
      </c>
      <c r="D79" s="41">
        <f t="shared" si="12"/>
        <v>239.1232921286366</v>
      </c>
      <c r="E79" s="42">
        <f t="shared" si="12"/>
        <v>258.8987852300596</v>
      </c>
      <c r="F79" s="50">
        <f t="shared" si="12"/>
        <v>281.85983507000026</v>
      </c>
      <c r="G79" s="50">
        <f t="shared" si="12"/>
        <v>0</v>
      </c>
      <c r="H79" s="50">
        <f t="shared" si="12"/>
        <v>0</v>
      </c>
      <c r="I79" s="50">
        <f t="shared" si="12"/>
        <v>0</v>
      </c>
    </row>
    <row r="80" spans="1:9" ht="15">
      <c r="A80" s="43" t="str">
        <f>HLOOKUP(INDICE!$F$2,Nombres!$C$3:$D$636,49,FALSE)</f>
        <v>Minoritarios</v>
      </c>
      <c r="B80" s="44">
        <v>-50.9582128836403</v>
      </c>
      <c r="C80" s="44">
        <v>-94.16180347314</v>
      </c>
      <c r="D80" s="44">
        <v>-77.8259749028035</v>
      </c>
      <c r="E80" s="45">
        <v>-91.45184585891937</v>
      </c>
      <c r="F80" s="44">
        <v>-98.3022067</v>
      </c>
      <c r="G80" s="44">
        <v>0</v>
      </c>
      <c r="H80" s="44">
        <v>0</v>
      </c>
      <c r="I80" s="44">
        <v>0</v>
      </c>
    </row>
    <row r="81" spans="1:9" ht="15">
      <c r="A81" s="47" t="str">
        <f>HLOOKUP(INDICE!$F$2,Nombres!$C$3:$D$636,50,FALSE)</f>
        <v>Resultado atribuido</v>
      </c>
      <c r="B81" s="47">
        <f>+B79+B80</f>
        <v>116.75844656667641</v>
      </c>
      <c r="C81" s="47">
        <f aca="true" t="shared" si="13" ref="C81:I81">+C79+C80</f>
        <v>197.9100605537012</v>
      </c>
      <c r="D81" s="47">
        <f t="shared" si="13"/>
        <v>161.2973172258331</v>
      </c>
      <c r="E81" s="47">
        <f t="shared" si="13"/>
        <v>167.44693937114025</v>
      </c>
      <c r="F81" s="51">
        <f t="shared" si="13"/>
        <v>183.55762837000026</v>
      </c>
      <c r="G81" s="51">
        <f t="shared" si="13"/>
        <v>0</v>
      </c>
      <c r="H81" s="51">
        <f t="shared" si="13"/>
        <v>0</v>
      </c>
      <c r="I81" s="51">
        <f t="shared" si="13"/>
        <v>0</v>
      </c>
    </row>
    <row r="82" spans="1:9" ht="15">
      <c r="A82" s="62"/>
      <c r="B82" s="63">
        <v>0</v>
      </c>
      <c r="C82" s="63">
        <v>-2.2737367544323206E-13</v>
      </c>
      <c r="D82" s="63">
        <v>0</v>
      </c>
      <c r="E82" s="63">
        <v>2.2737367544323206E-13</v>
      </c>
      <c r="F82" s="63">
        <v>0</v>
      </c>
      <c r="G82" s="63">
        <v>0</v>
      </c>
      <c r="H82" s="63">
        <v>0</v>
      </c>
      <c r="I82" s="63">
        <v>0</v>
      </c>
    </row>
    <row r="83" spans="1:15" ht="15">
      <c r="A83" s="41"/>
      <c r="B83" s="41"/>
      <c r="C83" s="41"/>
      <c r="D83" s="41"/>
      <c r="E83" s="41"/>
      <c r="F83" s="50"/>
      <c r="G83" s="50"/>
      <c r="H83" s="50"/>
      <c r="I83" s="50"/>
      <c r="N83" s="159"/>
      <c r="O83" s="159"/>
    </row>
    <row r="84" spans="1:15" ht="18">
      <c r="A84" s="33" t="str">
        <f>HLOOKUP(INDICE!$F$2,Nombres!$C$3:$D$636,51,FALSE)</f>
        <v>Balances</v>
      </c>
      <c r="B84" s="34"/>
      <c r="C84" s="34"/>
      <c r="D84" s="34"/>
      <c r="E84" s="34"/>
      <c r="F84" s="68"/>
      <c r="G84" s="68"/>
      <c r="H84" s="68"/>
      <c r="I84" s="68"/>
      <c r="N84" s="159"/>
      <c r="O84" s="159"/>
    </row>
    <row r="85" spans="1:15" ht="15">
      <c r="A85" s="35" t="str">
        <f>HLOOKUP(INDICE!$F$2,Nombres!$C$3:$D$636,73,FALSE)</f>
        <v>(Millones de euros constantes)</v>
      </c>
      <c r="B85" s="30"/>
      <c r="C85" s="52"/>
      <c r="D85" s="52"/>
      <c r="E85" s="52"/>
      <c r="F85" s="69"/>
      <c r="G85" s="44"/>
      <c r="H85" s="44"/>
      <c r="I85" s="44"/>
      <c r="N85" s="159"/>
      <c r="O85" s="159"/>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7285.671948389558</v>
      </c>
      <c r="C87" s="44">
        <v>7740.377179030896</v>
      </c>
      <c r="D87" s="44">
        <v>8647.24591826855</v>
      </c>
      <c r="E87" s="45">
        <v>7440.433466270388</v>
      </c>
      <c r="F87" s="44">
        <v>7645.817</v>
      </c>
      <c r="G87" s="44">
        <v>0</v>
      </c>
      <c r="H87" s="44">
        <v>0</v>
      </c>
      <c r="I87" s="44">
        <v>0</v>
      </c>
    </row>
    <row r="88" spans="1:9" ht="15">
      <c r="A88" s="43" t="str">
        <f>HLOOKUP(INDICE!$F$2,Nombres!$C$3:$D$636,53,FALSE)</f>
        <v>Activos financieros a valor razonable</v>
      </c>
      <c r="B88" s="58">
        <v>8396.549524300432</v>
      </c>
      <c r="C88" s="58">
        <v>9091.449182943035</v>
      </c>
      <c r="D88" s="58">
        <v>9808.546186877084</v>
      </c>
      <c r="E88" s="64">
        <v>10183.227856369569</v>
      </c>
      <c r="F88" s="44">
        <v>10559.294</v>
      </c>
      <c r="G88" s="44">
        <v>0</v>
      </c>
      <c r="H88" s="44">
        <v>0</v>
      </c>
      <c r="I88" s="44">
        <v>0</v>
      </c>
    </row>
    <row r="89" spans="1:9" ht="15">
      <c r="A89" s="43" t="str">
        <f>HLOOKUP(INDICE!$F$2,Nombres!$C$3:$D$636,54,FALSE)</f>
        <v>Activos financieros a coste amortizado</v>
      </c>
      <c r="B89" s="44">
        <v>36154.30397967218</v>
      </c>
      <c r="C89" s="44">
        <v>37986.669309753815</v>
      </c>
      <c r="D89" s="44">
        <v>39480.329042587546</v>
      </c>
      <c r="E89" s="45">
        <v>39966.958507300216</v>
      </c>
      <c r="F89" s="44">
        <v>41733.51099999999</v>
      </c>
      <c r="G89" s="44">
        <v>0</v>
      </c>
      <c r="H89" s="44">
        <v>0</v>
      </c>
      <c r="I89" s="44">
        <v>0</v>
      </c>
    </row>
    <row r="90" spans="1:9" ht="15">
      <c r="A90" s="43" t="str">
        <f>HLOOKUP(INDICE!$F$2,Nombres!$C$3:$D$636,55,FALSE)</f>
        <v>    de los que préstamos y anticipos a la clientela</v>
      </c>
      <c r="B90" s="44">
        <v>34325.744739171176</v>
      </c>
      <c r="C90" s="44">
        <v>35755.92378931166</v>
      </c>
      <c r="D90" s="44">
        <v>36826.33932976161</v>
      </c>
      <c r="E90" s="45">
        <v>38055.78782180404</v>
      </c>
      <c r="F90" s="44">
        <v>39185.032</v>
      </c>
      <c r="G90" s="44">
        <v>0</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911.5550180049951</v>
      </c>
      <c r="C92" s="44">
        <v>998.7819376847763</v>
      </c>
      <c r="D92" s="44">
        <v>1077.335501574627</v>
      </c>
      <c r="E92" s="45">
        <v>1059.4800266789407</v>
      </c>
      <c r="F92" s="44">
        <v>1069.88</v>
      </c>
      <c r="G92" s="44">
        <v>0</v>
      </c>
      <c r="H92" s="44">
        <v>0</v>
      </c>
      <c r="I92" s="44">
        <v>0</v>
      </c>
    </row>
    <row r="93" spans="1:9" ht="15">
      <c r="A93" s="43" t="str">
        <f>HLOOKUP(INDICE!$F$2,Nombres!$C$3:$D$636,57,FALSE)</f>
        <v>Otros activos</v>
      </c>
      <c r="B93" s="58">
        <f>+B94-B92-B89-B88-B87</f>
        <v>1611.3954449193643</v>
      </c>
      <c r="C93" s="58">
        <f aca="true" t="shared" si="15" ref="C93:I93">+C94-C92-C89-C88-C87</f>
        <v>1759.6934441428448</v>
      </c>
      <c r="D93" s="58">
        <f t="shared" si="15"/>
        <v>1888.7837680996035</v>
      </c>
      <c r="E93" s="64">
        <f t="shared" si="15"/>
        <v>1966.6803308609815</v>
      </c>
      <c r="F93" s="44">
        <f t="shared" si="15"/>
        <v>2054.0121032600046</v>
      </c>
      <c r="G93" s="44">
        <f t="shared" si="15"/>
        <v>0</v>
      </c>
      <c r="H93" s="44">
        <f t="shared" si="15"/>
        <v>0</v>
      </c>
      <c r="I93" s="44">
        <f t="shared" si="15"/>
        <v>0</v>
      </c>
    </row>
    <row r="94" spans="1:9" ht="15">
      <c r="A94" s="47" t="str">
        <f>HLOOKUP(INDICE!$F$2,Nombres!$C$3:$D$636,58,FALSE)</f>
        <v>Total activo / pasivo</v>
      </c>
      <c r="B94" s="47">
        <v>54359.47591528653</v>
      </c>
      <c r="C94" s="47">
        <v>57576.97105355537</v>
      </c>
      <c r="D94" s="47">
        <v>60902.24041740741</v>
      </c>
      <c r="E94" s="47">
        <v>60616.78018748009</v>
      </c>
      <c r="F94" s="51">
        <v>63062.51410325999</v>
      </c>
      <c r="G94" s="51">
        <v>0</v>
      </c>
      <c r="H94" s="51">
        <v>0</v>
      </c>
      <c r="I94" s="51">
        <v>0</v>
      </c>
    </row>
    <row r="95" spans="1:9" ht="15">
      <c r="A95" s="43" t="str">
        <f>HLOOKUP(INDICE!$F$2,Nombres!$C$3:$D$636,59,FALSE)</f>
        <v>Pasivos financieros mantenidos para negociar y designados a valor razonable con cambios en resultados</v>
      </c>
      <c r="B95" s="58">
        <v>2211.5024723281217</v>
      </c>
      <c r="C95" s="58">
        <v>2688.692823308106</v>
      </c>
      <c r="D95" s="58">
        <v>3156.5828534332895</v>
      </c>
      <c r="E95" s="64">
        <v>2857.751545074251</v>
      </c>
      <c r="F95" s="44">
        <v>2389.8540000000003</v>
      </c>
      <c r="G95" s="44">
        <v>0</v>
      </c>
      <c r="H95" s="44">
        <v>0</v>
      </c>
      <c r="I95" s="44">
        <v>0</v>
      </c>
    </row>
    <row r="96" spans="1:9" ht="15">
      <c r="A96" s="43" t="str">
        <f>HLOOKUP(INDICE!$F$2,Nombres!$C$3:$D$636,60,FALSE)</f>
        <v>Depósitos de bancos centrales y entidades de crédito</v>
      </c>
      <c r="B96" s="58">
        <v>6242.731177848513</v>
      </c>
      <c r="C96" s="58">
        <v>5354.816294333832</v>
      </c>
      <c r="D96" s="58">
        <v>5790.005818681209</v>
      </c>
      <c r="E96" s="64">
        <v>5658.738897995812</v>
      </c>
      <c r="F96" s="44">
        <v>5395.4490000000005</v>
      </c>
      <c r="G96" s="44">
        <v>0</v>
      </c>
      <c r="H96" s="44">
        <v>0</v>
      </c>
      <c r="I96" s="44">
        <v>0</v>
      </c>
    </row>
    <row r="97" spans="1:9" ht="15">
      <c r="A97" s="43" t="str">
        <f>HLOOKUP(INDICE!$F$2,Nombres!$C$3:$D$636,61,FALSE)</f>
        <v>Depósitos de la clientela</v>
      </c>
      <c r="B97" s="58">
        <v>33963.32362555762</v>
      </c>
      <c r="C97" s="58">
        <v>37082.16072165806</v>
      </c>
      <c r="D97" s="58">
        <v>38915.61696164201</v>
      </c>
      <c r="E97" s="64">
        <v>38992.85792170414</v>
      </c>
      <c r="F97" s="44">
        <v>40781.55</v>
      </c>
      <c r="G97" s="44">
        <v>0</v>
      </c>
      <c r="H97" s="44">
        <v>0</v>
      </c>
      <c r="I97" s="44">
        <v>0</v>
      </c>
    </row>
    <row r="98" spans="1:9" ht="15">
      <c r="A98" s="43" t="str">
        <f>HLOOKUP(INDICE!$F$2,Nombres!$C$3:$D$636,62,FALSE)</f>
        <v>Valores representativos de deuda emitidos</v>
      </c>
      <c r="B98" s="44">
        <v>3144.1563180638186</v>
      </c>
      <c r="C98" s="44">
        <v>3591.188406756342</v>
      </c>
      <c r="D98" s="44">
        <v>3067.771053544859</v>
      </c>
      <c r="E98" s="45">
        <v>2972.791068271785</v>
      </c>
      <c r="F98" s="44">
        <v>3070.4411996899994</v>
      </c>
      <c r="G98" s="44">
        <v>0</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3869.7728097993995</v>
      </c>
      <c r="C100" s="58">
        <f aca="true" t="shared" si="16" ref="C100:I100">+C94-C95-C96-C97-C98-C101</f>
        <v>3589.9532278769266</v>
      </c>
      <c r="D100" s="58">
        <f t="shared" si="16"/>
        <v>4405.600210001793</v>
      </c>
      <c r="E100" s="64">
        <f t="shared" si="16"/>
        <v>4382.049161948642</v>
      </c>
      <c r="F100" s="44">
        <f t="shared" si="16"/>
        <v>5536.628315459991</v>
      </c>
      <c r="G100" s="44">
        <f t="shared" si="16"/>
        <v>0</v>
      </c>
      <c r="H100" s="44">
        <f t="shared" si="16"/>
        <v>0</v>
      </c>
      <c r="I100" s="44">
        <f t="shared" si="16"/>
        <v>0</v>
      </c>
    </row>
    <row r="101" spans="1:9" ht="15">
      <c r="A101" s="43" t="str">
        <f>HLOOKUP(INDICE!$F$2,Nombres!$C$3:$D$636,282,FALSE)</f>
        <v>Dotación de capital regulatorio</v>
      </c>
      <c r="B101" s="58">
        <v>4927.989511689052</v>
      </c>
      <c r="C101" s="58">
        <v>5270.159579622102</v>
      </c>
      <c r="D101" s="58">
        <v>5566.663520104251</v>
      </c>
      <c r="E101" s="64">
        <v>5752.5915924854635</v>
      </c>
      <c r="F101" s="44">
        <v>5888.591588109999</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35982.31754765251</v>
      </c>
      <c r="C107" s="44">
        <v>37457.32981253341</v>
      </c>
      <c r="D107" s="44">
        <v>38549.883443473416</v>
      </c>
      <c r="E107" s="45">
        <v>39817.4957674897</v>
      </c>
      <c r="F107" s="44">
        <v>41018.973</v>
      </c>
      <c r="G107" s="44">
        <v>0</v>
      </c>
      <c r="H107" s="44">
        <v>0</v>
      </c>
      <c r="I107" s="44">
        <v>0</v>
      </c>
    </row>
    <row r="108" spans="1:9" ht="15">
      <c r="A108" s="43" t="str">
        <f>HLOOKUP(INDICE!$F$2,Nombres!$C$3:$D$636,67,FALSE)</f>
        <v>Depósitos de clientes en gestión (**)</v>
      </c>
      <c r="B108" s="44">
        <v>33963.32362555761</v>
      </c>
      <c r="C108" s="44">
        <v>37082.16072165806</v>
      </c>
      <c r="D108" s="44">
        <v>38915.61696164201</v>
      </c>
      <c r="E108" s="45">
        <v>38992.85792170413</v>
      </c>
      <c r="F108" s="44">
        <v>40781.549999999996</v>
      </c>
      <c r="G108" s="44">
        <v>0</v>
      </c>
      <c r="H108" s="44">
        <v>0</v>
      </c>
      <c r="I108" s="44">
        <v>0</v>
      </c>
    </row>
    <row r="109" spans="1:9" ht="15">
      <c r="A109" s="43" t="str">
        <f>HLOOKUP(INDICE!$F$2,Nombres!$C$3:$D$636,68,FALSE)</f>
        <v>Fondos de inversión y carteras gestionadas</v>
      </c>
      <c r="B109" s="44">
        <v>4757.771847631589</v>
      </c>
      <c r="C109" s="44">
        <v>4494.8385382069955</v>
      </c>
      <c r="D109" s="44">
        <v>4923.2310406300485</v>
      </c>
      <c r="E109" s="45">
        <v>5443.28460026396</v>
      </c>
      <c r="F109" s="44">
        <v>6180.335767650001</v>
      </c>
      <c r="G109" s="44">
        <v>0</v>
      </c>
      <c r="H109" s="44">
        <v>0</v>
      </c>
      <c r="I109" s="44">
        <v>0</v>
      </c>
    </row>
    <row r="110" spans="1:9" ht="15">
      <c r="A110" s="43" t="str">
        <f>HLOOKUP(INDICE!$F$2,Nombres!$C$3:$D$636,69,FALSE)</f>
        <v>Fondos de pensiones</v>
      </c>
      <c r="B110" s="44">
        <v>11103.258664442905</v>
      </c>
      <c r="C110" s="44">
        <v>11238.846375466299</v>
      </c>
      <c r="D110" s="44">
        <v>11502.086729118082</v>
      </c>
      <c r="E110" s="45">
        <v>11726.06491883199</v>
      </c>
      <c r="F110" s="44">
        <v>11790.91146365</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391</v>
      </c>
    </row>
  </sheetData>
  <sheetProtection/>
  <mergeCells count="4">
    <mergeCell ref="B6:E6"/>
    <mergeCell ref="F6:I6"/>
    <mergeCell ref="B62:E62"/>
    <mergeCell ref="F62:I62"/>
  </mergeCells>
  <conditionalFormatting sqref="C82:I82">
    <cfRule type="cellIs" priority="10" dxfId="261" operator="notBetween">
      <formula>0.5</formula>
      <formula>-0.5</formula>
    </cfRule>
  </conditionalFormatting>
  <conditionalFormatting sqref="C26">
    <cfRule type="cellIs" priority="9" dxfId="18" operator="notBetween">
      <formula>-0.4</formula>
      <formula>0.4</formula>
    </cfRule>
  </conditionalFormatting>
  <conditionalFormatting sqref="D26">
    <cfRule type="cellIs" priority="8" dxfId="18" operator="notBetween">
      <formula>-0.4</formula>
      <formula>0.4</formula>
    </cfRule>
  </conditionalFormatting>
  <conditionalFormatting sqref="E26">
    <cfRule type="cellIs" priority="7" dxfId="18" operator="notBetween">
      <formula>-0.4</formula>
      <formula>0.4</formula>
    </cfRule>
  </conditionalFormatting>
  <conditionalFormatting sqref="F26">
    <cfRule type="cellIs" priority="6" dxfId="18" operator="notBetween">
      <formula>-0.4</formula>
      <formula>0.4</formula>
    </cfRule>
  </conditionalFormatting>
  <conditionalFormatting sqref="G26">
    <cfRule type="cellIs" priority="5" dxfId="18" operator="notBetween">
      <formula>-0.4</formula>
      <formula>0.4</formula>
    </cfRule>
  </conditionalFormatting>
  <conditionalFormatting sqref="H26">
    <cfRule type="cellIs" priority="4" dxfId="18" operator="notBetween">
      <formula>-0.4</formula>
      <formula>0.4</formula>
    </cfRule>
  </conditionalFormatting>
  <conditionalFormatting sqref="I26">
    <cfRule type="cellIs" priority="3" dxfId="18" operator="notBetween">
      <formula>-0.4</formula>
      <formula>0.4</formula>
    </cfRule>
  </conditionalFormatting>
  <conditionalFormatting sqref="B26:I26">
    <cfRule type="cellIs" priority="2" dxfId="261" operator="notBetween">
      <formula>0.5</formula>
      <formula>-0.5</formula>
    </cfRule>
  </conditionalFormatting>
  <conditionalFormatting sqref="B82:I82">
    <cfRule type="cellIs" priority="1" dxfId="261"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298">
        <f>+España!B6</f>
        <v>2022</v>
      </c>
      <c r="C6" s="298"/>
      <c r="D6" s="298"/>
      <c r="E6" s="299"/>
      <c r="F6" s="298">
        <f>+España!F6</f>
        <v>2023</v>
      </c>
      <c r="G6" s="298"/>
      <c r="H6" s="298"/>
      <c r="I6" s="298"/>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318.816</v>
      </c>
      <c r="C8" s="41">
        <v>462.1120000000001</v>
      </c>
      <c r="D8" s="41">
        <v>612.8620000000001</v>
      </c>
      <c r="E8" s="42">
        <v>428.4169999999999</v>
      </c>
      <c r="F8" s="50">
        <v>593.1469999999999</v>
      </c>
      <c r="G8" s="50">
        <v>0</v>
      </c>
      <c r="H8" s="50">
        <v>0</v>
      </c>
      <c r="I8" s="50">
        <v>0</v>
      </c>
    </row>
    <row r="9" spans="1:9" ht="15">
      <c r="A9" s="43" t="str">
        <f>HLOOKUP(INDICE!$F$2,Nombres!$C$3:$D$636,34,FALSE)</f>
        <v>Comisiones netas</v>
      </c>
      <c r="B9" s="44">
        <v>60.91830800000001</v>
      </c>
      <c r="C9" s="44">
        <v>85.25700000000002</v>
      </c>
      <c r="D9" s="44">
        <v>75.12590298999999</v>
      </c>
      <c r="E9" s="45">
        <v>24.891494999999985</v>
      </c>
      <c r="F9" s="44">
        <v>49.22799999999997</v>
      </c>
      <c r="G9" s="44">
        <v>0</v>
      </c>
      <c r="H9" s="44">
        <v>0</v>
      </c>
      <c r="I9" s="44">
        <v>0</v>
      </c>
    </row>
    <row r="10" spans="1:9" ht="15">
      <c r="A10" s="43" t="str">
        <f>HLOOKUP(INDICE!$F$2,Nombres!$C$3:$D$636,35,FALSE)</f>
        <v>Resultados de operaciones financieras</v>
      </c>
      <c r="B10" s="44">
        <v>34.023920000000004</v>
      </c>
      <c r="C10" s="44">
        <v>31.88125</v>
      </c>
      <c r="D10" s="44">
        <v>59.550112580000004</v>
      </c>
      <c r="E10" s="45">
        <v>11.721707999999985</v>
      </c>
      <c r="F10" s="44">
        <v>35.123937319999996</v>
      </c>
      <c r="G10" s="44">
        <v>0</v>
      </c>
      <c r="H10" s="44">
        <v>0</v>
      </c>
      <c r="I10" s="44">
        <v>0</v>
      </c>
    </row>
    <row r="11" spans="1:9" ht="15">
      <c r="A11" s="43" t="str">
        <f>HLOOKUP(INDICE!$F$2,Nombres!$C$3:$D$636,36,FALSE)</f>
        <v>Otros ingresos y cargas de explotación</v>
      </c>
      <c r="B11" s="44">
        <v>-185.92499999999998</v>
      </c>
      <c r="C11" s="44">
        <v>-262.486</v>
      </c>
      <c r="D11" s="44">
        <v>-364.92500000000007</v>
      </c>
      <c r="E11" s="45">
        <v>-182.30899958999993</v>
      </c>
      <c r="F11" s="44">
        <v>-306.789</v>
      </c>
      <c r="G11" s="44">
        <v>0</v>
      </c>
      <c r="H11" s="44">
        <v>0</v>
      </c>
      <c r="I11" s="44">
        <v>0</v>
      </c>
    </row>
    <row r="12" spans="1:9" ht="15">
      <c r="A12" s="41" t="str">
        <f>HLOOKUP(INDICE!$F$2,Nombres!$C$3:$D$636,37,FALSE)</f>
        <v>Margen bruto</v>
      </c>
      <c r="B12" s="41">
        <f>+SUM(B8:B11)</f>
        <v>227.83322800000005</v>
      </c>
      <c r="C12" s="41">
        <f aca="true" t="shared" si="0" ref="C12:I12">+SUM(C8:C11)</f>
        <v>316.7642500000002</v>
      </c>
      <c r="D12" s="41">
        <f t="shared" si="0"/>
        <v>382.61301557</v>
      </c>
      <c r="E12" s="42">
        <f t="shared" si="0"/>
        <v>282.72120340999993</v>
      </c>
      <c r="F12" s="50">
        <f t="shared" si="0"/>
        <v>370.7099373199999</v>
      </c>
      <c r="G12" s="50">
        <f t="shared" si="0"/>
        <v>0</v>
      </c>
      <c r="H12" s="50">
        <f t="shared" si="0"/>
        <v>0</v>
      </c>
      <c r="I12" s="50">
        <f t="shared" si="0"/>
        <v>0</v>
      </c>
    </row>
    <row r="13" spans="1:9" ht="15">
      <c r="A13" s="43" t="str">
        <f>HLOOKUP(INDICE!$F$2,Nombres!$C$3:$D$636,38,FALSE)</f>
        <v>Gastos de explotación</v>
      </c>
      <c r="B13" s="44">
        <v>-145.64386381</v>
      </c>
      <c r="C13" s="44">
        <v>-216.10730637</v>
      </c>
      <c r="D13" s="44">
        <v>-244.78715468999997</v>
      </c>
      <c r="E13" s="45">
        <v>-134.71692395000002</v>
      </c>
      <c r="F13" s="44">
        <v>-200.73820468999998</v>
      </c>
      <c r="G13" s="44">
        <v>0</v>
      </c>
      <c r="H13" s="44">
        <v>0</v>
      </c>
      <c r="I13" s="44">
        <v>0</v>
      </c>
    </row>
    <row r="14" spans="1:9" ht="15">
      <c r="A14" s="43" t="str">
        <f>HLOOKUP(INDICE!$F$2,Nombres!$C$3:$D$636,39,FALSE)</f>
        <v>  Gastos de administración</v>
      </c>
      <c r="B14" s="44">
        <v>-139.78886381</v>
      </c>
      <c r="C14" s="44">
        <v>-199.37230637000002</v>
      </c>
      <c r="D14" s="44">
        <v>-229.08015468999997</v>
      </c>
      <c r="E14" s="45">
        <v>-124.02692395000003</v>
      </c>
      <c r="F14" s="44">
        <v>-190.07820469</v>
      </c>
      <c r="G14" s="44">
        <v>0</v>
      </c>
      <c r="H14" s="44">
        <v>0</v>
      </c>
      <c r="I14" s="44">
        <v>0</v>
      </c>
    </row>
    <row r="15" spans="1:9" ht="15">
      <c r="A15" s="46" t="str">
        <f>HLOOKUP(INDICE!$F$2,Nombres!$C$3:$D$636,40,FALSE)</f>
        <v>  Gastos de personal</v>
      </c>
      <c r="B15" s="44">
        <v>-75.43100000000001</v>
      </c>
      <c r="C15" s="44">
        <v>-107.88299999999998</v>
      </c>
      <c r="D15" s="44">
        <v>-119.46199999999999</v>
      </c>
      <c r="E15" s="45">
        <v>-67.15900000000002</v>
      </c>
      <c r="F15" s="44">
        <v>-99.52</v>
      </c>
      <c r="G15" s="44">
        <v>0</v>
      </c>
      <c r="H15" s="44">
        <v>0</v>
      </c>
      <c r="I15" s="44">
        <v>0</v>
      </c>
    </row>
    <row r="16" spans="1:9" ht="15">
      <c r="A16" s="46" t="str">
        <f>HLOOKUP(INDICE!$F$2,Nombres!$C$3:$D$636,41,FALSE)</f>
        <v>  Otros gastos de administración</v>
      </c>
      <c r="B16" s="44">
        <v>-64.35786381</v>
      </c>
      <c r="C16" s="44">
        <v>-91.48930637000001</v>
      </c>
      <c r="D16" s="44">
        <v>-109.61815468999998</v>
      </c>
      <c r="E16" s="45">
        <v>-56.867923950000005</v>
      </c>
      <c r="F16" s="44">
        <v>-90.55820469</v>
      </c>
      <c r="G16" s="44">
        <v>0</v>
      </c>
      <c r="H16" s="44">
        <v>0</v>
      </c>
      <c r="I16" s="44">
        <v>0</v>
      </c>
    </row>
    <row r="17" spans="1:9" ht="15">
      <c r="A17" s="43" t="str">
        <f>HLOOKUP(INDICE!$F$2,Nombres!$C$3:$D$636,42,FALSE)</f>
        <v>  Amortización</v>
      </c>
      <c r="B17" s="44">
        <v>-5.8549999999999995</v>
      </c>
      <c r="C17" s="44">
        <v>-16.735</v>
      </c>
      <c r="D17" s="44">
        <v>-15.706999999999997</v>
      </c>
      <c r="E17" s="45">
        <v>-10.689999999999998</v>
      </c>
      <c r="F17" s="44">
        <v>-10.66</v>
      </c>
      <c r="G17" s="44">
        <v>0</v>
      </c>
      <c r="H17" s="44">
        <v>0</v>
      </c>
      <c r="I17" s="44">
        <v>0</v>
      </c>
    </row>
    <row r="18" spans="1:9" ht="15">
      <c r="A18" s="41" t="str">
        <f>HLOOKUP(INDICE!$F$2,Nombres!$C$3:$D$636,43,FALSE)</f>
        <v>Margen neto</v>
      </c>
      <c r="B18" s="41">
        <f>+B12+B13</f>
        <v>82.18936419000005</v>
      </c>
      <c r="C18" s="41">
        <f aca="true" t="shared" si="1" ref="C18:I18">+C12+C13</f>
        <v>100.65694363000017</v>
      </c>
      <c r="D18" s="41">
        <f t="shared" si="1"/>
        <v>137.82586088000005</v>
      </c>
      <c r="E18" s="42">
        <f t="shared" si="1"/>
        <v>148.0042794599999</v>
      </c>
      <c r="F18" s="50">
        <f t="shared" si="1"/>
        <v>169.9717326299999</v>
      </c>
      <c r="G18" s="50">
        <f t="shared" si="1"/>
        <v>0</v>
      </c>
      <c r="H18" s="50">
        <f t="shared" si="1"/>
        <v>0</v>
      </c>
      <c r="I18" s="50">
        <f t="shared" si="1"/>
        <v>0</v>
      </c>
    </row>
    <row r="19" spans="1:9" ht="15">
      <c r="A19" s="43" t="str">
        <f>HLOOKUP(INDICE!$F$2,Nombres!$C$3:$D$636,44,FALSE)</f>
        <v>Deterioro de activos financieros no valorados a valor razonable con cambios en resultados</v>
      </c>
      <c r="B19" s="44">
        <v>-47.348999999999975</v>
      </c>
      <c r="C19" s="44">
        <v>-16.98500000000002</v>
      </c>
      <c r="D19" s="44">
        <v>-52.236999999999995</v>
      </c>
      <c r="E19" s="45">
        <v>-54.31999999999999</v>
      </c>
      <c r="F19" s="44">
        <v>-47.275999999999996</v>
      </c>
      <c r="G19" s="44">
        <v>0</v>
      </c>
      <c r="H19" s="44">
        <v>0</v>
      </c>
      <c r="I19" s="44">
        <v>0</v>
      </c>
    </row>
    <row r="20" spans="1:9" ht="15">
      <c r="A20" s="43" t="str">
        <f>HLOOKUP(INDICE!$F$2,Nombres!$C$3:$D$636,45,FALSE)</f>
        <v>Provisiones o reversión de provisiones y otros resultados</v>
      </c>
      <c r="B20" s="44">
        <v>-4.836</v>
      </c>
      <c r="C20" s="44">
        <v>-12.673</v>
      </c>
      <c r="D20" s="44">
        <v>-3.695999999999998</v>
      </c>
      <c r="E20" s="45">
        <v>-20.678</v>
      </c>
      <c r="F20" s="44">
        <v>-6.452999999999999</v>
      </c>
      <c r="G20" s="44">
        <v>0</v>
      </c>
      <c r="H20" s="44">
        <v>0</v>
      </c>
      <c r="I20" s="44">
        <v>0</v>
      </c>
    </row>
    <row r="21" spans="1:9" ht="15">
      <c r="A21" s="41" t="str">
        <f>HLOOKUP(INDICE!$F$2,Nombres!$C$3:$D$636,46,FALSE)</f>
        <v>Resultado antes de impuestos</v>
      </c>
      <c r="B21" s="41">
        <f>+B18+B19+B20</f>
        <v>30.004364190000075</v>
      </c>
      <c r="C21" s="41">
        <f aca="true" t="shared" si="2" ref="C21:I21">+C18+C19+C20</f>
        <v>70.99894363000016</v>
      </c>
      <c r="D21" s="41">
        <f t="shared" si="2"/>
        <v>81.89286088000006</v>
      </c>
      <c r="E21" s="42">
        <f t="shared" si="2"/>
        <v>73.00627945999992</v>
      </c>
      <c r="F21" s="50">
        <f t="shared" si="2"/>
        <v>116.2427326299999</v>
      </c>
      <c r="G21" s="50">
        <f t="shared" si="2"/>
        <v>0</v>
      </c>
      <c r="H21" s="50">
        <f t="shared" si="2"/>
        <v>0</v>
      </c>
      <c r="I21" s="50">
        <f t="shared" si="2"/>
        <v>0</v>
      </c>
    </row>
    <row r="22" spans="1:9" ht="15">
      <c r="A22" s="43" t="str">
        <f>HLOOKUP(INDICE!$F$2,Nombres!$C$3:$D$636,47,FALSE)</f>
        <v>Impuesto sobre beneficios</v>
      </c>
      <c r="B22" s="44">
        <v>-4.8613561600000015</v>
      </c>
      <c r="C22" s="44">
        <v>49.98432955999998</v>
      </c>
      <c r="D22" s="44">
        <v>-2.6627971599999825</v>
      </c>
      <c r="E22" s="45">
        <v>-30.083021439999996</v>
      </c>
      <c r="F22" s="44">
        <v>-39.85935880999999</v>
      </c>
      <c r="G22" s="44">
        <v>0</v>
      </c>
      <c r="H22" s="44">
        <v>0</v>
      </c>
      <c r="I22" s="44">
        <v>0</v>
      </c>
    </row>
    <row r="23" spans="1:9" ht="15">
      <c r="A23" s="41" t="str">
        <f>HLOOKUP(INDICE!$F$2,Nombres!$C$3:$D$636,48,FALSE)</f>
        <v>Resultado del ejercicio</v>
      </c>
      <c r="B23" s="41">
        <f>+B21+B22</f>
        <v>25.143008030000075</v>
      </c>
      <c r="C23" s="41">
        <f aca="true" t="shared" si="3" ref="C23:I23">+C21+C22</f>
        <v>120.98327319000013</v>
      </c>
      <c r="D23" s="41">
        <f t="shared" si="3"/>
        <v>79.23006372000008</v>
      </c>
      <c r="E23" s="42">
        <f t="shared" si="3"/>
        <v>42.92325801999992</v>
      </c>
      <c r="F23" s="50">
        <f t="shared" si="3"/>
        <v>76.38337381999992</v>
      </c>
      <c r="G23" s="50">
        <f t="shared" si="3"/>
        <v>0</v>
      </c>
      <c r="H23" s="50">
        <f t="shared" si="3"/>
        <v>0</v>
      </c>
      <c r="I23" s="50">
        <f t="shared" si="3"/>
        <v>0</v>
      </c>
    </row>
    <row r="24" spans="1:9" ht="15">
      <c r="A24" s="43" t="str">
        <f>HLOOKUP(INDICE!$F$2,Nombres!$C$3:$D$636,49,FALSE)</f>
        <v>Minoritarios</v>
      </c>
      <c r="B24" s="44">
        <v>-6.6809113700000005</v>
      </c>
      <c r="C24" s="44">
        <v>-38.77087993999999</v>
      </c>
      <c r="D24" s="44">
        <v>-23.851571009999994</v>
      </c>
      <c r="E24" s="45">
        <v>-13.570785000000011</v>
      </c>
      <c r="F24" s="44">
        <v>-24.33035514</v>
      </c>
      <c r="G24" s="44">
        <v>0</v>
      </c>
      <c r="H24" s="44">
        <v>0</v>
      </c>
      <c r="I24" s="44">
        <v>0</v>
      </c>
    </row>
    <row r="25" spans="1:9" ht="15">
      <c r="A25" s="47" t="str">
        <f>HLOOKUP(INDICE!$F$2,Nombres!$C$3:$D$636,50,FALSE)</f>
        <v>Resultado atribuido</v>
      </c>
      <c r="B25" s="47">
        <f>+B23+B24</f>
        <v>18.462096660000075</v>
      </c>
      <c r="C25" s="47">
        <f aca="true" t="shared" si="4" ref="C25:I25">+C23+C24</f>
        <v>82.21239325000013</v>
      </c>
      <c r="D25" s="47">
        <f t="shared" si="4"/>
        <v>55.37849271000008</v>
      </c>
      <c r="E25" s="47">
        <f t="shared" si="4"/>
        <v>29.35247301999991</v>
      </c>
      <c r="F25" s="51">
        <f t="shared" si="4"/>
        <v>52.053018679999916</v>
      </c>
      <c r="G25" s="51">
        <f t="shared" si="4"/>
        <v>0</v>
      </c>
      <c r="H25" s="51">
        <f t="shared" si="4"/>
        <v>0</v>
      </c>
      <c r="I25" s="51">
        <f t="shared" si="4"/>
        <v>0</v>
      </c>
    </row>
    <row r="26" spans="1:9" ht="15">
      <c r="A26" s="62"/>
      <c r="B26" s="63">
        <v>6.750155989720952E-14</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1617.2679999999998</v>
      </c>
      <c r="C31" s="44">
        <v>1458.5610000000001</v>
      </c>
      <c r="D31" s="44">
        <v>1430.5249999999999</v>
      </c>
      <c r="E31" s="45">
        <v>1605.0690000000002</v>
      </c>
      <c r="F31" s="44">
        <v>1651.0720000000001</v>
      </c>
      <c r="G31" s="44">
        <v>0</v>
      </c>
      <c r="H31" s="44">
        <v>0</v>
      </c>
      <c r="I31" s="44">
        <v>0</v>
      </c>
    </row>
    <row r="32" spans="1:9" ht="15">
      <c r="A32" s="43" t="str">
        <f>HLOOKUP(INDICE!$F$2,Nombres!$C$3:$D$636,53,FALSE)</f>
        <v>Activos financieros a valor razonable</v>
      </c>
      <c r="B32" s="58">
        <v>2951.362</v>
      </c>
      <c r="C32" s="58">
        <v>3358.946</v>
      </c>
      <c r="D32" s="58">
        <v>3762.2329999999997</v>
      </c>
      <c r="E32" s="64">
        <v>3516.6970000000006</v>
      </c>
      <c r="F32" s="44">
        <v>3174.361</v>
      </c>
      <c r="G32" s="44">
        <v>0</v>
      </c>
      <c r="H32" s="44">
        <v>0</v>
      </c>
      <c r="I32" s="44">
        <v>0</v>
      </c>
    </row>
    <row r="33" spans="1:9" ht="15">
      <c r="A33" s="43" t="str">
        <f>HLOOKUP(INDICE!$F$2,Nombres!$C$3:$D$636,54,FALSE)</f>
        <v>Activos financieros a coste amortizado</v>
      </c>
      <c r="B33" s="44">
        <v>4259.139</v>
      </c>
      <c r="C33" s="44">
        <v>5260.764999999999</v>
      </c>
      <c r="D33" s="44">
        <v>5134.406000000001</v>
      </c>
      <c r="E33" s="45">
        <v>4457.178999999999</v>
      </c>
      <c r="F33" s="44">
        <v>4780.384999999999</v>
      </c>
      <c r="G33" s="44">
        <v>0</v>
      </c>
      <c r="H33" s="44">
        <v>0</v>
      </c>
      <c r="I33" s="44">
        <v>0</v>
      </c>
    </row>
    <row r="34" spans="1:9" ht="15">
      <c r="A34" s="43" t="str">
        <f>HLOOKUP(INDICE!$F$2,Nombres!$C$3:$D$636,55,FALSE)</f>
        <v>    de los que préstamos y anticipos a la clientela</v>
      </c>
      <c r="B34" s="44">
        <v>3343.84</v>
      </c>
      <c r="C34" s="44">
        <v>3971.4730000000004</v>
      </c>
      <c r="D34" s="44">
        <v>4016.194</v>
      </c>
      <c r="E34" s="45">
        <v>3784.3130000000006</v>
      </c>
      <c r="F34" s="44">
        <v>3806.3489999999997</v>
      </c>
      <c r="G34" s="44">
        <v>0</v>
      </c>
      <c r="H34" s="44">
        <v>0</v>
      </c>
      <c r="I34" s="44">
        <v>0</v>
      </c>
    </row>
    <row r="35" spans="1:9" ht="15" customHeight="1" hidden="1">
      <c r="A35" s="43"/>
      <c r="B35" s="44"/>
      <c r="C35" s="44"/>
      <c r="D35" s="44"/>
      <c r="E35" s="45"/>
      <c r="F35" s="44"/>
      <c r="G35" s="44"/>
      <c r="H35" s="44"/>
      <c r="I35" s="44"/>
    </row>
    <row r="36" spans="1:9" ht="15">
      <c r="A36" s="43" t="str">
        <f>HLOOKUP(INDICE!$F$2,Nombres!$C$3:$D$636,56,FALSE)</f>
        <v>Activos tangibles</v>
      </c>
      <c r="B36" s="44">
        <v>524.04</v>
      </c>
      <c r="C36" s="44">
        <v>621.434</v>
      </c>
      <c r="D36" s="44">
        <v>682.75</v>
      </c>
      <c r="E36" s="45">
        <v>619.248</v>
      </c>
      <c r="F36" s="44">
        <v>606.594</v>
      </c>
      <c r="G36" s="44">
        <v>0</v>
      </c>
      <c r="H36" s="44">
        <v>0</v>
      </c>
      <c r="I36" s="44">
        <v>0</v>
      </c>
    </row>
    <row r="37" spans="1:9" ht="15">
      <c r="A37" s="43" t="str">
        <f>HLOOKUP(INDICE!$F$2,Nombres!$C$3:$D$636,57,FALSE)</f>
        <v>Otros activos</v>
      </c>
      <c r="B37" s="58">
        <f>+B38-B36-B33-B32-B31</f>
        <v>297.10845283000185</v>
      </c>
      <c r="C37" s="58">
        <f aca="true" t="shared" si="5" ref="C37:I37">+C38-C36-C33-C32-C31</f>
        <v>321.9505165099995</v>
      </c>
      <c r="D37" s="58">
        <f t="shared" si="5"/>
        <v>296.7246464600032</v>
      </c>
      <c r="E37" s="64">
        <f t="shared" si="5"/>
        <v>288.6960862300018</v>
      </c>
      <c r="F37" s="44">
        <f t="shared" si="5"/>
        <v>311.8433774900004</v>
      </c>
      <c r="G37" s="44">
        <f t="shared" si="5"/>
        <v>0</v>
      </c>
      <c r="H37" s="44">
        <f t="shared" si="5"/>
        <v>0</v>
      </c>
      <c r="I37" s="44">
        <f t="shared" si="5"/>
        <v>0</v>
      </c>
    </row>
    <row r="38" spans="1:9" ht="15">
      <c r="A38" s="47" t="str">
        <f>HLOOKUP(INDICE!$F$2,Nombres!$C$3:$D$636,58,FALSE)</f>
        <v>Total activo / pasivo</v>
      </c>
      <c r="B38" s="47">
        <v>9648.917452830001</v>
      </c>
      <c r="C38" s="47">
        <v>11021.656516509998</v>
      </c>
      <c r="D38" s="47">
        <v>11306.638646460004</v>
      </c>
      <c r="E38" s="47">
        <v>10486.889086230001</v>
      </c>
      <c r="F38" s="51">
        <v>10524.25537749</v>
      </c>
      <c r="G38" s="51">
        <v>0</v>
      </c>
      <c r="H38" s="51">
        <v>0</v>
      </c>
      <c r="I38" s="51">
        <v>0</v>
      </c>
    </row>
    <row r="39" spans="1:9" ht="15">
      <c r="A39" s="43" t="str">
        <f>HLOOKUP(INDICE!$F$2,Nombres!$C$3:$D$636,59,FALSE)</f>
        <v>Pasivos financieros mantenidos para negociar y designados a valor razonable con cambios en resultados</v>
      </c>
      <c r="B39" s="58">
        <v>2.659</v>
      </c>
      <c r="C39" s="58">
        <v>1.1320000000000001</v>
      </c>
      <c r="D39" s="58">
        <v>3.865</v>
      </c>
      <c r="E39" s="64">
        <v>1.774</v>
      </c>
      <c r="F39" s="44">
        <v>2.296</v>
      </c>
      <c r="G39" s="44">
        <v>0</v>
      </c>
      <c r="H39" s="44">
        <v>0</v>
      </c>
      <c r="I39" s="44">
        <v>0</v>
      </c>
    </row>
    <row r="40" spans="1:9" ht="15.75" customHeight="1">
      <c r="A40" s="43" t="str">
        <f>HLOOKUP(INDICE!$F$2,Nombres!$C$3:$D$636,60,FALSE)</f>
        <v>Depósitos de bancos centrales y entidades de crédito</v>
      </c>
      <c r="B40" s="58">
        <v>116.77300000000002</v>
      </c>
      <c r="C40" s="58">
        <v>157.352</v>
      </c>
      <c r="D40" s="58">
        <v>121.06600000000003</v>
      </c>
      <c r="E40" s="64">
        <v>122.95299999999996</v>
      </c>
      <c r="F40" s="44">
        <v>124.57600000000001</v>
      </c>
      <c r="G40" s="44">
        <v>0</v>
      </c>
      <c r="H40" s="44">
        <v>0</v>
      </c>
      <c r="I40" s="44">
        <v>0</v>
      </c>
    </row>
    <row r="41" spans="1:9" ht="15">
      <c r="A41" s="43" t="str">
        <f>HLOOKUP(INDICE!$F$2,Nombres!$C$3:$D$636,61,FALSE)</f>
        <v>Depósitos de la clientela</v>
      </c>
      <c r="B41" s="58">
        <v>6466.273999999999</v>
      </c>
      <c r="C41" s="58">
        <v>7491.32</v>
      </c>
      <c r="D41" s="58">
        <v>7411.194</v>
      </c>
      <c r="E41" s="64">
        <v>6963.756000000001</v>
      </c>
      <c r="F41" s="44">
        <v>6900.092</v>
      </c>
      <c r="G41" s="44">
        <v>0</v>
      </c>
      <c r="H41" s="44">
        <v>0</v>
      </c>
      <c r="I41" s="44">
        <v>0</v>
      </c>
    </row>
    <row r="42" spans="1:9" ht="15">
      <c r="A42" s="43" t="str">
        <f>HLOOKUP(INDICE!$F$2,Nombres!$C$3:$D$636,62,FALSE)</f>
        <v>Valores representativos de deuda emitidos</v>
      </c>
      <c r="B42" s="44">
        <v>251.78840171</v>
      </c>
      <c r="C42" s="44">
        <v>281.33826361</v>
      </c>
      <c r="D42" s="44">
        <v>297.48515428999997</v>
      </c>
      <c r="E42" s="45">
        <v>272.18229649</v>
      </c>
      <c r="F42" s="44">
        <v>326.28112549</v>
      </c>
      <c r="G42" s="44">
        <v>0</v>
      </c>
      <c r="H42" s="44">
        <v>0</v>
      </c>
      <c r="I42" s="44">
        <v>0</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1956.0683361100027</v>
      </c>
      <c r="C44" s="58">
        <f aca="true" t="shared" si="6" ref="C44:I44">+C38-C39-C40-C41-C42-C45</f>
        <v>2157.7762553899984</v>
      </c>
      <c r="D44" s="58">
        <f t="shared" si="6"/>
        <v>2474.1127392700027</v>
      </c>
      <c r="E44" s="64">
        <f t="shared" si="6"/>
        <v>2198.719295140001</v>
      </c>
      <c r="F44" s="44">
        <f t="shared" si="6"/>
        <v>2087.749287120002</v>
      </c>
      <c r="G44" s="44">
        <f t="shared" si="6"/>
        <v>0</v>
      </c>
      <c r="H44" s="44">
        <f t="shared" si="6"/>
        <v>0</v>
      </c>
      <c r="I44" s="44">
        <f t="shared" si="6"/>
        <v>0</v>
      </c>
    </row>
    <row r="45" spans="1:9" ht="15">
      <c r="A45" s="43" t="str">
        <f>HLOOKUP(INDICE!$F$2,Nombres!$C$3:$D$636,282,FALSE)</f>
        <v>Dotación de capital regulatorio</v>
      </c>
      <c r="B45" s="58">
        <v>855.35471501</v>
      </c>
      <c r="C45" s="58">
        <v>932.73799751</v>
      </c>
      <c r="D45" s="58">
        <v>998.9157529000001</v>
      </c>
      <c r="E45" s="64">
        <v>927.5044946</v>
      </c>
      <c r="F45" s="44">
        <v>1083.2609648799998</v>
      </c>
      <c r="G45" s="44">
        <v>0</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43" t="str">
        <f>HLOOKUP(INDICE!$F$2,Nombres!$C$3:$D$636,66,FALSE)</f>
        <v>Préstamos y anticipos a la clientela bruto (*)</v>
      </c>
      <c r="B51" s="44">
        <v>3440.7780000000002</v>
      </c>
      <c r="C51" s="44">
        <v>4070.143</v>
      </c>
      <c r="D51" s="44">
        <v>4122.979</v>
      </c>
      <c r="E51" s="45">
        <v>3893.913</v>
      </c>
      <c r="F51" s="44">
        <v>3925.184</v>
      </c>
      <c r="G51" s="44">
        <v>0</v>
      </c>
      <c r="H51" s="44">
        <v>0</v>
      </c>
      <c r="I51" s="44">
        <v>0</v>
      </c>
    </row>
    <row r="52" spans="1:9" ht="15">
      <c r="A52" s="43" t="str">
        <f>HLOOKUP(INDICE!$F$2,Nombres!$C$3:$D$636,67,FALSE)</f>
        <v>Depósitos de clientes en gestión (**)</v>
      </c>
      <c r="B52" s="44">
        <v>6466.274</v>
      </c>
      <c r="C52" s="44">
        <v>7491.320000000001</v>
      </c>
      <c r="D52" s="44">
        <v>7411.194</v>
      </c>
      <c r="E52" s="45">
        <v>6963.756</v>
      </c>
      <c r="F52" s="44">
        <v>6900.092</v>
      </c>
      <c r="G52" s="44">
        <v>0</v>
      </c>
      <c r="H52" s="44">
        <v>0</v>
      </c>
      <c r="I52" s="44">
        <v>0</v>
      </c>
    </row>
    <row r="53" spans="1:9" ht="15">
      <c r="A53" s="43" t="str">
        <f>HLOOKUP(INDICE!$F$2,Nombres!$C$3:$D$636,68,FALSE)</f>
        <v>Fondos de inversión y carteras gestionadas</v>
      </c>
      <c r="B53" s="44">
        <v>1985.78785607</v>
      </c>
      <c r="C53" s="44">
        <v>1986.68423752</v>
      </c>
      <c r="D53" s="44">
        <v>2336.8586472099996</v>
      </c>
      <c r="E53" s="45">
        <v>2302.8792526</v>
      </c>
      <c r="F53" s="44">
        <v>2312.63197179</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298">
        <f>+B$6</f>
        <v>2022</v>
      </c>
      <c r="C62" s="298"/>
      <c r="D62" s="298"/>
      <c r="E62" s="299"/>
      <c r="F62" s="298">
        <f>+F$6</f>
        <v>2023</v>
      </c>
      <c r="G62" s="298"/>
      <c r="H62" s="298"/>
      <c r="I62" s="298"/>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179.1703418683614</v>
      </c>
      <c r="C64" s="41">
        <v>303.4172470023302</v>
      </c>
      <c r="D64" s="41">
        <v>490.6402401603976</v>
      </c>
      <c r="E64" s="42">
        <v>608.259241920868</v>
      </c>
      <c r="F64" s="50">
        <v>593.147</v>
      </c>
      <c r="G64" s="50">
        <v>0</v>
      </c>
      <c r="H64" s="50">
        <v>0</v>
      </c>
      <c r="I64" s="50">
        <v>0</v>
      </c>
    </row>
    <row r="65" spans="1:9" ht="15">
      <c r="A65" s="43" t="str">
        <f>HLOOKUP(INDICE!$F$2,Nombres!$C$3:$D$636,34,FALSE)</f>
        <v>Comisiones netas</v>
      </c>
      <c r="B65" s="44">
        <v>34.077724548997</v>
      </c>
      <c r="C65" s="44">
        <v>55.19722648088758</v>
      </c>
      <c r="D65" s="44">
        <v>64.4800980885619</v>
      </c>
      <c r="E65" s="45">
        <v>60.07717331412522</v>
      </c>
      <c r="F65" s="44">
        <v>49.22799999999999</v>
      </c>
      <c r="G65" s="44">
        <v>0</v>
      </c>
      <c r="H65" s="44">
        <v>0</v>
      </c>
      <c r="I65" s="44">
        <v>0</v>
      </c>
    </row>
    <row r="66" spans="1:9" ht="15">
      <c r="A66" s="43" t="str">
        <f>HLOOKUP(INDICE!$F$2,Nombres!$C$3:$D$636,35,FALSE)</f>
        <v>Resultados de operaciones financieras</v>
      </c>
      <c r="B66" s="44">
        <v>19.038979956278006</v>
      </c>
      <c r="C66" s="44">
        <v>23.40601419625145</v>
      </c>
      <c r="D66" s="44">
        <v>47.083981276651016</v>
      </c>
      <c r="E66" s="45">
        <v>31.0745218287055</v>
      </c>
      <c r="F66" s="44">
        <v>35.123937319999996</v>
      </c>
      <c r="G66" s="44">
        <v>0</v>
      </c>
      <c r="H66" s="44">
        <v>0</v>
      </c>
      <c r="I66" s="44">
        <v>0</v>
      </c>
    </row>
    <row r="67" spans="1:9" ht="15">
      <c r="A67" s="43" t="str">
        <f>HLOOKUP(INDICE!$F$2,Nombres!$C$3:$D$636,36,FALSE)</f>
        <v>Otros ingresos y cargas de explotación</v>
      </c>
      <c r="B67" s="44">
        <v>-165.96249804647772</v>
      </c>
      <c r="C67" s="44">
        <v>-244.73104632014866</v>
      </c>
      <c r="D67" s="44">
        <v>-349.44682241201053</v>
      </c>
      <c r="E67" s="45">
        <v>-205.73205975002963</v>
      </c>
      <c r="F67" s="44">
        <v>-306.789</v>
      </c>
      <c r="G67" s="44">
        <v>0</v>
      </c>
      <c r="H67" s="44">
        <v>0</v>
      </c>
      <c r="I67" s="44">
        <v>0</v>
      </c>
    </row>
    <row r="68" spans="1:9" ht="15">
      <c r="A68" s="41" t="str">
        <f>HLOOKUP(INDICE!$F$2,Nombres!$C$3:$D$636,37,FALSE)</f>
        <v>Margen bruto</v>
      </c>
      <c r="B68" s="41">
        <f>+SUM(B64:B67)</f>
        <v>66.32454832715868</v>
      </c>
      <c r="C68" s="41">
        <f aca="true" t="shared" si="9" ref="C68:I68">+SUM(C64:C67)</f>
        <v>137.28944135932062</v>
      </c>
      <c r="D68" s="41">
        <f t="shared" si="9"/>
        <v>252.75749711359992</v>
      </c>
      <c r="E68" s="42">
        <f t="shared" si="9"/>
        <v>493.6788773136691</v>
      </c>
      <c r="F68" s="50">
        <f t="shared" si="9"/>
        <v>370.70993732</v>
      </c>
      <c r="G68" s="50">
        <f t="shared" si="9"/>
        <v>0</v>
      </c>
      <c r="H68" s="50">
        <f t="shared" si="9"/>
        <v>0</v>
      </c>
      <c r="I68" s="50">
        <f t="shared" si="9"/>
        <v>0</v>
      </c>
    </row>
    <row r="69" spans="1:9" ht="15">
      <c r="A69" s="43" t="str">
        <f>HLOOKUP(INDICE!$F$2,Nombres!$C$3:$D$636,38,FALSE)</f>
        <v>Gastos de explotación</v>
      </c>
      <c r="B69" s="44">
        <v>-82.9503380926287</v>
      </c>
      <c r="C69" s="44">
        <v>-147.8683550224004</v>
      </c>
      <c r="D69" s="44">
        <v>-206.61277159157942</v>
      </c>
      <c r="E69" s="45">
        <v>-215.2796718748947</v>
      </c>
      <c r="F69" s="44">
        <v>-200.73820469</v>
      </c>
      <c r="G69" s="44">
        <v>0</v>
      </c>
      <c r="H69" s="44">
        <v>0</v>
      </c>
      <c r="I69" s="44">
        <v>0</v>
      </c>
    </row>
    <row r="70" spans="1:9" ht="15">
      <c r="A70" s="43" t="str">
        <f>HLOOKUP(INDICE!$F$2,Nombres!$C$3:$D$636,39,FALSE)</f>
        <v>  Gastos de administración</v>
      </c>
      <c r="B70" s="44">
        <v>-79.21284327162317</v>
      </c>
      <c r="C70" s="44">
        <v>-132.94070198849832</v>
      </c>
      <c r="D70" s="44">
        <v>-191.83532946731344</v>
      </c>
      <c r="E70" s="45">
        <v>-202.21393772976555</v>
      </c>
      <c r="F70" s="44">
        <v>-190.07820469</v>
      </c>
      <c r="G70" s="44">
        <v>0</v>
      </c>
      <c r="H70" s="44">
        <v>0</v>
      </c>
      <c r="I70" s="44">
        <v>0</v>
      </c>
    </row>
    <row r="71" spans="1:9" ht="15">
      <c r="A71" s="46" t="str">
        <f>HLOOKUP(INDICE!$F$2,Nombres!$C$3:$D$636,40,FALSE)</f>
        <v>  Gastos de personal</v>
      </c>
      <c r="B71" s="44">
        <v>-42.647939544095394</v>
      </c>
      <c r="C71" s="44">
        <v>-71.64964215218866</v>
      </c>
      <c r="D71" s="44">
        <v>-100.36356362781177</v>
      </c>
      <c r="E71" s="45">
        <v>-108.82003853871684</v>
      </c>
      <c r="F71" s="44">
        <v>-99.52000000000001</v>
      </c>
      <c r="G71" s="44">
        <v>0</v>
      </c>
      <c r="H71" s="44">
        <v>0</v>
      </c>
      <c r="I71" s="44">
        <v>0</v>
      </c>
    </row>
    <row r="72" spans="1:9" ht="15">
      <c r="A72" s="46" t="str">
        <f>HLOOKUP(INDICE!$F$2,Nombres!$C$3:$D$636,41,FALSE)</f>
        <v>  Otros gastos de administración</v>
      </c>
      <c r="B72" s="44">
        <v>-36.564903727527785</v>
      </c>
      <c r="C72" s="44">
        <v>-61.29105983630965</v>
      </c>
      <c r="D72" s="44">
        <v>-91.47176583950166</v>
      </c>
      <c r="E72" s="45">
        <v>-93.39389919104869</v>
      </c>
      <c r="F72" s="44">
        <v>-90.55820469</v>
      </c>
      <c r="G72" s="44">
        <v>0</v>
      </c>
      <c r="H72" s="44">
        <v>0</v>
      </c>
      <c r="I72" s="44">
        <v>0</v>
      </c>
    </row>
    <row r="73" spans="1:9" ht="15">
      <c r="A73" s="43" t="str">
        <f>HLOOKUP(INDICE!$F$2,Nombres!$C$3:$D$636,42,FALSE)</f>
        <v>  Amortización</v>
      </c>
      <c r="B73" s="44">
        <v>-3.7374948210055323</v>
      </c>
      <c r="C73" s="44">
        <v>-14.927653033902082</v>
      </c>
      <c r="D73" s="44">
        <v>-14.777442124266003</v>
      </c>
      <c r="E73" s="45">
        <v>-13.065734145129163</v>
      </c>
      <c r="F73" s="44">
        <v>-10.66</v>
      </c>
      <c r="G73" s="44">
        <v>0</v>
      </c>
      <c r="H73" s="44">
        <v>0</v>
      </c>
      <c r="I73" s="44">
        <v>0</v>
      </c>
    </row>
    <row r="74" spans="1:9" ht="15">
      <c r="A74" s="41" t="str">
        <f>HLOOKUP(INDICE!$F$2,Nombres!$C$3:$D$636,43,FALSE)</f>
        <v>Margen neto</v>
      </c>
      <c r="B74" s="41">
        <f>+B68+B69</f>
        <v>-16.625789765470017</v>
      </c>
      <c r="C74" s="41">
        <f aca="true" t="shared" si="10" ref="C74:I74">+C68+C69</f>
        <v>-10.578913663079788</v>
      </c>
      <c r="D74" s="41">
        <f t="shared" si="10"/>
        <v>46.14472552202051</v>
      </c>
      <c r="E74" s="42">
        <f t="shared" si="10"/>
        <v>278.3992054387744</v>
      </c>
      <c r="F74" s="50">
        <f t="shared" si="10"/>
        <v>169.97173263</v>
      </c>
      <c r="G74" s="50">
        <f t="shared" si="10"/>
        <v>0</v>
      </c>
      <c r="H74" s="50">
        <f t="shared" si="10"/>
        <v>0</v>
      </c>
      <c r="I74" s="50">
        <f t="shared" si="10"/>
        <v>0</v>
      </c>
    </row>
    <row r="75" spans="1:9" ht="15">
      <c r="A75" s="43" t="str">
        <f>HLOOKUP(INDICE!$F$2,Nombres!$C$3:$D$636,44,FALSE)</f>
        <v>Deterioro de activos financieros no valorados a valor razonable con cambios en resultados</v>
      </c>
      <c r="B75" s="44">
        <v>-26.843718129579834</v>
      </c>
      <c r="C75" s="44">
        <v>-13.724269824088925</v>
      </c>
      <c r="D75" s="44">
        <v>-41.82482112171366</v>
      </c>
      <c r="E75" s="45">
        <v>-65.97400387096665</v>
      </c>
      <c r="F75" s="44">
        <v>-47.275999999999996</v>
      </c>
      <c r="G75" s="44">
        <v>0</v>
      </c>
      <c r="H75" s="44">
        <v>0</v>
      </c>
      <c r="I75" s="44">
        <v>0</v>
      </c>
    </row>
    <row r="76" spans="1:9" ht="15">
      <c r="A76" s="43" t="str">
        <f>HLOOKUP(INDICE!$F$2,Nombres!$C$3:$D$636,45,FALSE)</f>
        <v>Provisiones o reversión de provisiones y otros resultados</v>
      </c>
      <c r="B76" s="44">
        <v>-2.692245913698333</v>
      </c>
      <c r="C76" s="44">
        <v>-7.795847159428978</v>
      </c>
      <c r="D76" s="44">
        <v>-4.42033611258102</v>
      </c>
      <c r="E76" s="45">
        <v>-21.7706505338184</v>
      </c>
      <c r="F76" s="44">
        <v>-6.452999999999999</v>
      </c>
      <c r="G76" s="44">
        <v>0</v>
      </c>
      <c r="H76" s="44">
        <v>0</v>
      </c>
      <c r="I76" s="44">
        <v>0</v>
      </c>
    </row>
    <row r="77" spans="1:9" ht="15">
      <c r="A77" s="41" t="str">
        <f>HLOOKUP(INDICE!$F$2,Nombres!$C$3:$D$636,46,FALSE)</f>
        <v>Resultado antes de impuestos</v>
      </c>
      <c r="B77" s="41">
        <f>+B74+B75+B76</f>
        <v>-46.16175380874819</v>
      </c>
      <c r="C77" s="41">
        <f aca="true" t="shared" si="11" ref="C77:I77">+C74+C75+C76</f>
        <v>-32.09903064659769</v>
      </c>
      <c r="D77" s="41">
        <f t="shared" si="11"/>
        <v>-0.10043171227417336</v>
      </c>
      <c r="E77" s="42">
        <f t="shared" si="11"/>
        <v>190.65455103398932</v>
      </c>
      <c r="F77" s="50">
        <f t="shared" si="11"/>
        <v>116.24273262999999</v>
      </c>
      <c r="G77" s="50">
        <f t="shared" si="11"/>
        <v>0</v>
      </c>
      <c r="H77" s="50">
        <f t="shared" si="11"/>
        <v>0</v>
      </c>
      <c r="I77" s="50">
        <f t="shared" si="11"/>
        <v>0</v>
      </c>
    </row>
    <row r="78" spans="1:9" ht="15">
      <c r="A78" s="43" t="str">
        <f>HLOOKUP(INDICE!$F$2,Nombres!$C$3:$D$636,47,FALSE)</f>
        <v>Impuesto sobre beneficios</v>
      </c>
      <c r="B78" s="44">
        <v>17.26465704626876</v>
      </c>
      <c r="C78" s="44">
        <v>87.2922001006699</v>
      </c>
      <c r="D78" s="44">
        <v>26.39348667639965</v>
      </c>
      <c r="E78" s="45">
        <v>-69.63300736946586</v>
      </c>
      <c r="F78" s="44">
        <v>-39.859358809999996</v>
      </c>
      <c r="G78" s="44">
        <v>0</v>
      </c>
      <c r="H78" s="44">
        <v>0</v>
      </c>
      <c r="I78" s="44">
        <v>0</v>
      </c>
    </row>
    <row r="79" spans="1:9" ht="15">
      <c r="A79" s="41" t="str">
        <f>HLOOKUP(INDICE!$F$2,Nombres!$C$3:$D$636,48,FALSE)</f>
        <v>Resultado del ejercicio</v>
      </c>
      <c r="B79" s="41">
        <f>+B77+B78</f>
        <v>-28.89709676247943</v>
      </c>
      <c r="C79" s="41">
        <f aca="true" t="shared" si="12" ref="C79:I79">+C77+C78</f>
        <v>55.19316945407221</v>
      </c>
      <c r="D79" s="41">
        <f t="shared" si="12"/>
        <v>26.293054964125478</v>
      </c>
      <c r="E79" s="42">
        <f t="shared" si="12"/>
        <v>121.02154366452346</v>
      </c>
      <c r="F79" s="50">
        <f t="shared" si="12"/>
        <v>76.38337382</v>
      </c>
      <c r="G79" s="50">
        <f t="shared" si="12"/>
        <v>0</v>
      </c>
      <c r="H79" s="50">
        <f t="shared" si="12"/>
        <v>0</v>
      </c>
      <c r="I79" s="50">
        <f t="shared" si="12"/>
        <v>0</v>
      </c>
    </row>
    <row r="80" spans="1:9" ht="15">
      <c r="A80" s="43" t="str">
        <f>HLOOKUP(INDICE!$F$2,Nombres!$C$3:$D$636,49,FALSE)</f>
        <v>Minoritarios</v>
      </c>
      <c r="B80" s="44">
        <v>10.632429742014171</v>
      </c>
      <c r="C80" s="44">
        <v>-17.498143644397175</v>
      </c>
      <c r="D80" s="44">
        <v>-6.922252675235214</v>
      </c>
      <c r="E80" s="45">
        <v>-38.59843108197215</v>
      </c>
      <c r="F80" s="44">
        <v>-24.330355140000005</v>
      </c>
      <c r="G80" s="44">
        <v>0</v>
      </c>
      <c r="H80" s="44">
        <v>0</v>
      </c>
      <c r="I80" s="44">
        <v>0</v>
      </c>
    </row>
    <row r="81" spans="1:9" ht="15">
      <c r="A81" s="47" t="str">
        <f>HLOOKUP(INDICE!$F$2,Nombres!$C$3:$D$636,50,FALSE)</f>
        <v>Resultado atribuido</v>
      </c>
      <c r="B81" s="47">
        <f>+B79+B80</f>
        <v>-18.264667020465257</v>
      </c>
      <c r="C81" s="47">
        <f aca="true" t="shared" si="13" ref="C81:I81">+C79+C80</f>
        <v>37.69502580967504</v>
      </c>
      <c r="D81" s="47">
        <f t="shared" si="13"/>
        <v>19.370802288890264</v>
      </c>
      <c r="E81" s="47">
        <f t="shared" si="13"/>
        <v>82.42311258255131</v>
      </c>
      <c r="F81" s="51">
        <f t="shared" si="13"/>
        <v>52.053018679999994</v>
      </c>
      <c r="G81" s="51">
        <f t="shared" si="13"/>
        <v>0</v>
      </c>
      <c r="H81" s="51">
        <f t="shared" si="13"/>
        <v>0</v>
      </c>
      <c r="I81" s="51">
        <f t="shared" si="13"/>
        <v>0</v>
      </c>
    </row>
    <row r="82" spans="1:9" ht="15">
      <c r="A82" s="62"/>
      <c r="B82" s="63">
        <v>3.552713678800501E-14</v>
      </c>
      <c r="C82" s="63">
        <v>0</v>
      </c>
      <c r="D82" s="63">
        <v>-6.750155989720952E-14</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877.8109768047104</v>
      </c>
      <c r="C87" s="44">
        <v>835.1048984983723</v>
      </c>
      <c r="D87" s="44">
        <v>904.1783220871898</v>
      </c>
      <c r="E87" s="45">
        <v>1333.8230440892694</v>
      </c>
      <c r="F87" s="44">
        <v>1651.0720000000001</v>
      </c>
      <c r="G87" s="44">
        <v>0</v>
      </c>
      <c r="H87" s="44">
        <v>0</v>
      </c>
      <c r="I87" s="44">
        <v>0</v>
      </c>
    </row>
    <row r="88" spans="1:9" ht="15">
      <c r="A88" s="43" t="str">
        <f>HLOOKUP(INDICE!$F$2,Nombres!$C$3:$D$636,53,FALSE)</f>
        <v>Activos financieros a valor razonable</v>
      </c>
      <c r="B88" s="58">
        <v>1601.922476747394</v>
      </c>
      <c r="C88" s="58">
        <v>1923.1778844981554</v>
      </c>
      <c r="D88" s="58">
        <v>2377.958806201257</v>
      </c>
      <c r="E88" s="64">
        <v>2922.3986617893697</v>
      </c>
      <c r="F88" s="44">
        <v>3174.361</v>
      </c>
      <c r="G88" s="44">
        <v>0</v>
      </c>
      <c r="H88" s="44">
        <v>0</v>
      </c>
      <c r="I88" s="44">
        <v>0</v>
      </c>
    </row>
    <row r="89" spans="1:9" ht="15">
      <c r="A89" s="43" t="str">
        <f>HLOOKUP(INDICE!$F$2,Nombres!$C$3:$D$636,54,FALSE)</f>
        <v>Activos financieros a coste amortizado</v>
      </c>
      <c r="B89" s="44">
        <v>2311.749794058275</v>
      </c>
      <c r="C89" s="44">
        <v>3012.0719128982537</v>
      </c>
      <c r="D89" s="44">
        <v>3245.2551349989685</v>
      </c>
      <c r="E89" s="45">
        <v>3703.945476381866</v>
      </c>
      <c r="F89" s="44">
        <v>4780.384999999999</v>
      </c>
      <c r="G89" s="44">
        <v>0</v>
      </c>
      <c r="H89" s="44">
        <v>0</v>
      </c>
      <c r="I89" s="44">
        <v>0</v>
      </c>
    </row>
    <row r="90" spans="1:9" ht="15">
      <c r="A90" s="43" t="str">
        <f>HLOOKUP(INDICE!$F$2,Nombres!$C$3:$D$636,55,FALSE)</f>
        <v>    de los que préstamos y anticipos a la clientela</v>
      </c>
      <c r="B90" s="44">
        <v>1814.9493198892596</v>
      </c>
      <c r="C90" s="44">
        <v>2273.8826532136995</v>
      </c>
      <c r="D90" s="44">
        <v>2538.4775184611517</v>
      </c>
      <c r="E90" s="45">
        <v>3144.7893426678816</v>
      </c>
      <c r="F90" s="44">
        <v>3806.3489999999997</v>
      </c>
      <c r="G90" s="44">
        <v>0</v>
      </c>
      <c r="H90" s="44">
        <v>0</v>
      </c>
      <c r="I90" s="44">
        <v>0</v>
      </c>
    </row>
    <row r="91" spans="1:9" ht="15" customHeight="1" hidden="1">
      <c r="A91" s="43"/>
      <c r="B91" s="44"/>
      <c r="C91" s="44"/>
      <c r="D91" s="44"/>
      <c r="E91" s="45"/>
      <c r="F91" s="44"/>
      <c r="G91" s="44"/>
      <c r="H91" s="44"/>
      <c r="I91" s="44"/>
    </row>
    <row r="92" spans="1:9" ht="15">
      <c r="A92" s="43" t="str">
        <f>HLOOKUP(INDICE!$F$2,Nombres!$C$3:$D$636,56,FALSE)</f>
        <v>Activos tangibles</v>
      </c>
      <c r="B92" s="44">
        <v>457.7807930874182</v>
      </c>
      <c r="C92" s="44">
        <v>547.1520130271405</v>
      </c>
      <c r="D92" s="44">
        <v>611.3777618694922</v>
      </c>
      <c r="E92" s="45">
        <v>591.5117789395051</v>
      </c>
      <c r="F92" s="44">
        <v>606.594</v>
      </c>
      <c r="G92" s="44">
        <v>0</v>
      </c>
      <c r="H92" s="44">
        <v>0</v>
      </c>
      <c r="I92" s="44">
        <v>0</v>
      </c>
    </row>
    <row r="93" spans="1:9" ht="15">
      <c r="A93" s="43" t="str">
        <f>HLOOKUP(INDICE!$F$2,Nombres!$C$3:$D$636,57,FALSE)</f>
        <v>Otros activos</v>
      </c>
      <c r="B93" s="58">
        <f>+B94-B92-B89-B88-B87</f>
        <v>168.40117579297566</v>
      </c>
      <c r="C93" s="58">
        <f aca="true" t="shared" si="15" ref="C93:I93">+C94-C92-C89-C88-C87</f>
        <v>193.42053568206427</v>
      </c>
      <c r="D93" s="58">
        <f t="shared" si="15"/>
        <v>198.1097784066851</v>
      </c>
      <c r="E93" s="64">
        <f t="shared" si="15"/>
        <v>245.04432321020886</v>
      </c>
      <c r="F93" s="44">
        <f t="shared" si="15"/>
        <v>311.8433774900004</v>
      </c>
      <c r="G93" s="44">
        <f t="shared" si="15"/>
        <v>0</v>
      </c>
      <c r="H93" s="44">
        <f t="shared" si="15"/>
        <v>0</v>
      </c>
      <c r="I93" s="44">
        <f t="shared" si="15"/>
        <v>0</v>
      </c>
    </row>
    <row r="94" spans="1:9" ht="15">
      <c r="A94" s="47" t="str">
        <f>HLOOKUP(INDICE!$F$2,Nombres!$C$3:$D$636,58,FALSE)</f>
        <v>Total activo / pasivo</v>
      </c>
      <c r="B94" s="47">
        <v>5417.665216490773</v>
      </c>
      <c r="C94" s="47">
        <v>6510.927244603986</v>
      </c>
      <c r="D94" s="47">
        <v>7336.879803563593</v>
      </c>
      <c r="E94" s="47">
        <v>8796.723284410218</v>
      </c>
      <c r="F94" s="51">
        <v>10524.25537749</v>
      </c>
      <c r="G94" s="51">
        <v>0</v>
      </c>
      <c r="H94" s="51">
        <v>0</v>
      </c>
      <c r="I94" s="51">
        <v>0</v>
      </c>
    </row>
    <row r="95" spans="1:9" ht="15">
      <c r="A95" s="43" t="str">
        <f>HLOOKUP(INDICE!$F$2,Nombres!$C$3:$D$636,59,FALSE)</f>
        <v>Pasivos financieros mantenidos para negociar y designados a valor razonable con cambios en resultados</v>
      </c>
      <c r="B95" s="58">
        <v>1.4432359926269023</v>
      </c>
      <c r="C95" s="58">
        <v>0.6481310998306945</v>
      </c>
      <c r="D95" s="58">
        <v>2.4429137658321167</v>
      </c>
      <c r="E95" s="64">
        <v>1.4742058317831592</v>
      </c>
      <c r="F95" s="44">
        <v>2.296</v>
      </c>
      <c r="G95" s="44">
        <v>0</v>
      </c>
      <c r="H95" s="44">
        <v>0</v>
      </c>
      <c r="I95" s="44">
        <v>0</v>
      </c>
    </row>
    <row r="96" spans="1:9" ht="15">
      <c r="A96" s="43" t="str">
        <f>HLOOKUP(INDICE!$F$2,Nombres!$C$3:$D$636,60,FALSE)</f>
        <v>Depósitos de bancos centrales y entidades de crédito</v>
      </c>
      <c r="B96" s="58">
        <v>63.38134507973721</v>
      </c>
      <c r="C96" s="58">
        <v>90.09251309236701</v>
      </c>
      <c r="D96" s="58">
        <v>76.52103440471694</v>
      </c>
      <c r="E96" s="64">
        <v>102.17476304128228</v>
      </c>
      <c r="F96" s="44">
        <v>124.57600000000001</v>
      </c>
      <c r="G96" s="44">
        <v>0</v>
      </c>
      <c r="H96" s="44">
        <v>0</v>
      </c>
      <c r="I96" s="44">
        <v>0</v>
      </c>
    </row>
    <row r="97" spans="1:9" ht="15">
      <c r="A97" s="43" t="str">
        <f>HLOOKUP(INDICE!$F$2,Nombres!$C$3:$D$636,61,FALSE)</f>
        <v>Depósitos de la clientela</v>
      </c>
      <c r="B97" s="58">
        <v>3509.7252256440506</v>
      </c>
      <c r="C97" s="58">
        <v>4289.185044861906</v>
      </c>
      <c r="D97" s="58">
        <v>4684.322857400359</v>
      </c>
      <c r="E97" s="64">
        <v>5786.927681124557</v>
      </c>
      <c r="F97" s="44">
        <v>6900.092</v>
      </c>
      <c r="G97" s="44">
        <v>0</v>
      </c>
      <c r="H97" s="44">
        <v>0</v>
      </c>
      <c r="I97" s="44">
        <v>0</v>
      </c>
    </row>
    <row r="98" spans="1:9" ht="15">
      <c r="A98" s="43" t="str">
        <f>HLOOKUP(INDICE!$F$2,Nombres!$C$3:$D$636,62,FALSE)</f>
        <v>Valores representativos de deuda emitidos</v>
      </c>
      <c r="B98" s="44">
        <v>136.66419100183268</v>
      </c>
      <c r="C98" s="44">
        <v>161.08134118198512</v>
      </c>
      <c r="D98" s="44">
        <v>188.02861023175475</v>
      </c>
      <c r="E98" s="45">
        <v>226.1853037168495</v>
      </c>
      <c r="F98" s="44">
        <v>326.28112549</v>
      </c>
      <c r="G98" s="44">
        <v>0</v>
      </c>
      <c r="H98" s="44">
        <v>0</v>
      </c>
      <c r="I98" s="44">
        <v>0</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1242.098354747709</v>
      </c>
      <c r="C100" s="58">
        <f aca="true" t="shared" si="16" ref="C100:I100">+C94-C95-C96-C97-C98-C101</f>
        <v>1435.7879786395938</v>
      </c>
      <c r="D100" s="58">
        <f t="shared" si="16"/>
        <v>1754.1076572821132</v>
      </c>
      <c r="E100" s="64">
        <f t="shared" si="16"/>
        <v>1909.162483130713</v>
      </c>
      <c r="F100" s="44">
        <f t="shared" si="16"/>
        <v>2087.749287120002</v>
      </c>
      <c r="G100" s="44">
        <f t="shared" si="16"/>
        <v>0</v>
      </c>
      <c r="H100" s="44">
        <f t="shared" si="16"/>
        <v>0</v>
      </c>
      <c r="I100" s="44">
        <f t="shared" si="16"/>
        <v>0</v>
      </c>
    </row>
    <row r="101" spans="1:9" ht="15">
      <c r="A101" s="43" t="str">
        <f>HLOOKUP(INDICE!$F$2,Nombres!$C$3:$D$636,282,FALSE)</f>
        <v>Dotación de capital regulatorio</v>
      </c>
      <c r="B101" s="58">
        <v>464.35286402481654</v>
      </c>
      <c r="C101" s="58">
        <v>534.1322357283032</v>
      </c>
      <c r="D101" s="58">
        <v>631.4567304788172</v>
      </c>
      <c r="E101" s="64">
        <v>770.7988475650332</v>
      </c>
      <c r="F101" s="44">
        <v>1083.2609648799998</v>
      </c>
      <c r="G101" s="44">
        <v>0</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1867.5647432263293</v>
      </c>
      <c r="C107" s="44">
        <v>2330.3765539383417</v>
      </c>
      <c r="D107" s="44">
        <v>2605.9720971117035</v>
      </c>
      <c r="E107" s="45">
        <v>3235.867673650652</v>
      </c>
      <c r="F107" s="44">
        <v>3925.184</v>
      </c>
      <c r="G107" s="44">
        <v>0</v>
      </c>
      <c r="H107" s="44">
        <v>0</v>
      </c>
      <c r="I107" s="44">
        <v>0</v>
      </c>
    </row>
    <row r="108" spans="1:9" ht="15">
      <c r="A108" s="43" t="str">
        <f>HLOOKUP(INDICE!$F$2,Nombres!$C$3:$D$636,67,FALSE)</f>
        <v>Depósitos de clientes en gestión (**)</v>
      </c>
      <c r="B108" s="44">
        <v>3509.7252256440506</v>
      </c>
      <c r="C108" s="44">
        <v>4289.185044861906</v>
      </c>
      <c r="D108" s="44">
        <v>4684.322857400359</v>
      </c>
      <c r="E108" s="45">
        <v>5786.927681124558</v>
      </c>
      <c r="F108" s="44">
        <v>6900.092</v>
      </c>
      <c r="G108" s="44">
        <v>0</v>
      </c>
      <c r="H108" s="44">
        <v>0</v>
      </c>
      <c r="I108" s="44">
        <v>0</v>
      </c>
    </row>
    <row r="109" spans="1:9" ht="15">
      <c r="A109" s="43" t="str">
        <f>HLOOKUP(INDICE!$F$2,Nombres!$C$3:$D$636,68,FALSE)</f>
        <v>Fondos de inversión y carteras gestionadas</v>
      </c>
      <c r="B109" s="44">
        <v>1077.8339629942213</v>
      </c>
      <c r="C109" s="44">
        <v>1137.483957491292</v>
      </c>
      <c r="D109" s="44">
        <v>1477.0360046761</v>
      </c>
      <c r="E109" s="45">
        <v>1913.7080180808136</v>
      </c>
      <c r="F109" s="44">
        <v>2312.63197179</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298">
        <f>+B$6</f>
        <v>2022</v>
      </c>
      <c r="C118" s="298"/>
      <c r="D118" s="298"/>
      <c r="E118" s="299"/>
      <c r="F118" s="298">
        <f>+F$6</f>
        <v>2023</v>
      </c>
      <c r="G118" s="298"/>
      <c r="H118" s="298"/>
      <c r="I118" s="298"/>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39255.376981208814</v>
      </c>
      <c r="C120" s="41">
        <v>62174.86435180591</v>
      </c>
      <c r="D120" s="41">
        <v>98416.01296423678</v>
      </c>
      <c r="E120" s="42">
        <v>143666.01224386902</v>
      </c>
      <c r="F120" s="50">
        <v>134555.78309684078</v>
      </c>
      <c r="G120" s="50">
        <v>0</v>
      </c>
      <c r="H120" s="50">
        <v>0</v>
      </c>
      <c r="I120" s="50">
        <v>0</v>
      </c>
    </row>
    <row r="121" spans="1:9" ht="15">
      <c r="A121" s="43" t="str">
        <f>HLOOKUP(INDICE!$F$2,Nombres!$C$3:$D$636,34,FALSE)</f>
        <v>Comisiones netas</v>
      </c>
      <c r="B121" s="44">
        <v>7500.7877446470375</v>
      </c>
      <c r="C121" s="44">
        <v>11485.081333382894</v>
      </c>
      <c r="D121" s="44">
        <v>12745.035927600224</v>
      </c>
      <c r="E121" s="45">
        <v>14679.966229370371</v>
      </c>
      <c r="F121" s="44">
        <v>11167.403848103886</v>
      </c>
      <c r="G121" s="44">
        <v>0</v>
      </c>
      <c r="H121" s="44">
        <v>0</v>
      </c>
      <c r="I121" s="44">
        <v>0</v>
      </c>
    </row>
    <row r="122" spans="1:9" ht="15">
      <c r="A122" s="43" t="str">
        <f>HLOOKUP(INDICE!$F$2,Nombres!$C$3:$D$636,35,FALSE)</f>
        <v>Resultados de operaciones financieras</v>
      </c>
      <c r="B122" s="44">
        <v>4189.318622586353</v>
      </c>
      <c r="C122" s="44">
        <v>4370.724426444238</v>
      </c>
      <c r="D122" s="44">
        <v>9428.153383298692</v>
      </c>
      <c r="E122" s="45">
        <v>7871.642187226968</v>
      </c>
      <c r="F122" s="44">
        <v>7967.88804720744</v>
      </c>
      <c r="G122" s="44">
        <v>0</v>
      </c>
      <c r="H122" s="44">
        <v>0</v>
      </c>
      <c r="I122" s="44">
        <v>0</v>
      </c>
    </row>
    <row r="123" spans="1:9" ht="15">
      <c r="A123" s="43" t="str">
        <f>HLOOKUP(INDICE!$F$2,Nombres!$C$3:$D$636,36,FALSE)</f>
        <v>Otros ingresos y cargas de explotación</v>
      </c>
      <c r="B123" s="44">
        <v>-22892.69034562647</v>
      </c>
      <c r="C123" s="44">
        <v>-35348.83249179063</v>
      </c>
      <c r="D123" s="44">
        <v>-58377.302871699314</v>
      </c>
      <c r="E123" s="45">
        <v>-71074.59796859634</v>
      </c>
      <c r="F123" s="44">
        <v>-69595.28437385114</v>
      </c>
      <c r="G123" s="44">
        <v>0</v>
      </c>
      <c r="H123" s="44">
        <v>0</v>
      </c>
      <c r="I123" s="44">
        <v>0</v>
      </c>
    </row>
    <row r="124" spans="1:9" ht="15">
      <c r="A124" s="41" t="str">
        <f>HLOOKUP(INDICE!$F$2,Nombres!$C$3:$D$636,37,FALSE)</f>
        <v>Margen bruto</v>
      </c>
      <c r="B124" s="41">
        <f>+SUM(B120:B123)</f>
        <v>28052.793002815735</v>
      </c>
      <c r="C124" s="41">
        <f aca="true" t="shared" si="19" ref="C124:I124">+SUM(C120:C123)</f>
        <v>42681.83761984242</v>
      </c>
      <c r="D124" s="41">
        <f t="shared" si="19"/>
        <v>62211.899403436386</v>
      </c>
      <c r="E124" s="42">
        <f t="shared" si="19"/>
        <v>95143.02269187</v>
      </c>
      <c r="F124" s="50">
        <f t="shared" si="19"/>
        <v>84095.79061830096</v>
      </c>
      <c r="G124" s="50">
        <f t="shared" si="19"/>
        <v>0</v>
      </c>
      <c r="H124" s="50">
        <f t="shared" si="19"/>
        <v>0</v>
      </c>
      <c r="I124" s="50">
        <f t="shared" si="19"/>
        <v>0</v>
      </c>
    </row>
    <row r="125" spans="1:9" ht="15">
      <c r="A125" s="43" t="str">
        <f>HLOOKUP(INDICE!$F$2,Nombres!$C$3:$D$636,38,FALSE)</f>
        <v>Gastos de explotación</v>
      </c>
      <c r="B125" s="44">
        <v>-17932.92927224916</v>
      </c>
      <c r="C125" s="44">
        <v>-29052.84725754345</v>
      </c>
      <c r="D125" s="44">
        <v>-39981.70947096718</v>
      </c>
      <c r="E125" s="45">
        <v>-52769.805430817665</v>
      </c>
      <c r="F125" s="44">
        <v>-45537.59241725384</v>
      </c>
      <c r="G125" s="44">
        <v>0</v>
      </c>
      <c r="H125" s="44">
        <v>0</v>
      </c>
      <c r="I125" s="44">
        <v>0</v>
      </c>
    </row>
    <row r="126" spans="1:9" ht="15">
      <c r="A126" s="43" t="str">
        <f>HLOOKUP(INDICE!$F$2,Nombres!$C$3:$D$636,39,FALSE)</f>
        <v>  Gastos de administración</v>
      </c>
      <c r="B126" s="44">
        <v>-17212.011149491897</v>
      </c>
      <c r="C126" s="44">
        <v>-26839.68035362372</v>
      </c>
      <c r="D126" s="44">
        <v>-37424.643032343185</v>
      </c>
      <c r="E126" s="45">
        <v>-49026.20178813701</v>
      </c>
      <c r="F126" s="44">
        <v>-43119.36447744749</v>
      </c>
      <c r="G126" s="44">
        <v>0</v>
      </c>
      <c r="H126" s="44">
        <v>0</v>
      </c>
      <c r="I126" s="44">
        <v>0</v>
      </c>
    </row>
    <row r="127" spans="1:9" ht="15">
      <c r="A127" s="46" t="str">
        <f>HLOOKUP(INDICE!$F$2,Nombres!$C$3:$D$636,40,FALSE)</f>
        <v>  Gastos de personal</v>
      </c>
      <c r="B127" s="44">
        <v>-9287.71561361275</v>
      </c>
      <c r="C127" s="44">
        <v>-14521.884323539281</v>
      </c>
      <c r="D127" s="44">
        <v>-19603.43179008423</v>
      </c>
      <c r="E127" s="45">
        <v>-26325.044310716305</v>
      </c>
      <c r="F127" s="44">
        <v>-22576.17678888639</v>
      </c>
      <c r="G127" s="44">
        <v>0</v>
      </c>
      <c r="H127" s="44">
        <v>0</v>
      </c>
      <c r="I127" s="44">
        <v>0</v>
      </c>
    </row>
    <row r="128" spans="1:9" ht="15">
      <c r="A128" s="46" t="str">
        <f>HLOOKUP(INDICE!$F$2,Nombres!$C$3:$D$636,41,FALSE)</f>
        <v>  Otros gastos de administración</v>
      </c>
      <c r="B128" s="44">
        <v>-7924.295535879146</v>
      </c>
      <c r="C128" s="44">
        <v>-12317.796030084442</v>
      </c>
      <c r="D128" s="44">
        <v>-17821.211242258956</v>
      </c>
      <c r="E128" s="45">
        <v>-22701.15747742071</v>
      </c>
      <c r="F128" s="44">
        <v>-20543.1876885611</v>
      </c>
      <c r="G128" s="44">
        <v>0</v>
      </c>
      <c r="H128" s="44">
        <v>0</v>
      </c>
      <c r="I128" s="44">
        <v>0</v>
      </c>
    </row>
    <row r="129" spans="1:9" ht="15">
      <c r="A129" s="43" t="str">
        <f>HLOOKUP(INDICE!$F$2,Nombres!$C$3:$D$636,42,FALSE)</f>
        <v>  Amortización</v>
      </c>
      <c r="B129" s="44">
        <v>-720.918122757257</v>
      </c>
      <c r="C129" s="44">
        <v>-2213.166903919725</v>
      </c>
      <c r="D129" s="44">
        <v>-2557.0664386239896</v>
      </c>
      <c r="E129" s="45">
        <v>-3743.6036426806527</v>
      </c>
      <c r="F129" s="44">
        <v>-2418.2279398063592</v>
      </c>
      <c r="G129" s="44">
        <v>0</v>
      </c>
      <c r="H129" s="44">
        <v>0</v>
      </c>
      <c r="I129" s="44">
        <v>0</v>
      </c>
    </row>
    <row r="130" spans="1:9" ht="15">
      <c r="A130" s="41" t="str">
        <f>HLOOKUP(INDICE!$F$2,Nombres!$C$3:$D$636,43,FALSE)</f>
        <v>Margen neto</v>
      </c>
      <c r="B130" s="41">
        <f>+B124+B125</f>
        <v>10119.863730566576</v>
      </c>
      <c r="C130" s="41">
        <f aca="true" t="shared" si="20" ref="C130:I130">+C124+C125</f>
        <v>13628.990362298973</v>
      </c>
      <c r="D130" s="41">
        <f t="shared" si="20"/>
        <v>22230.189932469206</v>
      </c>
      <c r="E130" s="42">
        <f t="shared" si="20"/>
        <v>42373.21726105234</v>
      </c>
      <c r="F130" s="50">
        <f t="shared" si="20"/>
        <v>38558.19820104712</v>
      </c>
      <c r="G130" s="50">
        <f t="shared" si="20"/>
        <v>0</v>
      </c>
      <c r="H130" s="50">
        <f t="shared" si="20"/>
        <v>0</v>
      </c>
      <c r="I130" s="50">
        <f t="shared" si="20"/>
        <v>0</v>
      </c>
    </row>
    <row r="131" spans="1:9" ht="15">
      <c r="A131" s="43" t="str">
        <f>HLOOKUP(INDICE!$F$2,Nombres!$C$3:$D$636,44,FALSE)</f>
        <v>Deterioro de activos financieros no valorados a valor razonable con cambios en resultados</v>
      </c>
      <c r="B131" s="44">
        <v>-5830.017454215773</v>
      </c>
      <c r="C131" s="44">
        <v>-2525.9553703188435</v>
      </c>
      <c r="D131" s="44">
        <v>-8358.365569115002</v>
      </c>
      <c r="E131" s="45">
        <v>-15501.07661764088</v>
      </c>
      <c r="F131" s="44">
        <v>-10724.591377325087</v>
      </c>
      <c r="G131" s="44">
        <v>0</v>
      </c>
      <c r="H131" s="44">
        <v>0</v>
      </c>
      <c r="I131" s="44">
        <v>0</v>
      </c>
    </row>
    <row r="132" spans="1:9" ht="15">
      <c r="A132" s="43" t="str">
        <f>HLOOKUP(INDICE!$F$2,Nombres!$C$3:$D$636,45,FALSE)</f>
        <v>Provisiones o reversión de provisiones y otros resultados</v>
      </c>
      <c r="B132" s="44">
        <v>-595.4500498128259</v>
      </c>
      <c r="C132" s="44">
        <v>-1678.693143285328</v>
      </c>
      <c r="D132" s="44">
        <v>-766.3003617940602</v>
      </c>
      <c r="E132" s="45">
        <v>-4855.105227184548</v>
      </c>
      <c r="F132" s="44">
        <v>-1463.8672509915982</v>
      </c>
      <c r="G132" s="44">
        <v>0</v>
      </c>
      <c r="H132" s="44">
        <v>0</v>
      </c>
      <c r="I132" s="44">
        <v>0</v>
      </c>
    </row>
    <row r="133" spans="1:9" ht="15">
      <c r="A133" s="41" t="str">
        <f>HLOOKUP(INDICE!$F$2,Nombres!$C$3:$D$636,46,FALSE)</f>
        <v>Resultado antes de impuestos</v>
      </c>
      <c r="B133" s="41">
        <f>+B130+B131+B132</f>
        <v>3694.3962265379773</v>
      </c>
      <c r="C133" s="41">
        <f aca="true" t="shared" si="21" ref="C133:I133">+C130+C131+C132</f>
        <v>9424.341848694803</v>
      </c>
      <c r="D133" s="41">
        <f t="shared" si="21"/>
        <v>13105.524001560145</v>
      </c>
      <c r="E133" s="42">
        <f t="shared" si="21"/>
        <v>22017.035416226914</v>
      </c>
      <c r="F133" s="50">
        <f t="shared" si="21"/>
        <v>26369.739572730432</v>
      </c>
      <c r="G133" s="50">
        <f t="shared" si="21"/>
        <v>0</v>
      </c>
      <c r="H133" s="50">
        <f t="shared" si="21"/>
        <v>0</v>
      </c>
      <c r="I133" s="50">
        <f t="shared" si="21"/>
        <v>0</v>
      </c>
    </row>
    <row r="134" spans="1:9" ht="15">
      <c r="A134" s="43" t="str">
        <f>HLOOKUP(INDICE!$F$2,Nombres!$C$3:$D$636,47,FALSE)</f>
        <v>Impuesto sobre beneficios</v>
      </c>
      <c r="B134" s="44">
        <v>-598.5721190301672</v>
      </c>
      <c r="C134" s="44">
        <v>6459.33531566955</v>
      </c>
      <c r="D134" s="44">
        <v>227.31834962307494</v>
      </c>
      <c r="E134" s="45">
        <v>-3754.8095861183538</v>
      </c>
      <c r="F134" s="44">
        <v>-9042.12149503834</v>
      </c>
      <c r="G134" s="44">
        <v>0</v>
      </c>
      <c r="H134" s="44">
        <v>0</v>
      </c>
      <c r="I134" s="44">
        <v>0</v>
      </c>
    </row>
    <row r="135" spans="1:9" ht="15">
      <c r="A135" s="41" t="str">
        <f>HLOOKUP(INDICE!$F$2,Nombres!$C$3:$D$636,48,FALSE)</f>
        <v>Resultado del ejercicio</v>
      </c>
      <c r="B135" s="41">
        <f>+B133+B134</f>
        <v>3095.8241075078104</v>
      </c>
      <c r="C135" s="41">
        <f aca="true" t="shared" si="22" ref="C135:I135">+C133+C134</f>
        <v>15883.677164364353</v>
      </c>
      <c r="D135" s="41">
        <f t="shared" si="22"/>
        <v>13332.842351183219</v>
      </c>
      <c r="E135" s="42">
        <f t="shared" si="22"/>
        <v>18262.22583010856</v>
      </c>
      <c r="F135" s="50">
        <f t="shared" si="22"/>
        <v>17327.618077692092</v>
      </c>
      <c r="G135" s="50">
        <f t="shared" si="22"/>
        <v>0</v>
      </c>
      <c r="H135" s="50">
        <f t="shared" si="22"/>
        <v>0</v>
      </c>
      <c r="I135" s="50">
        <f t="shared" si="22"/>
        <v>0</v>
      </c>
    </row>
    <row r="136" spans="1:9" ht="15">
      <c r="A136" s="43" t="str">
        <f>HLOOKUP(INDICE!$F$2,Nombres!$C$3:$D$636,49,FALSE)</f>
        <v>Minoritarios</v>
      </c>
      <c r="B136" s="44">
        <v>-822.6114574155442</v>
      </c>
      <c r="C136" s="44">
        <v>-5080.860004218716</v>
      </c>
      <c r="D136" s="44">
        <v>-4033.47554606222</v>
      </c>
      <c r="E136" s="45">
        <v>-5686.023480044996</v>
      </c>
      <c r="F136" s="44">
        <v>-5519.356902904249</v>
      </c>
      <c r="G136" s="44">
        <v>0</v>
      </c>
      <c r="H136" s="44">
        <v>0</v>
      </c>
      <c r="I136" s="44">
        <v>0</v>
      </c>
    </row>
    <row r="137" spans="1:9" ht="15">
      <c r="A137" s="47" t="str">
        <f>HLOOKUP(INDICE!$F$2,Nombres!$C$3:$D$636,50,FALSE)</f>
        <v>Resultado atribuido</v>
      </c>
      <c r="B137" s="47">
        <f>+B135+B136</f>
        <v>2273.212650092266</v>
      </c>
      <c r="C137" s="47">
        <f aca="true" t="shared" si="23" ref="C137:I137">+C135+C136</f>
        <v>10802.817160145638</v>
      </c>
      <c r="D137" s="47">
        <f t="shared" si="23"/>
        <v>9299.366805120999</v>
      </c>
      <c r="E137" s="47">
        <f t="shared" si="23"/>
        <v>12576.202350063564</v>
      </c>
      <c r="F137" s="51">
        <f t="shared" si="23"/>
        <v>11808.261174787844</v>
      </c>
      <c r="G137" s="51">
        <f t="shared" si="23"/>
        <v>0</v>
      </c>
      <c r="H137" s="51">
        <f t="shared" si="23"/>
        <v>0</v>
      </c>
      <c r="I137" s="51">
        <f t="shared" si="23"/>
        <v>0</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HLOOKUP(INDICE!$F$2,Nombres!$C$3:$D$636,78,FALSE)</f>
        <v>(Millones de pesos argentinos)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199131.99155514664</v>
      </c>
      <c r="C143" s="44">
        <v>189444.0898891105</v>
      </c>
      <c r="D143" s="44">
        <v>205113.44099798083</v>
      </c>
      <c r="E143" s="45">
        <v>302578.62588876556</v>
      </c>
      <c r="F143" s="44">
        <v>374546.7580705409</v>
      </c>
      <c r="G143" s="44">
        <v>0</v>
      </c>
      <c r="H143" s="44">
        <v>0</v>
      </c>
      <c r="I143" s="44">
        <v>0</v>
      </c>
    </row>
    <row r="144" spans="1:9" ht="15">
      <c r="A144" s="43" t="str">
        <f>HLOOKUP(INDICE!$F$2,Nombres!$C$3:$D$636,53,FALSE)</f>
        <v>Activos financieros a valor razonable</v>
      </c>
      <c r="B144" s="58">
        <v>363397.1567236727</v>
      </c>
      <c r="C144" s="58">
        <v>436274.15511361416</v>
      </c>
      <c r="D144" s="58">
        <v>539441.503270587</v>
      </c>
      <c r="E144" s="64">
        <v>662948.0389485712</v>
      </c>
      <c r="F144" s="44">
        <v>720105.8594025943</v>
      </c>
      <c r="G144" s="44">
        <v>0</v>
      </c>
      <c r="H144" s="44">
        <v>0</v>
      </c>
      <c r="I144" s="44">
        <v>0</v>
      </c>
    </row>
    <row r="145" spans="1:9" ht="15">
      <c r="A145" s="43" t="str">
        <f>HLOOKUP(INDICE!$F$2,Nombres!$C$3:$D$636,54,FALSE)</f>
        <v>Activos financieros a coste amortizado</v>
      </c>
      <c r="B145" s="44">
        <v>524421.9457629755</v>
      </c>
      <c r="C145" s="44">
        <v>683290.4743411392</v>
      </c>
      <c r="D145" s="44">
        <v>736188.2400801654</v>
      </c>
      <c r="E145" s="45">
        <v>840242.4426365858</v>
      </c>
      <c r="F145" s="44">
        <v>1084433.4493462685</v>
      </c>
      <c r="G145" s="44">
        <v>0</v>
      </c>
      <c r="H145" s="44">
        <v>0</v>
      </c>
      <c r="I145" s="44">
        <v>0</v>
      </c>
    </row>
    <row r="146" spans="1:9" ht="15">
      <c r="A146" s="43" t="str">
        <f>HLOOKUP(INDICE!$F$2,Nombres!$C$3:$D$636,55,FALSE)</f>
        <v>    de los que préstamos y anticipos a la clientela</v>
      </c>
      <c r="B146" s="44">
        <v>411722.43477380474</v>
      </c>
      <c r="C146" s="44">
        <v>515831.7602103548</v>
      </c>
      <c r="D146" s="44">
        <v>575855.2776466296</v>
      </c>
      <c r="E146" s="45">
        <v>713397.5096852484</v>
      </c>
      <c r="F146" s="44">
        <v>863472.7486354593</v>
      </c>
      <c r="G146" s="44">
        <v>0</v>
      </c>
      <c r="H146" s="44">
        <v>0</v>
      </c>
      <c r="I146" s="44">
        <v>0</v>
      </c>
    </row>
    <row r="147" spans="1:9" ht="15" customHeight="1" hidden="1">
      <c r="A147" s="43"/>
      <c r="B147" s="44"/>
      <c r="C147" s="44"/>
      <c r="D147" s="44"/>
      <c r="E147" s="45"/>
      <c r="F147" s="44"/>
      <c r="G147" s="44"/>
      <c r="H147" s="44"/>
      <c r="I147" s="44"/>
    </row>
    <row r="148" spans="1:9" ht="15">
      <c r="A148" s="43" t="str">
        <f>HLOOKUP(INDICE!$F$2,Nombres!$C$3:$D$636,56,FALSE)</f>
        <v>Activos tangibles</v>
      </c>
      <c r="B148" s="44">
        <v>64524.32673778189</v>
      </c>
      <c r="C148" s="44">
        <v>80714.48404019405</v>
      </c>
      <c r="D148" s="44">
        <v>97894.96991759767</v>
      </c>
      <c r="E148" s="45">
        <v>116737.16763850418</v>
      </c>
      <c r="F148" s="44">
        <v>137606.2438010224</v>
      </c>
      <c r="G148" s="44">
        <v>0</v>
      </c>
      <c r="H148" s="44">
        <v>0</v>
      </c>
      <c r="I148" s="44">
        <v>0</v>
      </c>
    </row>
    <row r="149" spans="1:9" ht="15">
      <c r="A149" s="43" t="str">
        <f>HLOOKUP(INDICE!$F$2,Nombres!$C$3:$D$636,57,FALSE)</f>
        <v>Otros activos</v>
      </c>
      <c r="B149" s="58">
        <f>+B150-B148-B145-B144-B143</f>
        <v>36582.55645935418</v>
      </c>
      <c r="C149" s="58">
        <f aca="true" t="shared" si="25" ref="C149:H149">+C150-C148-C145-C144-C143</f>
        <v>41816.29879694179</v>
      </c>
      <c r="D149" s="58">
        <f t="shared" si="25"/>
        <v>42545.368493609305</v>
      </c>
      <c r="E149" s="64">
        <f t="shared" si="25"/>
        <v>54423.37062826415</v>
      </c>
      <c r="F149" s="44">
        <f t="shared" si="25"/>
        <v>70741.87319792673</v>
      </c>
      <c r="G149" s="44">
        <f t="shared" si="25"/>
        <v>0</v>
      </c>
      <c r="H149" s="44">
        <f t="shared" si="25"/>
        <v>0</v>
      </c>
      <c r="I149" s="44">
        <f>+I150-I148-I145-I144-I143</f>
        <v>0</v>
      </c>
    </row>
    <row r="150" spans="1:9" ht="15">
      <c r="A150" s="47" t="str">
        <f>HLOOKUP(INDICE!$F$2,Nombres!$C$3:$D$636,58,FALSE)</f>
        <v>Total activo / pasivo</v>
      </c>
      <c r="B150" s="47">
        <v>1188057.977238931</v>
      </c>
      <c r="C150" s="47">
        <v>1431539.5021809996</v>
      </c>
      <c r="D150" s="47">
        <v>1621183.5227599402</v>
      </c>
      <c r="E150" s="47">
        <v>1976929.6457406909</v>
      </c>
      <c r="F150" s="51">
        <v>2387434.183818353</v>
      </c>
      <c r="G150" s="51">
        <v>0</v>
      </c>
      <c r="H150" s="51">
        <v>0</v>
      </c>
      <c r="I150" s="51">
        <v>0</v>
      </c>
    </row>
    <row r="151" spans="1:9" ht="15">
      <c r="A151" s="43" t="str">
        <f>HLOOKUP(INDICE!$F$2,Nombres!$C$3:$D$636,59,FALSE)</f>
        <v>Pasivos financieros mantenidos para negociar y designados a valor razonable con cambios en resultados</v>
      </c>
      <c r="B151" s="58">
        <v>327.3990244938593</v>
      </c>
      <c r="C151" s="58">
        <v>147.02896193883774</v>
      </c>
      <c r="D151" s="58">
        <v>554.1765781494179</v>
      </c>
      <c r="E151" s="64">
        <v>334.4245526682467</v>
      </c>
      <c r="F151" s="44">
        <v>520.8490947275235</v>
      </c>
      <c r="G151" s="44">
        <v>0</v>
      </c>
      <c r="H151" s="44">
        <v>0</v>
      </c>
      <c r="I151" s="44">
        <v>0</v>
      </c>
    </row>
    <row r="152" spans="1:9" ht="15">
      <c r="A152" s="43" t="str">
        <f>HLOOKUP(INDICE!$F$2,Nombres!$C$3:$D$636,60,FALSE)</f>
        <v>Depósitos de bancos centrales y entidades de crédito</v>
      </c>
      <c r="B152" s="58">
        <v>14378.099393464247</v>
      </c>
      <c r="C152" s="58">
        <v>20437.54524646643</v>
      </c>
      <c r="D152" s="58">
        <v>17358.846470954053</v>
      </c>
      <c r="E152" s="64">
        <v>23178.411513088464</v>
      </c>
      <c r="F152" s="44">
        <v>28260.146700686393</v>
      </c>
      <c r="G152" s="44">
        <v>0</v>
      </c>
      <c r="H152" s="44">
        <v>0</v>
      </c>
      <c r="I152" s="44">
        <v>0</v>
      </c>
    </row>
    <row r="153" spans="1:9" ht="15">
      <c r="A153" s="43" t="str">
        <f>HLOOKUP(INDICE!$F$2,Nombres!$C$3:$D$636,61,FALSE)</f>
        <v>Depósitos de la clientela</v>
      </c>
      <c r="B153" s="58">
        <v>796183.4523166625</v>
      </c>
      <c r="C153" s="58">
        <v>973004.4197452771</v>
      </c>
      <c r="D153" s="58">
        <v>1062641.6897597662</v>
      </c>
      <c r="E153" s="64">
        <v>1312768.3118324797</v>
      </c>
      <c r="F153" s="44">
        <v>1565290.362254629</v>
      </c>
      <c r="G153" s="44">
        <v>0</v>
      </c>
      <c r="H153" s="44">
        <v>0</v>
      </c>
      <c r="I153" s="44">
        <v>0</v>
      </c>
    </row>
    <row r="154" spans="1:9" ht="15">
      <c r="A154" s="43" t="str">
        <f>HLOOKUP(INDICE!$F$2,Nombres!$C$3:$D$636,62,FALSE)</f>
        <v>Valores representativos de deuda emitidos</v>
      </c>
      <c r="B154" s="44">
        <v>31002.360699030454</v>
      </c>
      <c r="C154" s="44">
        <v>36541.407113298046</v>
      </c>
      <c r="D154" s="44">
        <v>42654.41264028041</v>
      </c>
      <c r="E154" s="45">
        <v>51310.2833979055</v>
      </c>
      <c r="F154" s="44">
        <v>74017.08573089897</v>
      </c>
      <c r="G154" s="44">
        <v>0</v>
      </c>
      <c r="H154" s="44">
        <v>0</v>
      </c>
      <c r="I154" s="44">
        <v>0</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240848.0124429269</v>
      </c>
      <c r="C156" s="58">
        <f aca="true" t="shared" si="26" ref="C156:I156">+C150-C151-C152-C153-C154-C157</f>
        <v>280261.13332708844</v>
      </c>
      <c r="D156" s="58">
        <f t="shared" si="26"/>
        <v>354746.52828060335</v>
      </c>
      <c r="E156" s="64">
        <f t="shared" si="26"/>
        <v>414490.2574522189</v>
      </c>
      <c r="F156" s="44">
        <f t="shared" si="26"/>
        <v>473607.284936622</v>
      </c>
      <c r="G156" s="44">
        <f t="shared" si="26"/>
        <v>0</v>
      </c>
      <c r="H156" s="44">
        <f t="shared" si="26"/>
        <v>0</v>
      </c>
      <c r="I156" s="44">
        <f t="shared" si="26"/>
        <v>0</v>
      </c>
    </row>
    <row r="157" spans="1:9" ht="15.75" customHeight="1">
      <c r="A157" s="43" t="str">
        <f>HLOOKUP(INDICE!$F$2,Nombres!$C$3:$D$636,282,FALSE)</f>
        <v>Dotación de capital regulatorio</v>
      </c>
      <c r="B157" s="58">
        <v>105318.65336235319</v>
      </c>
      <c r="C157" s="58">
        <v>121147.96778693065</v>
      </c>
      <c r="D157" s="58">
        <v>143227.86903018667</v>
      </c>
      <c r="E157" s="64">
        <v>174847.9569923299</v>
      </c>
      <c r="F157" s="44">
        <v>245738.45510078905</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HLOOKUP(INDICE!$F$2,Nombres!$C$3:$D$636,78,FALSE)</f>
        <v>(Millones de pesos argentinos)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423658.27781118185</v>
      </c>
      <c r="C163" s="44">
        <v>528647.4383680448</v>
      </c>
      <c r="D163" s="44">
        <v>591166.4667534047</v>
      </c>
      <c r="E163" s="44">
        <v>734058.6883619338</v>
      </c>
      <c r="F163" s="44">
        <v>890430.5457486758</v>
      </c>
      <c r="G163" s="44">
        <v>0</v>
      </c>
      <c r="H163" s="44">
        <v>0</v>
      </c>
      <c r="I163" s="44">
        <v>0</v>
      </c>
    </row>
    <row r="164" spans="1:9" ht="15">
      <c r="A164" s="43" t="str">
        <f>HLOOKUP(INDICE!$F$2,Nombres!$C$3:$D$636,67,FALSE)</f>
        <v>Depósitos de clientes en gestión (**)</v>
      </c>
      <c r="B164" s="44">
        <v>796183.4523166625</v>
      </c>
      <c r="C164" s="44">
        <v>973004.419745277</v>
      </c>
      <c r="D164" s="44">
        <v>1062641.6897597665</v>
      </c>
      <c r="E164" s="44">
        <v>1312768.3118324794</v>
      </c>
      <c r="F164" s="44">
        <v>1565290.3622546287</v>
      </c>
      <c r="G164" s="44">
        <v>0</v>
      </c>
      <c r="H164" s="44">
        <v>0</v>
      </c>
      <c r="I164" s="44">
        <v>0</v>
      </c>
    </row>
    <row r="165" spans="1:9" ht="15">
      <c r="A165" s="43" t="str">
        <f>HLOOKUP(INDICE!$F$2,Nombres!$C$3:$D$636,68,FALSE)</f>
        <v>Fondos de inversión y carteras gestionadas</v>
      </c>
      <c r="B165" s="44">
        <v>244507.33618994747</v>
      </c>
      <c r="C165" s="44">
        <v>258038.97627457322</v>
      </c>
      <c r="D165" s="44">
        <v>335066.57923149166</v>
      </c>
      <c r="E165" s="44">
        <v>434125.90975182713</v>
      </c>
      <c r="F165" s="44">
        <v>524622.068355727</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58"/>
      <c r="G168" s="58"/>
      <c r="H168" s="58"/>
      <c r="I168" s="58"/>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261" operator="notBetween">
      <formula>0.5</formula>
      <formula>-0.5</formula>
    </cfRule>
  </conditionalFormatting>
  <conditionalFormatting sqref="B82:I82">
    <cfRule type="cellIs" priority="2" dxfId="261" operator="notBetween">
      <formula>0.5</formula>
      <formula>-0.5</formula>
    </cfRule>
  </conditionalFormatting>
  <conditionalFormatting sqref="B138:I138">
    <cfRule type="cellIs" priority="1" dxfId="261"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LERCHUNDI LIZASO ,ION</cp:lastModifiedBy>
  <dcterms:created xsi:type="dcterms:W3CDTF">2019-04-26T12:12:53Z</dcterms:created>
  <dcterms:modified xsi:type="dcterms:W3CDTF">2023-04-26T09:51:19Z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