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626" yWindow="1335" windowWidth="23475" windowHeight="918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Diferenciales" sheetId="20" r:id="rId20"/>
    <sheet name="APRs" sheetId="21" r:id="rId21"/>
    <sheet name="Inversion" sheetId="22" r:id="rId22"/>
    <sheet name="Recursos" sheetId="23" r:id="rId23"/>
    <sheet name="ALCO" sheetId="24" r:id="rId24"/>
  </sheets>
  <definedNames/>
  <calcPr fullCalcOnLoad="1"/>
</workbook>
</file>

<file path=xl/sharedStrings.xml><?xml version="1.0" encoding="utf-8"?>
<sst xmlns="http://schemas.openxmlformats.org/spreadsheetml/2006/main" count="669" uniqueCount="555">
  <si>
    <t>IDIOMA/LANGUAGE</t>
  </si>
  <si>
    <t>1er Trim.</t>
  </si>
  <si>
    <t>2º Trim.</t>
  </si>
  <si>
    <t>3er Trim.</t>
  </si>
  <si>
    <t>4º Trim.</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</si>
  <si>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</si>
  <si>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</si>
  <si>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</si>
  <si>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</si>
  <si>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</si>
  <si>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</si>
  <si>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</si>
  <si>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</si>
  <si>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</si>
  <si>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</si>
  <si>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</si>
  <si>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</si>
  <si>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</si>
  <si>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</si>
  <si>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</si>
  <si>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</si>
  <si>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</si>
  <si>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</si>
  <si>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</si>
  <si>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</si>
  <si>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</si>
  <si>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</si>
  <si>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</si>
  <si>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</si>
  <si>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</si>
  <si>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</si>
  <si>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</si>
  <si>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</si>
  <si>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</si>
  <si>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</si>
  <si>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</si>
  <si>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</si>
  <si>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</si>
  <si>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</si>
  <si>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</si>
  <si>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</si>
  <si>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</si>
  <si>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</si>
  <si>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</si>
  <si>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</si>
  <si>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</si>
  <si>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</si>
  <si>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</si>
  <si>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</si>
  <si>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</si>
  <si>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</si>
  <si>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</si>
  <si>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</si>
  <si>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</si>
  <si>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</si>
  <si>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</si>
  <si>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</si>
  <si>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</si>
  <si>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</si>
  <si>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</si>
  <si>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</si>
  <si>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</si>
  <si>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</si>
  <si>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</si>
  <si>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</si>
  <si>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</si>
  <si>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</si>
  <si>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</si>
  <si>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</si>
  <si>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</si>
  <si>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</si>
  <si>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</si>
  <si>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</si>
  <si>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</si>
  <si>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</si>
  <si>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</si>
  <si>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</si>
  <si>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</si>
  <si>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</si>
  <si>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</si>
  <si>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</si>
  <si>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</si>
  <si>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</si>
  <si>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</si>
  <si>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</si>
  <si>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</si>
  <si>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</si>
  <si>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</si>
  <si>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</si>
  <si>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</si>
  <si>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</si>
  <si>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</si>
  <si>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</si>
  <si>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</si>
  <si>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</si>
  <si>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</si>
  <si>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</si>
  <si>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</si>
  <si>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</si>
  <si>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</si>
  <si>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</si>
  <si>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</si>
  <si>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</si>
  <si>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</si>
  <si>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</si>
  <si>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</si>
  <si>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</si>
  <si>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</si>
  <si>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</si>
  <si>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</si>
  <si>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</si>
  <si>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</si>
  <si>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</si>
  <si>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</si>
  <si>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</si>
  <si>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</si>
  <si>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</si>
  <si>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</si>
  <si>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</si>
  <si>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</si>
  <si>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</si>
  <si>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</si>
  <si>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</si>
  <si>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</si>
  <si>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</si>
  <si>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</si>
  <si>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</si>
  <si>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</si>
  <si>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</si>
  <si>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</si>
  <si>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</si>
  <si>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</si>
  <si>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</si>
  <si>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</si>
  <si>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</si>
  <si>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</si>
  <si>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</si>
  <si>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</si>
  <si>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</si>
  <si>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</si>
  <si>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</si>
  <si>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</si>
  <si>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</si>
  <si>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</si>
  <si>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</si>
  <si>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</si>
  <si>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</si>
  <si>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</si>
  <si>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</si>
  <si>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</si>
  <si>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</si>
  <si>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</si>
  <si>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</si>
  <si>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</si>
  <si>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</si>
  <si>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</si>
  <si>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</si>
  <si>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</si>
  <si>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</si>
  <si>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</si>
  <si>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</si>
  <si>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</si>
  <si>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</si>
  <si>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</si>
  <si>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</si>
  <si>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</si>
  <si>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</si>
  <si>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</si>
  <si>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</si>
  <si>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</si>
  <si>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</si>
  <si>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</si>
  <si>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</si>
  <si>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</si>
  <si>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</si>
  <si>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</si>
  <si>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</si>
  <si>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</si>
  <si>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</si>
  <si>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</si>
  <si>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</si>
  <si>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</si>
  <si>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</si>
  <si>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</si>
  <si>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</si>
  <si>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</si>
  <si>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</si>
  <si>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</si>
  <si>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</si>
  <si>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</si>
  <si>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</si>
  <si>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</si>
  <si>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</si>
  <si>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</si>
  <si>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</si>
  <si>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</si>
  <si>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</si>
  <si>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</si>
  <si>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</si>
  <si>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</si>
  <si>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</si>
  <si>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</si>
  <si>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</si>
  <si>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</si>
  <si>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</si>
  <si>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</si>
  <si>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</si>
  <si>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</si>
  <si>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</si>
  <si>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</si>
  <si>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</si>
  <si>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</si>
  <si>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</si>
  <si>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</si>
  <si>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</si>
  <si>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</si>
  <si>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</si>
  <si>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</si>
  <si>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</si>
  <si>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</si>
  <si>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</si>
  <si>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</si>
  <si>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</si>
  <si>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</si>
  <si>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</si>
  <si>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</si>
  <si>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</si>
  <si>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</si>
  <si>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</si>
  <si>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</si>
  <si>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</si>
  <si>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</si>
  <si>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</si>
  <si>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</si>
  <si>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</si>
  <si>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</si>
  <si>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</si>
  <si>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</si>
  <si>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</si>
  <si>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</si>
  <si>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</si>
  <si>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</si>
  <si>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</si>
  <si>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</si>
  <si>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</si>
  <si>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</si>
  <si>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</si>
  <si>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</si>
  <si>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</si>
  <si>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</si>
  <si>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</si>
  <si>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</si>
  <si>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</si>
  <si>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</si>
  <si>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</si>
  <si>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</si>
  <si>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</si>
  <si>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</si>
  <si>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</si>
  <si>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</si>
  <si>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</si>
  <si>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</si>
  <si>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</si>
  <si>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</si>
  <si>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</si>
  <si>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</si>
  <si>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</si>
  <si>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</si>
  <si>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</si>
  <si>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</si>
  <si>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</si>
  <si>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</si>
  <si>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</si>
  <si>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</si>
  <si>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</si>
  <si>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</si>
  <si>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</si>
  <si>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</si>
  <si>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</si>
  <si>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</si>
  <si>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</si>
  <si>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</si>
  <si>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</si>
  <si>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</si>
  <si>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</si>
  <si>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</si>
  <si>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</si>
  <si>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</si>
  <si>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</si>
  <si>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</si>
  <si>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</si>
  <si>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</si>
  <si>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</si>
  <si>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</si>
  <si>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</si>
  <si>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</si>
  <si>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</si>
  <si>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</si>
  <si>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</si>
  <si>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</si>
  <si>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</si>
  <si>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</si>
  <si>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</si>
  <si>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</si>
  <si>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</si>
  <si>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</si>
  <si>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</si>
  <si>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</si>
  <si>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</si>
  <si>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</si>
  <si>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</si>
  <si>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</si>
  <si>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</si>
  <si>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</si>
  <si>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</si>
  <si>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</si>
  <si>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</si>
  <si>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</si>
  <si>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</si>
  <si>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</si>
  <si>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</si>
  <si>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</si>
  <si>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</si>
  <si>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</si>
  <si>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</si>
  <si>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</si>
  <si>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</si>
  <si>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</si>
  <si>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</si>
  <si>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</si>
  <si>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</si>
  <si>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</si>
  <si>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</si>
  <si>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</si>
  <si>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</si>
  <si>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</si>
  <si>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</si>
  <si>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</si>
  <si>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</si>
  <si>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</si>
  <si>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</si>
  <si>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</si>
  <si>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</si>
  <si>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</si>
  <si>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</si>
  <si>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</si>
  <si>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</si>
  <si>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</si>
  <si>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</si>
  <si>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</si>
  <si>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</si>
  <si>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</si>
  <si>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</si>
  <si>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</si>
  <si>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</si>
  <si>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</si>
  <si>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</si>
  <si>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</si>
  <si>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</si>
  <si>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</si>
  <si>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</si>
  <si>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</si>
  <si>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</si>
  <si>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</si>
  <si>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</si>
  <si>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</si>
  <si>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</si>
  <si>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</si>
  <si>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</si>
  <si>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</si>
  <si>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</si>
  <si>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</si>
  <si>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</si>
  <si>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</si>
  <si>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</si>
  <si>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</si>
  <si>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</si>
  <si>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</si>
  <si>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</si>
  <si>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</si>
  <si>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</si>
  <si>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</si>
  <si>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</si>
  <si>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</si>
  <si>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</si>
  <si>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</si>
  <si>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</si>
  <si>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</si>
  <si>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</si>
  <si>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</si>
  <si>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</si>
  <si>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</si>
  <si>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</si>
  <si>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</si>
  <si>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</si>
  <si>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</si>
  <si>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</si>
  <si>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</si>
  <si>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</si>
  <si>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</si>
  <si>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</si>
  <si>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</si>
  <si>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</si>
  <si>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</si>
  <si>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</si>
  <si>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</si>
  <si>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</si>
  <si>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</si>
  <si>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</si>
  <si>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</si>
  <si>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</si>
  <si>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</si>
  <si>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</si>
  <si>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</si>
  <si>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</si>
  <si>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</si>
  <si>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</si>
  <si>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</si>
  <si>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</si>
  <si>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</si>
  <si>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</si>
  <si>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</si>
  <si>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</si>
  <si>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</si>
  <si>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</si>
  <si>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</si>
  <si>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</si>
  <si>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</si>
  <si>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</si>
  <si>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</si>
  <si>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</si>
  <si>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</si>
  <si>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</si>
  <si>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</si>
  <si>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</si>
  <si>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</si>
  <si>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</si>
  <si>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</si>
  <si>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</si>
  <si>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</si>
  <si>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</si>
  <si>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</si>
  <si>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</si>
  <si>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</si>
  <si>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</si>
  <si>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</si>
  <si>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</si>
  <si>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</si>
  <si>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</si>
  <si>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</si>
  <si>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</si>
  <si>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</si>
  <si>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</si>
  <si>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</si>
  <si>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</si>
  <si>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</si>
  <si>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</si>
  <si>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</si>
  <si>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</si>
  <si>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</si>
  <si>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</si>
  <si>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</si>
  <si>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</si>
  <si>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</si>
  <si>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</si>
  <si>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</si>
  <si>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</si>
  <si>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</si>
  <si>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</si>
  <si>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</si>
  <si>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</si>
  <si>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</si>
  <si>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</si>
  <si>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</si>
  <si>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</si>
  <si>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</si>
  <si>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</si>
  <si>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</si>
  <si>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</si>
  <si>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</si>
  <si>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</si>
  <si>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</si>
  <si>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</si>
  <si>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</si>
  <si>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</si>
  <si>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</si>
  <si>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</si>
  <si>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</si>
  <si>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</si>
  <si>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</si>
  <si>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</si>
  <si>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</si>
  <si>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</si>
  <si>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</si>
  <si>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</si>
  <si>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</si>
  <si>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</si>
  <si>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</si>
  <si>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</si>
  <si>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</si>
  <si>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</si>
  <si>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</si>
  <si>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</si>
  <si>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</si>
  <si>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</si>
  <si>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</si>
  <si>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</si>
  <si>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</si>
  <si>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</si>
  <si>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</si>
  <si>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</si>
  <si>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</si>
  <si>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</si>
  <si>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</si>
  <si>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</si>
  <si>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</si>
  <si>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</si>
  <si>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</si>
  <si>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</si>
  <si>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</si>
  <si>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</si>
  <si>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</si>
  <si>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</si>
  <si>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</si>
  <si>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</si>
  <si>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</si>
  <si>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</si>
  <si>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</si>
  <si>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</si>
  <si>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</si>
  <si>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</si>
  <si>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</si>
  <si>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</si>
  <si>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</si>
  <si>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</si>
  <si>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</si>
  <si>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</si>
  <si>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</si>
  <si>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</si>
  <si>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</si>
  <si>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</si>
  <si>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</si>
  <si>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</si>
  <si>
    <t>(*)El dato del trimestre en curso es provisional</t>
  </si>
  <si>
    <t>(*)The data for the current quarter is provisional</t>
  </si>
  <si>
    <t>Resultado Atribuido</t>
  </si>
  <si>
    <t>Series trimestrales 2022-2023</t>
  </si>
  <si>
    <t>Quarterly series 2022-2023</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</si>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</sst>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 numFmtId="167" formatCode="0.0"/>
    <numFmt numFmtId="168" formatCode="#,##0.000"/>
    <numFmt numFmtId="169" formatCode="0.0%"/>
    <numFmt numFmtId="170" formatCode="#,##0.0000"/>
    <numFmt numFmtId="171" formatCode="dd\-mm\-yy;@"/>
    <numFmt numFmtId="172" formatCode="_-* #,##0\ _P_t_s_-;\-* #,##0\ _P_t_s_-;_-* &quot;-&quot;??\ _P_t_s_-;_-@_-"/>
    <numFmt numFmtId="173" formatCode="#,##0.0"/>
    <numFmt numFmtId="174" formatCode="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0%"/>
    <numFmt numFmtId="180" formatCode="0.00000%"/>
    <numFmt numFmtId="181" formatCode="0.000000%"/>
    <numFmt numFmtId="182" formatCode="0.0000000%"/>
    <numFmt numFmtId="183" formatCode="0.000"/>
    <numFmt numFmtId="184" formatCode="0.0000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10">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6"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6"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6"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6" fontId="16" fillId="0" borderId="0" xfId="60" applyNumberFormat="1" applyFont="1" applyFill="1" applyAlignment="1">
      <alignment horizontal="right" vertical="center"/>
      <protection/>
    </xf>
    <xf numFmtId="166"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7" fontId="16" fillId="0" borderId="0" xfId="0" applyNumberFormat="1" applyFont="1" applyFill="1" applyBorder="1" applyAlignment="1">
      <alignment vertical="center"/>
    </xf>
    <xf numFmtId="167" fontId="16" fillId="0" borderId="10" xfId="0" applyNumberFormat="1" applyFont="1" applyFill="1" applyBorder="1" applyAlignment="1">
      <alignment vertical="center"/>
    </xf>
    <xf numFmtId="3" fontId="0" fillId="0" borderId="0" xfId="0" applyNumberFormat="1" applyAlignment="1">
      <alignment/>
    </xf>
    <xf numFmtId="167" fontId="15" fillId="0" borderId="0" xfId="59" applyNumberFormat="1" applyFont="1" applyFill="1" applyBorder="1" applyAlignment="1">
      <alignment horizontal="right"/>
      <protection/>
    </xf>
    <xf numFmtId="167" fontId="15" fillId="0" borderId="10" xfId="59" applyNumberFormat="1" applyFont="1" applyFill="1" applyBorder="1" applyAlignment="1">
      <alignment horizontal="right"/>
      <protection/>
    </xf>
    <xf numFmtId="167" fontId="20" fillId="0" borderId="0" xfId="59" applyNumberFormat="1" applyFont="1">
      <alignment/>
      <protection/>
    </xf>
    <xf numFmtId="167" fontId="15" fillId="0" borderId="0" xfId="0" applyNumberFormat="1" applyFont="1" applyFill="1" applyBorder="1" applyAlignment="1">
      <alignment vertical="center"/>
    </xf>
    <xf numFmtId="167" fontId="15" fillId="0" borderId="10" xfId="0" applyNumberFormat="1" applyFont="1" applyFill="1" applyBorder="1" applyAlignment="1">
      <alignment vertical="center"/>
    </xf>
    <xf numFmtId="167" fontId="15" fillId="0" borderId="0" xfId="0" applyNumberFormat="1" applyFont="1" applyFill="1" applyBorder="1" applyAlignment="1">
      <alignment horizontal="right" vertical="center"/>
    </xf>
    <xf numFmtId="3" fontId="103" fillId="0" borderId="0" xfId="0" applyNumberFormat="1" applyFont="1" applyAlignment="1">
      <alignment/>
    </xf>
    <xf numFmtId="167"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6" fontId="99" fillId="0" borderId="11" xfId="0" applyNumberFormat="1" applyFont="1" applyFill="1" applyBorder="1" applyAlignment="1">
      <alignment horizontal="right" vertical="center"/>
    </xf>
    <xf numFmtId="0" fontId="15" fillId="0" borderId="12" xfId="59" applyFont="1" applyFill="1" applyBorder="1">
      <alignment/>
      <protection/>
    </xf>
    <xf numFmtId="168" fontId="0" fillId="0" borderId="0" xfId="0" applyNumberFormat="1" applyAlignment="1">
      <alignment/>
    </xf>
    <xf numFmtId="169" fontId="0" fillId="0" borderId="0" xfId="0" applyNumberFormat="1" applyAlignment="1">
      <alignment/>
    </xf>
    <xf numFmtId="0" fontId="22" fillId="0" borderId="0" xfId="59" applyFont="1">
      <alignment/>
      <protection/>
    </xf>
    <xf numFmtId="169" fontId="6" fillId="0" borderId="0" xfId="59" applyNumberFormat="1" applyFont="1">
      <alignment/>
      <protection/>
    </xf>
    <xf numFmtId="167" fontId="15" fillId="0" borderId="0" xfId="0" applyNumberFormat="1" applyFont="1" applyFill="1" applyBorder="1" applyAlignment="1">
      <alignment/>
    </xf>
    <xf numFmtId="0" fontId="17" fillId="0" borderId="0" xfId="0" applyFont="1" applyFill="1" applyAlignment="1">
      <alignment horizontal="left"/>
    </xf>
    <xf numFmtId="169" fontId="15" fillId="0" borderId="0" xfId="59" applyNumberFormat="1" applyFont="1" applyFill="1" applyBorder="1">
      <alignment/>
      <protection/>
    </xf>
    <xf numFmtId="0" fontId="97" fillId="33" borderId="0" xfId="59" applyFont="1" applyFill="1" applyBorder="1">
      <alignment/>
      <protection/>
    </xf>
    <xf numFmtId="169"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70"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6"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6"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6" fontId="99" fillId="0" borderId="11" xfId="0" applyNumberFormat="1" applyFont="1" applyFill="1" applyBorder="1" applyAlignment="1" quotePrefix="1">
      <alignment horizontal="center" vertical="center"/>
    </xf>
    <xf numFmtId="170" fontId="15" fillId="0" borderId="0" xfId="0" applyNumberFormat="1" applyFont="1" applyFill="1" applyBorder="1" applyAlignment="1">
      <alignment/>
    </xf>
    <xf numFmtId="169" fontId="15" fillId="0" borderId="0" xfId="63" applyNumberFormat="1" applyFont="1" applyFill="1" applyBorder="1" applyAlignment="1">
      <alignment/>
    </xf>
    <xf numFmtId="9" fontId="15" fillId="0" borderId="0" xfId="63" applyFont="1" applyFill="1" applyBorder="1" applyAlignment="1">
      <alignment/>
    </xf>
    <xf numFmtId="167"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71"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2" fontId="107" fillId="0" borderId="0" xfId="49" applyNumberFormat="1" applyFont="1" applyAlignment="1">
      <alignment/>
    </xf>
    <xf numFmtId="165"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6"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8" fontId="109" fillId="0" borderId="0" xfId="57" applyNumberFormat="1" applyFont="1" applyFill="1">
      <alignment/>
      <protection/>
    </xf>
    <xf numFmtId="168"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8"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6"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8"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8" fontId="71" fillId="0" borderId="0" xfId="0" applyNumberFormat="1" applyFont="1" applyFill="1" applyAlignment="1">
      <alignment/>
    </xf>
    <xf numFmtId="167" fontId="15" fillId="0" borderId="0" xfId="59" applyNumberFormat="1" applyFont="1" applyFill="1">
      <alignment/>
      <protection/>
    </xf>
    <xf numFmtId="167" fontId="20" fillId="0" borderId="0" xfId="59" applyNumberFormat="1" applyFont="1" applyFill="1">
      <alignment/>
      <protection/>
    </xf>
    <xf numFmtId="170"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10" fontId="15" fillId="0" borderId="0" xfId="54" applyNumberFormat="1" applyFont="1" applyFill="1" applyBorder="1">
      <alignment/>
      <protection/>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10" fontId="0" fillId="0" borderId="0" xfId="63" applyNumberFormat="1" applyFont="1" applyFill="1" applyAlignment="1">
      <alignment/>
    </xf>
    <xf numFmtId="0" fontId="0" fillId="0" borderId="0" xfId="57" applyFont="1" applyAlignment="1">
      <alignment horizontal="right"/>
      <protection/>
    </xf>
    <xf numFmtId="14" fontId="18" fillId="0" borderId="0" xfId="0" applyNumberFormat="1" applyFont="1" applyFill="1" applyAlignment="1">
      <alignment vertical="center"/>
    </xf>
    <xf numFmtId="167" fontId="16" fillId="0" borderId="0" xfId="0" applyNumberFormat="1" applyFont="1" applyFill="1" applyBorder="1" applyAlignment="1">
      <alignment horizontal="right" vertical="center"/>
    </xf>
    <xf numFmtId="167" fontId="15" fillId="0" borderId="10" xfId="0" applyNumberFormat="1" applyFont="1" applyFill="1" applyBorder="1" applyAlignment="1">
      <alignment/>
    </xf>
    <xf numFmtId="167" fontId="15" fillId="0" borderId="0" xfId="0" applyNumberFormat="1" applyFont="1" applyFill="1" applyBorder="1" applyAlignment="1">
      <alignment horizontal="right"/>
    </xf>
    <xf numFmtId="167" fontId="15" fillId="0" borderId="0" xfId="59" applyNumberFormat="1" applyFont="1" applyFill="1" applyBorder="1">
      <alignment/>
      <protection/>
    </xf>
    <xf numFmtId="10" fontId="0" fillId="0" borderId="0" xfId="64" applyNumberFormat="1" applyFont="1" applyAlignment="1">
      <alignment/>
    </xf>
    <xf numFmtId="0" fontId="0" fillId="0" borderId="0" xfId="57" applyFont="1" applyAlignment="1">
      <alignment horizontal="right"/>
      <protection/>
    </xf>
    <xf numFmtId="0" fontId="71" fillId="0" borderId="0" xfId="57" applyFont="1">
      <alignment/>
      <protection/>
    </xf>
    <xf numFmtId="3" fontId="100" fillId="0" borderId="0" xfId="0" applyNumberFormat="1" applyFont="1" applyFill="1" applyBorder="1" applyAlignment="1" quotePrefix="1">
      <alignment vertical="center"/>
    </xf>
    <xf numFmtId="174" fontId="15" fillId="0" borderId="0" xfId="63" applyNumberFormat="1" applyFont="1" applyFill="1" applyBorder="1" applyAlignment="1">
      <alignment/>
    </xf>
    <xf numFmtId="0" fontId="0" fillId="0" borderId="0" xfId="0" applyFill="1" applyBorder="1" applyAlignment="1">
      <alignment horizontal="right"/>
    </xf>
    <xf numFmtId="3" fontId="109" fillId="0" borderId="0" xfId="57" applyNumberFormat="1" applyFont="1" applyFill="1">
      <alignment/>
      <protection/>
    </xf>
    <xf numFmtId="169"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113" fillId="0" borderId="11"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99" fillId="0" borderId="0"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9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ont>
        <color rgb="FFFF0000"/>
      </font>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8"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9420225" y="342900"/>
          <a:ext cx="121920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628650</xdr:colOff>
      <xdr:row>5</xdr:row>
      <xdr:rowOff>85725</xdr:rowOff>
    </xdr:to>
    <xdr:sp>
      <xdr:nvSpPr>
        <xdr:cNvPr id="1" name="2 Rectángulo redondeado">
          <a:hlinkClick r:id="rId1"/>
        </xdr:cNvPr>
        <xdr:cNvSpPr>
          <a:spLocks/>
        </xdr:cNvSpPr>
      </xdr:nvSpPr>
      <xdr:spPr>
        <a:xfrm>
          <a:off x="8886825" y="3429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581025</xdr:colOff>
      <xdr:row>6</xdr:row>
      <xdr:rowOff>9525</xdr:rowOff>
    </xdr:to>
    <xdr:sp>
      <xdr:nvSpPr>
        <xdr:cNvPr id="1" name="2 Rectángulo redondeado">
          <a:hlinkClick r:id="rId1"/>
        </xdr:cNvPr>
        <xdr:cNvSpPr>
          <a:spLocks/>
        </xdr:cNvSpPr>
      </xdr:nvSpPr>
      <xdr:spPr>
        <a:xfrm>
          <a:off x="8277225" y="457200"/>
          <a:ext cx="119062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8829675" y="523875"/>
          <a:ext cx="12382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733425</xdr:colOff>
      <xdr:row>5</xdr:row>
      <xdr:rowOff>123825</xdr:rowOff>
    </xdr:to>
    <xdr:sp>
      <xdr:nvSpPr>
        <xdr:cNvPr id="1" name="2 Rectángulo redondeado">
          <a:hlinkClick r:id="rId1"/>
        </xdr:cNvPr>
        <xdr:cNvSpPr>
          <a:spLocks/>
        </xdr:cNvSpPr>
      </xdr:nvSpPr>
      <xdr:spPr>
        <a:xfrm>
          <a:off x="8991600" y="352425"/>
          <a:ext cx="1209675"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7219950" y="123825"/>
          <a:ext cx="95250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829550" y="133350"/>
          <a:ext cx="1200150"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6591300" y="323850"/>
          <a:ext cx="952500"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15375" y="200025"/>
          <a:ext cx="1066800"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6667500" y="342900"/>
          <a:ext cx="885825"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9915525" y="266700"/>
          <a:ext cx="12477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8439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7791450" y="390525"/>
          <a:ext cx="904875" cy="5238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7534275" y="276225"/>
          <a:ext cx="135255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7258050" y="266700"/>
          <a:ext cx="981075"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152400</xdr:rowOff>
    </xdr:to>
    <xdr:sp>
      <xdr:nvSpPr>
        <xdr:cNvPr id="1" name="2 Rectángulo redondeado">
          <a:hlinkClick r:id="rId1"/>
        </xdr:cNvPr>
        <xdr:cNvSpPr>
          <a:spLocks/>
        </xdr:cNvSpPr>
      </xdr:nvSpPr>
      <xdr:spPr>
        <a:xfrm>
          <a:off x="10382250" y="6000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9220200" y="590550"/>
          <a:ext cx="120015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161925</xdr:rowOff>
    </xdr:from>
    <xdr:to>
      <xdr:col>10</xdr:col>
      <xdr:colOff>628650</xdr:colOff>
      <xdr:row>6</xdr:row>
      <xdr:rowOff>171450</xdr:rowOff>
    </xdr:to>
    <xdr:sp>
      <xdr:nvSpPr>
        <xdr:cNvPr id="1" name="2 Rectángulo redondeado">
          <a:hlinkClick r:id="rId1"/>
        </xdr:cNvPr>
        <xdr:cNvSpPr>
          <a:spLocks/>
        </xdr:cNvSpPr>
      </xdr:nvSpPr>
      <xdr:spPr>
        <a:xfrm>
          <a:off x="8858250" y="638175"/>
          <a:ext cx="123825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9058275" y="552450"/>
          <a:ext cx="1200150" cy="857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93726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8953500" y="514350"/>
          <a:ext cx="121920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666750</xdr:colOff>
      <xdr:row>6</xdr:row>
      <xdr:rowOff>0</xdr:rowOff>
    </xdr:to>
    <xdr:sp>
      <xdr:nvSpPr>
        <xdr:cNvPr id="1" name="2 Rectángulo redondeado">
          <a:hlinkClick r:id="rId1"/>
        </xdr:cNvPr>
        <xdr:cNvSpPr>
          <a:spLocks/>
        </xdr:cNvSpPr>
      </xdr:nvSpPr>
      <xdr:spPr>
        <a:xfrm>
          <a:off x="9124950" y="438150"/>
          <a:ext cx="120967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52">
      <selection activeCell="C308" sqref="C308"/>
    </sheetView>
  </sheetViews>
  <sheetFormatPr defaultColWidth="11.421875" defaultRowHeight="15"/>
  <cols>
    <col min="2" max="2" width="6.421875" style="0" customWidth="1"/>
    <col min="3" max="3" width="107.421875" style="0" customWidth="1"/>
    <col min="4" max="4" width="54.421875" style="0" customWidth="1"/>
  </cols>
  <sheetData>
    <row r="1" spans="1:4" ht="15">
      <c r="A1" s="225"/>
      <c r="B1" s="225"/>
      <c r="C1" s="226"/>
      <c r="D1" s="226"/>
    </row>
    <row r="2" spans="1:4" ht="15">
      <c r="A2" s="225"/>
      <c r="B2" s="225" t="s">
        <v>11</v>
      </c>
      <c r="C2" s="226" t="s">
        <v>12</v>
      </c>
      <c r="D2" s="226" t="s">
        <v>13</v>
      </c>
    </row>
    <row r="3" spans="1:9" ht="19.5">
      <c r="A3" s="225"/>
      <c r="B3" s="225">
        <v>1</v>
      </c>
      <c r="C3" s="227">
        <v>7</v>
      </c>
      <c r="D3" s="227">
        <v>8</v>
      </c>
      <c r="I3" s="228" t="s">
        <v>0</v>
      </c>
    </row>
    <row r="4" spans="2:9" ht="19.5">
      <c r="B4">
        <v>2</v>
      </c>
      <c r="C4" s="229" t="s">
        <v>546</v>
      </c>
      <c r="D4" s="229" t="s">
        <v>547</v>
      </c>
      <c r="I4" s="228" t="s">
        <v>14</v>
      </c>
    </row>
    <row r="5" spans="2:9" ht="19.5">
      <c r="B5">
        <v>3</v>
      </c>
      <c r="C5" s="229" t="s">
        <v>15</v>
      </c>
      <c r="D5" s="229" t="s">
        <v>16</v>
      </c>
      <c r="I5" s="228" t="s">
        <v>17</v>
      </c>
    </row>
    <row r="6" spans="2:4" ht="15.75">
      <c r="B6">
        <v>4</v>
      </c>
      <c r="C6" s="229" t="s">
        <v>18</v>
      </c>
      <c r="D6" s="229" t="s">
        <v>19</v>
      </c>
    </row>
    <row r="7" spans="2:4" ht="15.75">
      <c r="B7">
        <v>5</v>
      </c>
      <c r="C7" s="229" t="s">
        <v>20</v>
      </c>
      <c r="D7" s="229" t="s">
        <v>21</v>
      </c>
    </row>
    <row r="8" spans="2:4" ht="15.75">
      <c r="B8">
        <v>6</v>
      </c>
      <c r="C8" s="229" t="s">
        <v>22</v>
      </c>
      <c r="D8" s="229" t="s">
        <v>23</v>
      </c>
    </row>
    <row r="9" spans="2:4" ht="15.75">
      <c r="B9">
        <v>7</v>
      </c>
      <c r="C9" s="229" t="s">
        <v>24</v>
      </c>
      <c r="D9" s="229" t="s">
        <v>25</v>
      </c>
    </row>
    <row r="10" spans="2:4" ht="15.75">
      <c r="B10">
        <v>8</v>
      </c>
      <c r="C10" s="229" t="s">
        <v>26</v>
      </c>
      <c r="D10" s="229" t="s">
        <v>27</v>
      </c>
    </row>
    <row r="11" spans="2:4" ht="15.75">
      <c r="B11">
        <v>9</v>
      </c>
      <c r="C11" s="229" t="s">
        <v>28</v>
      </c>
      <c r="D11" s="229" t="s">
        <v>28</v>
      </c>
    </row>
    <row r="12" spans="2:4" ht="15.75">
      <c r="B12">
        <v>10</v>
      </c>
      <c r="C12" s="230" t="s">
        <v>29</v>
      </c>
      <c r="D12" s="230" t="s">
        <v>30</v>
      </c>
    </row>
    <row r="13" spans="2:4" ht="15.75">
      <c r="B13">
        <v>11</v>
      </c>
      <c r="C13" s="230" t="s">
        <v>31</v>
      </c>
      <c r="D13" s="230" t="s">
        <v>32</v>
      </c>
    </row>
    <row r="14" spans="2:4" ht="15.75">
      <c r="B14">
        <v>12</v>
      </c>
      <c r="C14" s="230" t="s">
        <v>33</v>
      </c>
      <c r="D14" s="230" t="s">
        <v>34</v>
      </c>
    </row>
    <row r="15" spans="2:4" ht="15.75">
      <c r="B15">
        <v>13</v>
      </c>
      <c r="C15" s="230" t="s">
        <v>35</v>
      </c>
      <c r="D15" s="230" t="s">
        <v>36</v>
      </c>
    </row>
    <row r="16" spans="2:4" ht="15.75">
      <c r="B16">
        <v>14</v>
      </c>
      <c r="C16" s="230" t="s">
        <v>6</v>
      </c>
      <c r="D16" s="230" t="s">
        <v>6</v>
      </c>
    </row>
    <row r="17" spans="2:4" ht="15.75">
      <c r="B17">
        <v>15</v>
      </c>
      <c r="C17" s="230" t="s">
        <v>7</v>
      </c>
      <c r="D17" s="230" t="s">
        <v>7</v>
      </c>
    </row>
    <row r="18" spans="2:4" ht="15.75">
      <c r="B18">
        <v>16</v>
      </c>
      <c r="C18" s="230" t="s">
        <v>8</v>
      </c>
      <c r="D18" s="230" t="s">
        <v>8</v>
      </c>
    </row>
    <row r="19" spans="2:4" ht="15.75">
      <c r="B19">
        <v>17</v>
      </c>
      <c r="C19" s="230" t="s">
        <v>9</v>
      </c>
      <c r="D19" s="230" t="s">
        <v>37</v>
      </c>
    </row>
    <row r="20" spans="2:4" ht="15.75">
      <c r="B20">
        <v>18</v>
      </c>
      <c r="C20" s="230" t="s">
        <v>38</v>
      </c>
      <c r="D20" s="230" t="s">
        <v>39</v>
      </c>
    </row>
    <row r="21" spans="2:4" ht="15.75">
      <c r="B21">
        <v>19</v>
      </c>
      <c r="C21" s="230" t="s">
        <v>40</v>
      </c>
      <c r="D21" s="230" t="s">
        <v>41</v>
      </c>
    </row>
    <row r="22" spans="2:4" ht="15.75">
      <c r="B22">
        <v>20</v>
      </c>
      <c r="C22" s="230" t="s">
        <v>42</v>
      </c>
      <c r="D22" s="230" t="s">
        <v>43</v>
      </c>
    </row>
    <row r="23" spans="2:4" ht="15.75">
      <c r="B23">
        <v>21</v>
      </c>
      <c r="C23" s="230" t="s">
        <v>44</v>
      </c>
      <c r="D23" s="230" t="s">
        <v>44</v>
      </c>
    </row>
    <row r="24" spans="2:4" ht="15.75">
      <c r="B24">
        <v>22</v>
      </c>
      <c r="C24" s="230" t="s">
        <v>45</v>
      </c>
      <c r="D24" s="230" t="s">
        <v>46</v>
      </c>
    </row>
    <row r="25" spans="2:4" ht="15.75">
      <c r="B25">
        <v>23</v>
      </c>
      <c r="C25" s="230" t="s">
        <v>47</v>
      </c>
      <c r="D25" s="230" t="s">
        <v>48</v>
      </c>
    </row>
    <row r="26" spans="2:4" ht="15.75">
      <c r="B26">
        <v>24</v>
      </c>
      <c r="C26" s="230" t="s">
        <v>49</v>
      </c>
      <c r="D26" s="230" t="s">
        <v>50</v>
      </c>
    </row>
    <row r="27" spans="2:4" ht="15.75">
      <c r="B27">
        <v>25</v>
      </c>
      <c r="C27" s="230" t="s">
        <v>51</v>
      </c>
      <c r="D27" s="230" t="s">
        <v>52</v>
      </c>
    </row>
    <row r="28" spans="2:4" ht="15.75">
      <c r="B28">
        <v>26</v>
      </c>
      <c r="C28" s="230" t="s">
        <v>53</v>
      </c>
      <c r="D28" s="230" t="s">
        <v>54</v>
      </c>
    </row>
    <row r="29" spans="2:4" ht="15.75">
      <c r="B29">
        <v>27</v>
      </c>
      <c r="C29" s="230" t="s">
        <v>55</v>
      </c>
      <c r="D29" s="230" t="s">
        <v>56</v>
      </c>
    </row>
    <row r="30" spans="2:4" ht="15.75">
      <c r="B30">
        <v>28</v>
      </c>
      <c r="C30" s="230" t="s">
        <v>57</v>
      </c>
      <c r="D30" s="230" t="s">
        <v>58</v>
      </c>
    </row>
    <row r="31" spans="2:4" ht="15.75">
      <c r="B31">
        <v>29</v>
      </c>
      <c r="C31" s="230" t="s">
        <v>59</v>
      </c>
      <c r="D31" s="230" t="s">
        <v>60</v>
      </c>
    </row>
    <row r="32" spans="2:4" ht="15.75">
      <c r="B32">
        <v>30</v>
      </c>
      <c r="C32" s="230" t="s">
        <v>61</v>
      </c>
      <c r="D32" s="230" t="s">
        <v>62</v>
      </c>
    </row>
    <row r="33" spans="2:4" ht="15.75">
      <c r="B33">
        <v>31</v>
      </c>
      <c r="C33" s="230" t="s">
        <v>63</v>
      </c>
      <c r="D33" t="s">
        <v>64</v>
      </c>
    </row>
    <row r="34" spans="2:4" ht="15.75">
      <c r="B34">
        <v>32</v>
      </c>
      <c r="C34" s="230" t="s">
        <v>65</v>
      </c>
      <c r="D34" t="s">
        <v>66</v>
      </c>
    </row>
    <row r="35" spans="2:4" ht="15.75">
      <c r="B35">
        <v>33</v>
      </c>
      <c r="C35" s="230" t="s">
        <v>67</v>
      </c>
      <c r="D35" t="s">
        <v>68</v>
      </c>
    </row>
    <row r="36" spans="2:4" ht="15.75">
      <c r="B36">
        <v>34</v>
      </c>
      <c r="C36" s="230" t="s">
        <v>69</v>
      </c>
      <c r="D36" t="s">
        <v>70</v>
      </c>
    </row>
    <row r="37" spans="2:4" ht="15.75">
      <c r="B37">
        <v>35</v>
      </c>
      <c r="C37" s="230" t="s">
        <v>71</v>
      </c>
      <c r="D37" t="s">
        <v>72</v>
      </c>
    </row>
    <row r="38" spans="2:4" ht="15.75">
      <c r="B38">
        <v>36</v>
      </c>
      <c r="C38" s="230" t="s">
        <v>73</v>
      </c>
      <c r="D38" t="s">
        <v>74</v>
      </c>
    </row>
    <row r="39" spans="2:4" ht="15.75">
      <c r="B39">
        <v>37</v>
      </c>
      <c r="C39" s="230" t="s">
        <v>75</v>
      </c>
      <c r="D39" t="s">
        <v>76</v>
      </c>
    </row>
    <row r="40" spans="2:4" ht="15.75">
      <c r="B40">
        <v>38</v>
      </c>
      <c r="C40" s="230" t="s">
        <v>77</v>
      </c>
      <c r="D40" t="s">
        <v>78</v>
      </c>
    </row>
    <row r="41" spans="2:4" ht="15.75">
      <c r="B41">
        <v>39</v>
      </c>
      <c r="C41" s="230" t="s">
        <v>79</v>
      </c>
      <c r="D41" t="s">
        <v>80</v>
      </c>
    </row>
    <row r="42" spans="2:4" ht="15.75">
      <c r="B42">
        <v>40</v>
      </c>
      <c r="C42" s="230" t="s">
        <v>81</v>
      </c>
      <c r="D42" t="s">
        <v>82</v>
      </c>
    </row>
    <row r="43" spans="2:4" ht="15.75">
      <c r="B43">
        <v>41</v>
      </c>
      <c r="C43" s="230" t="s">
        <v>83</v>
      </c>
      <c r="D43" t="s">
        <v>84</v>
      </c>
    </row>
    <row r="44" spans="2:4" ht="15.75">
      <c r="B44">
        <v>42</v>
      </c>
      <c r="C44" s="230" t="s">
        <v>85</v>
      </c>
      <c r="D44" t="s">
        <v>86</v>
      </c>
    </row>
    <row r="45" spans="2:10" ht="15.75">
      <c r="B45">
        <v>43</v>
      </c>
      <c r="C45" s="230" t="s">
        <v>87</v>
      </c>
      <c r="D45" t="s">
        <v>88</v>
      </c>
      <c r="J45" t="s">
        <v>527</v>
      </c>
    </row>
    <row r="46" spans="2:4" ht="15.75">
      <c r="B46">
        <v>44</v>
      </c>
      <c r="C46" s="230" t="s">
        <v>89</v>
      </c>
      <c r="D46" t="s">
        <v>90</v>
      </c>
    </row>
    <row r="47" spans="2:4" ht="15.75">
      <c r="B47">
        <v>45</v>
      </c>
      <c r="C47" s="230" t="s">
        <v>91</v>
      </c>
      <c r="D47" t="s">
        <v>92</v>
      </c>
    </row>
    <row r="48" spans="2:4" ht="15.75">
      <c r="B48">
        <v>46</v>
      </c>
      <c r="C48" s="230" t="s">
        <v>93</v>
      </c>
      <c r="D48" t="s">
        <v>94</v>
      </c>
    </row>
    <row r="49" spans="2:4" ht="15.75">
      <c r="B49">
        <v>47</v>
      </c>
      <c r="C49" s="230" t="s">
        <v>95</v>
      </c>
      <c r="D49" t="s">
        <v>96</v>
      </c>
    </row>
    <row r="50" spans="2:4" ht="15.75">
      <c r="B50">
        <v>48</v>
      </c>
      <c r="C50" s="230" t="s">
        <v>97</v>
      </c>
      <c r="D50" t="s">
        <v>98</v>
      </c>
    </row>
    <row r="51" spans="2:4" ht="15.75">
      <c r="B51">
        <v>49</v>
      </c>
      <c r="C51" s="230" t="s">
        <v>99</v>
      </c>
      <c r="D51" t="s">
        <v>100</v>
      </c>
    </row>
    <row r="52" spans="2:4" ht="15.75">
      <c r="B52">
        <v>50</v>
      </c>
      <c r="C52" s="230" t="s">
        <v>101</v>
      </c>
      <c r="D52" t="s">
        <v>102</v>
      </c>
    </row>
    <row r="53" spans="2:4" ht="15.75">
      <c r="B53">
        <v>51</v>
      </c>
      <c r="C53" s="230" t="s">
        <v>103</v>
      </c>
      <c r="D53" t="s">
        <v>104</v>
      </c>
    </row>
    <row r="54" spans="2:4" ht="15.75">
      <c r="B54">
        <v>52</v>
      </c>
      <c r="C54" s="230" t="s">
        <v>105</v>
      </c>
      <c r="D54" t="s">
        <v>106</v>
      </c>
    </row>
    <row r="55" spans="2:4" ht="15.75">
      <c r="B55">
        <v>53</v>
      </c>
      <c r="C55" s="230" t="s">
        <v>107</v>
      </c>
      <c r="D55" t="s">
        <v>108</v>
      </c>
    </row>
    <row r="56" spans="2:4" ht="15.75">
      <c r="B56">
        <v>54</v>
      </c>
      <c r="C56" s="230" t="s">
        <v>109</v>
      </c>
      <c r="D56" t="s">
        <v>110</v>
      </c>
    </row>
    <row r="57" spans="2:4" ht="15.75">
      <c r="B57">
        <v>55</v>
      </c>
      <c r="C57" s="230" t="s">
        <v>111</v>
      </c>
      <c r="D57" t="s">
        <v>112</v>
      </c>
    </row>
    <row r="58" spans="2:4" ht="15.75">
      <c r="B58">
        <v>56</v>
      </c>
      <c r="C58" s="230" t="s">
        <v>113</v>
      </c>
      <c r="D58" t="s">
        <v>114</v>
      </c>
    </row>
    <row r="59" spans="2:4" ht="15.75">
      <c r="B59">
        <v>57</v>
      </c>
      <c r="C59" s="230" t="s">
        <v>115</v>
      </c>
      <c r="D59" t="s">
        <v>116</v>
      </c>
    </row>
    <row r="60" spans="2:4" ht="15.75">
      <c r="B60">
        <v>58</v>
      </c>
      <c r="C60" s="230" t="s">
        <v>117</v>
      </c>
      <c r="D60" t="s">
        <v>118</v>
      </c>
    </row>
    <row r="61" spans="2:4" ht="15.75">
      <c r="B61">
        <v>59</v>
      </c>
      <c r="C61" s="230" t="s">
        <v>119</v>
      </c>
      <c r="D61" t="s">
        <v>120</v>
      </c>
    </row>
    <row r="62" spans="2:4" ht="15.75">
      <c r="B62">
        <v>60</v>
      </c>
      <c r="C62" s="230" t="s">
        <v>121</v>
      </c>
      <c r="D62" t="s">
        <v>122</v>
      </c>
    </row>
    <row r="63" spans="2:4" ht="15.75">
      <c r="B63">
        <v>61</v>
      </c>
      <c r="C63" s="230" t="s">
        <v>123</v>
      </c>
      <c r="D63" t="s">
        <v>124</v>
      </c>
    </row>
    <row r="64" spans="2:4" ht="15.75">
      <c r="B64">
        <v>62</v>
      </c>
      <c r="C64" s="230" t="s">
        <v>125</v>
      </c>
      <c r="D64" t="s">
        <v>126</v>
      </c>
    </row>
    <row r="65" spans="2:4" ht="15.75">
      <c r="B65">
        <v>63</v>
      </c>
      <c r="C65" s="230" t="s">
        <v>127</v>
      </c>
      <c r="D65" t="s">
        <v>128</v>
      </c>
    </row>
    <row r="66" spans="2:4" ht="15.75">
      <c r="B66">
        <v>64</v>
      </c>
      <c r="C66" s="230" t="s">
        <v>129</v>
      </c>
      <c r="D66" t="s">
        <v>130</v>
      </c>
    </row>
    <row r="67" spans="2:4" ht="15.75">
      <c r="B67">
        <v>65</v>
      </c>
      <c r="C67" s="230" t="s">
        <v>131</v>
      </c>
      <c r="D67" t="s">
        <v>132</v>
      </c>
    </row>
    <row r="68" spans="2:4" ht="15.75">
      <c r="B68">
        <v>66</v>
      </c>
      <c r="C68" s="230" t="s">
        <v>133</v>
      </c>
      <c r="D68" s="59" t="s">
        <v>134</v>
      </c>
    </row>
    <row r="69" spans="2:4" ht="15.75">
      <c r="B69">
        <v>67</v>
      </c>
      <c r="C69" s="230" t="s">
        <v>135</v>
      </c>
      <c r="D69" s="59" t="s">
        <v>136</v>
      </c>
    </row>
    <row r="70" spans="2:4" ht="15.75">
      <c r="B70">
        <v>68</v>
      </c>
      <c r="C70" s="230" t="s">
        <v>520</v>
      </c>
      <c r="D70" s="59" t="s">
        <v>521</v>
      </c>
    </row>
    <row r="71" spans="2:4" ht="15.75">
      <c r="B71">
        <v>69</v>
      </c>
      <c r="C71" s="230" t="s">
        <v>137</v>
      </c>
      <c r="D71" s="59" t="s">
        <v>138</v>
      </c>
    </row>
    <row r="72" spans="2:4" ht="15.75">
      <c r="B72">
        <v>70</v>
      </c>
      <c r="C72" s="230" t="s">
        <v>139</v>
      </c>
      <c r="D72" s="59" t="s">
        <v>140</v>
      </c>
    </row>
    <row r="73" spans="2:4" ht="15.75">
      <c r="B73">
        <v>71</v>
      </c>
      <c r="C73" s="230" t="s">
        <v>141</v>
      </c>
      <c r="D73" s="231" t="s">
        <v>142</v>
      </c>
    </row>
    <row r="74" spans="2:4" ht="15.75">
      <c r="B74">
        <v>72</v>
      </c>
      <c r="C74" s="230" t="s">
        <v>143</v>
      </c>
      <c r="D74" s="231"/>
    </row>
    <row r="75" spans="2:4" ht="15.75">
      <c r="B75">
        <v>73</v>
      </c>
      <c r="C75" s="230" t="s">
        <v>144</v>
      </c>
      <c r="D75" s="160" t="s">
        <v>145</v>
      </c>
    </row>
    <row r="76" spans="2:4" ht="15.75">
      <c r="B76">
        <v>74</v>
      </c>
      <c r="C76" s="230" t="s">
        <v>146</v>
      </c>
      <c r="D76" s="160" t="s">
        <v>147</v>
      </c>
    </row>
    <row r="77" spans="2:4" ht="15.75">
      <c r="B77">
        <v>75</v>
      </c>
      <c r="C77" s="230" t="s">
        <v>148</v>
      </c>
      <c r="D77" s="160" t="s">
        <v>149</v>
      </c>
    </row>
    <row r="78" spans="2:4" ht="15.75">
      <c r="B78">
        <v>76</v>
      </c>
      <c r="C78" s="230" t="s">
        <v>150</v>
      </c>
      <c r="D78" s="160" t="s">
        <v>151</v>
      </c>
    </row>
    <row r="79" spans="2:4" ht="15.75">
      <c r="B79">
        <v>77</v>
      </c>
      <c r="C79" s="230" t="s">
        <v>152</v>
      </c>
      <c r="D79" s="160" t="s">
        <v>153</v>
      </c>
    </row>
    <row r="80" spans="2:4" ht="15.75">
      <c r="B80">
        <v>78</v>
      </c>
      <c r="C80" s="230" t="s">
        <v>154</v>
      </c>
      <c r="D80" s="160" t="s">
        <v>155</v>
      </c>
    </row>
    <row r="81" spans="2:4" ht="15.75">
      <c r="B81">
        <v>79</v>
      </c>
      <c r="C81" s="230" t="s">
        <v>156</v>
      </c>
      <c r="D81" s="160" t="s">
        <v>157</v>
      </c>
    </row>
    <row r="82" spans="2:4" ht="15.75">
      <c r="B82">
        <v>80</v>
      </c>
      <c r="C82" s="230" t="s">
        <v>158</v>
      </c>
      <c r="D82" s="160" t="s">
        <v>158</v>
      </c>
    </row>
    <row r="83" spans="2:4" ht="15.75">
      <c r="B83">
        <v>81</v>
      </c>
      <c r="C83" s="230" t="s">
        <v>159</v>
      </c>
      <c r="D83" s="160" t="s">
        <v>160</v>
      </c>
    </row>
    <row r="84" spans="2:4" ht="15">
      <c r="B84">
        <v>82</v>
      </c>
      <c r="C84" t="s">
        <v>161</v>
      </c>
      <c r="D84" t="s">
        <v>162</v>
      </c>
    </row>
    <row r="85" spans="2:4" ht="15">
      <c r="B85">
        <v>83</v>
      </c>
      <c r="C85" t="s">
        <v>163</v>
      </c>
      <c r="D85" t="s">
        <v>164</v>
      </c>
    </row>
    <row r="86" spans="2:4" ht="15.75">
      <c r="B86">
        <v>84</v>
      </c>
      <c r="C86" s="230" t="s">
        <v>165</v>
      </c>
      <c r="D86" t="s">
        <v>166</v>
      </c>
    </row>
    <row r="87" spans="2:4" ht="15">
      <c r="B87">
        <v>85</v>
      </c>
      <c r="C87" t="s">
        <v>167</v>
      </c>
      <c r="D87" t="s">
        <v>168</v>
      </c>
    </row>
    <row r="88" spans="2:4" ht="15">
      <c r="B88">
        <v>86</v>
      </c>
      <c r="C88" t="s">
        <v>169</v>
      </c>
      <c r="D88" t="s">
        <v>170</v>
      </c>
    </row>
    <row r="89" spans="2:4" ht="15">
      <c r="B89">
        <v>87</v>
      </c>
      <c r="C89" t="s">
        <v>411</v>
      </c>
      <c r="D89" t="s">
        <v>412</v>
      </c>
    </row>
    <row r="90" spans="2:4" ht="15">
      <c r="B90">
        <v>88</v>
      </c>
      <c r="C90" t="s">
        <v>57</v>
      </c>
      <c r="D90" t="s">
        <v>58</v>
      </c>
    </row>
    <row r="91" spans="2:4" ht="15">
      <c r="B91">
        <v>89</v>
      </c>
      <c r="C91" s="232" t="s">
        <v>171</v>
      </c>
      <c r="D91" t="s">
        <v>172</v>
      </c>
    </row>
    <row r="92" spans="2:4" ht="15">
      <c r="B92">
        <v>90</v>
      </c>
      <c r="C92" t="s">
        <v>173</v>
      </c>
      <c r="D92" t="s">
        <v>173</v>
      </c>
    </row>
    <row r="93" spans="2:4" ht="15">
      <c r="B93">
        <v>91</v>
      </c>
      <c r="C93" t="s">
        <v>174</v>
      </c>
      <c r="D93" t="s">
        <v>175</v>
      </c>
    </row>
    <row r="94" spans="2:4" ht="15">
      <c r="B94">
        <v>92</v>
      </c>
      <c r="C94" t="s">
        <v>1</v>
      </c>
      <c r="D94" t="s">
        <v>176</v>
      </c>
    </row>
    <row r="95" spans="2:4" ht="15">
      <c r="B95">
        <v>93</v>
      </c>
      <c r="C95" t="s">
        <v>2</v>
      </c>
      <c r="D95" t="s">
        <v>177</v>
      </c>
    </row>
    <row r="96" spans="2:4" ht="15">
      <c r="B96">
        <v>94</v>
      </c>
      <c r="C96" t="s">
        <v>3</v>
      </c>
      <c r="D96" t="s">
        <v>178</v>
      </c>
    </row>
    <row r="97" spans="2:4" ht="15">
      <c r="B97">
        <v>95</v>
      </c>
      <c r="C97" t="s">
        <v>4</v>
      </c>
      <c r="D97" t="s">
        <v>179</v>
      </c>
    </row>
    <row r="98" spans="2:4" ht="15">
      <c r="B98">
        <v>96</v>
      </c>
      <c r="C98" s="233" t="s">
        <v>180</v>
      </c>
      <c r="D98" s="233" t="s">
        <v>181</v>
      </c>
    </row>
    <row r="99" spans="2:4" ht="15">
      <c r="B99">
        <v>97</v>
      </c>
      <c r="C99" s="233" t="s">
        <v>182</v>
      </c>
      <c r="D99" s="233" t="s">
        <v>183</v>
      </c>
    </row>
    <row r="100" spans="2:4" ht="15">
      <c r="B100">
        <v>98</v>
      </c>
      <c r="C100" s="233" t="s">
        <v>184</v>
      </c>
      <c r="D100" s="233" t="s">
        <v>185</v>
      </c>
    </row>
    <row r="101" spans="2:4" ht="15">
      <c r="B101">
        <v>99</v>
      </c>
      <c r="C101" s="233" t="s">
        <v>186</v>
      </c>
      <c r="D101" t="s">
        <v>187</v>
      </c>
    </row>
    <row r="102" spans="2:4" ht="15">
      <c r="B102">
        <v>100</v>
      </c>
      <c r="C102" s="233" t="s">
        <v>354</v>
      </c>
      <c r="D102" t="s">
        <v>355</v>
      </c>
    </row>
    <row r="103" spans="2:4" ht="15">
      <c r="B103">
        <v>101</v>
      </c>
      <c r="C103" t="s">
        <v>188</v>
      </c>
      <c r="D103" t="s">
        <v>189</v>
      </c>
    </row>
    <row r="104" spans="2:4" ht="15" customHeight="1">
      <c r="B104">
        <v>102</v>
      </c>
      <c r="C104" t="s">
        <v>190</v>
      </c>
      <c r="D104" t="s">
        <v>191</v>
      </c>
    </row>
    <row r="105" spans="2:4" ht="15">
      <c r="B105">
        <v>103</v>
      </c>
      <c r="C105" t="s">
        <v>192</v>
      </c>
      <c r="D105" t="s">
        <v>193</v>
      </c>
    </row>
    <row r="106" spans="2:4" ht="15">
      <c r="B106">
        <v>104</v>
      </c>
      <c r="C106" t="s">
        <v>194</v>
      </c>
      <c r="D106" t="s">
        <v>195</v>
      </c>
    </row>
    <row r="107" spans="2:4" ht="15">
      <c r="B107">
        <v>105</v>
      </c>
      <c r="C107" s="211" t="s">
        <v>196</v>
      </c>
      <c r="D107" t="s">
        <v>197</v>
      </c>
    </row>
    <row r="108" spans="2:4" ht="15">
      <c r="B108">
        <v>106</v>
      </c>
      <c r="C108" s="211" t="s">
        <v>198</v>
      </c>
      <c r="D108" t="s">
        <v>199</v>
      </c>
    </row>
    <row r="109" spans="2:4" ht="15">
      <c r="B109">
        <v>107</v>
      </c>
      <c r="C109" t="s">
        <v>200</v>
      </c>
      <c r="D109" t="s">
        <v>201</v>
      </c>
    </row>
    <row r="110" spans="2:4" ht="15">
      <c r="B110">
        <v>108</v>
      </c>
      <c r="C110" s="211" t="s">
        <v>202</v>
      </c>
      <c r="D110" t="s">
        <v>203</v>
      </c>
    </row>
    <row r="111" spans="2:4" ht="15">
      <c r="B111">
        <v>109</v>
      </c>
      <c r="C111" s="211" t="s">
        <v>204</v>
      </c>
      <c r="D111" t="s">
        <v>205</v>
      </c>
    </row>
    <row r="112" spans="2:4" ht="15">
      <c r="B112">
        <v>110</v>
      </c>
      <c r="C112" s="211" t="s">
        <v>206</v>
      </c>
      <c r="D112" t="s">
        <v>207</v>
      </c>
    </row>
    <row r="113" spans="2:4" ht="15">
      <c r="B113">
        <v>111</v>
      </c>
      <c r="C113" s="211" t="s">
        <v>10</v>
      </c>
      <c r="D113" t="s">
        <v>208</v>
      </c>
    </row>
    <row r="114" spans="2:4" ht="15">
      <c r="B114">
        <v>112</v>
      </c>
      <c r="C114" s="213" t="s">
        <v>209</v>
      </c>
      <c r="D114" t="s">
        <v>210</v>
      </c>
    </row>
    <row r="115" spans="2:4" ht="15">
      <c r="B115">
        <v>113</v>
      </c>
      <c r="C115" s="213" t="s">
        <v>59</v>
      </c>
      <c r="D115" t="s">
        <v>60</v>
      </c>
    </row>
    <row r="116" spans="2:4" ht="15">
      <c r="B116">
        <v>114</v>
      </c>
      <c r="C116" s="211" t="s">
        <v>211</v>
      </c>
      <c r="D116" t="s">
        <v>212</v>
      </c>
    </row>
    <row r="117" spans="2:4" ht="15">
      <c r="B117">
        <v>115</v>
      </c>
      <c r="C117" s="211" t="s">
        <v>213</v>
      </c>
      <c r="D117" t="s">
        <v>214</v>
      </c>
    </row>
    <row r="118" spans="2:4" ht="15">
      <c r="B118">
        <v>116</v>
      </c>
      <c r="C118" s="211" t="s">
        <v>215</v>
      </c>
      <c r="D118" t="s">
        <v>216</v>
      </c>
    </row>
    <row r="119" spans="2:4" ht="15.75">
      <c r="B119">
        <v>117</v>
      </c>
      <c r="C119" s="230"/>
      <c r="D119" s="59"/>
    </row>
    <row r="120" spans="2:4" ht="15.75">
      <c r="B120">
        <v>118</v>
      </c>
      <c r="C120" s="206" t="s">
        <v>217</v>
      </c>
      <c r="D120" t="s">
        <v>218</v>
      </c>
    </row>
    <row r="121" spans="2:3" ht="15">
      <c r="B121">
        <v>119</v>
      </c>
      <c r="C121" s="223" t="s">
        <v>219</v>
      </c>
    </row>
    <row r="122" spans="2:4" ht="18">
      <c r="B122">
        <v>120</v>
      </c>
      <c r="C122" s="202" t="s">
        <v>61</v>
      </c>
      <c r="D122" t="s">
        <v>62</v>
      </c>
    </row>
    <row r="123" spans="2:4" ht="15">
      <c r="B123">
        <v>121</v>
      </c>
      <c r="C123" t="s">
        <v>220</v>
      </c>
      <c r="D123" t="s">
        <v>221</v>
      </c>
    </row>
    <row r="124" spans="2:4" ht="15">
      <c r="B124">
        <v>122</v>
      </c>
      <c r="C124" t="s">
        <v>222</v>
      </c>
      <c r="D124" t="s">
        <v>221</v>
      </c>
    </row>
    <row r="125" spans="2:4" ht="15">
      <c r="B125">
        <v>123</v>
      </c>
      <c r="C125" t="s">
        <v>223</v>
      </c>
      <c r="D125" t="s">
        <v>224</v>
      </c>
    </row>
    <row r="126" spans="2:4" ht="15">
      <c r="B126">
        <v>124</v>
      </c>
      <c r="C126" t="s">
        <v>225</v>
      </c>
      <c r="D126" t="s">
        <v>226</v>
      </c>
    </row>
    <row r="127" spans="2:4" ht="15">
      <c r="B127">
        <v>125</v>
      </c>
      <c r="C127" t="s">
        <v>227</v>
      </c>
      <c r="D127" t="s">
        <v>228</v>
      </c>
    </row>
    <row r="128" spans="2:4" ht="15">
      <c r="B128">
        <v>126</v>
      </c>
      <c r="C128" t="s">
        <v>229</v>
      </c>
      <c r="D128" t="s">
        <v>229</v>
      </c>
    </row>
    <row r="129" spans="2:4" ht="15">
      <c r="B129">
        <v>127</v>
      </c>
      <c r="C129" t="s">
        <v>230</v>
      </c>
      <c r="D129" t="s">
        <v>230</v>
      </c>
    </row>
    <row r="130" spans="2:4" ht="15">
      <c r="B130">
        <v>128</v>
      </c>
      <c r="C130" t="s">
        <v>231</v>
      </c>
      <c r="D130" t="s">
        <v>231</v>
      </c>
    </row>
    <row r="131" spans="2:4" ht="15">
      <c r="B131">
        <v>129</v>
      </c>
      <c r="C131" t="s">
        <v>232</v>
      </c>
      <c r="D131" t="s">
        <v>232</v>
      </c>
    </row>
    <row r="132" spans="2:4" ht="15">
      <c r="B132">
        <v>130</v>
      </c>
      <c r="C132" t="s">
        <v>233</v>
      </c>
      <c r="D132" t="s">
        <v>233</v>
      </c>
    </row>
    <row r="133" spans="2:4" ht="15">
      <c r="B133">
        <v>131</v>
      </c>
      <c r="C133" s="43" t="s">
        <v>234</v>
      </c>
      <c r="D133" t="s">
        <v>235</v>
      </c>
    </row>
    <row r="134" spans="2:4" ht="15">
      <c r="B134">
        <v>132</v>
      </c>
      <c r="C134" s="43" t="s">
        <v>236</v>
      </c>
      <c r="D134" t="s">
        <v>237</v>
      </c>
    </row>
    <row r="135" spans="2:4" ht="15">
      <c r="B135">
        <v>133</v>
      </c>
      <c r="C135" s="43" t="s">
        <v>238</v>
      </c>
      <c r="D135" t="s">
        <v>239</v>
      </c>
    </row>
    <row r="136" spans="2:4" ht="15">
      <c r="B136">
        <v>134</v>
      </c>
      <c r="C136" s="43" t="s">
        <v>240</v>
      </c>
      <c r="D136" t="s">
        <v>241</v>
      </c>
    </row>
    <row r="137" spans="2:4" ht="15">
      <c r="B137">
        <v>135</v>
      </c>
      <c r="C137" s="43" t="s">
        <v>109</v>
      </c>
      <c r="D137" t="s">
        <v>110</v>
      </c>
    </row>
    <row r="138" spans="2:4" ht="15">
      <c r="B138">
        <v>136</v>
      </c>
      <c r="C138" s="43" t="s">
        <v>242</v>
      </c>
      <c r="D138" t="s">
        <v>243</v>
      </c>
    </row>
    <row r="139" spans="2:4" ht="15">
      <c r="B139">
        <v>137</v>
      </c>
      <c r="C139" s="43" t="s">
        <v>244</v>
      </c>
      <c r="D139" t="s">
        <v>245</v>
      </c>
    </row>
    <row r="140" spans="2:4" ht="15">
      <c r="B140">
        <v>138</v>
      </c>
      <c r="C140" s="43" t="s">
        <v>246</v>
      </c>
      <c r="D140" t="s">
        <v>247</v>
      </c>
    </row>
    <row r="141" spans="2:4" ht="15">
      <c r="B141">
        <v>139</v>
      </c>
      <c r="C141" s="43" t="s">
        <v>248</v>
      </c>
      <c r="D141" t="s">
        <v>249</v>
      </c>
    </row>
    <row r="142" spans="2:4" ht="15">
      <c r="B142">
        <v>140</v>
      </c>
      <c r="C142" s="43" t="s">
        <v>250</v>
      </c>
      <c r="D142" t="s">
        <v>251</v>
      </c>
    </row>
    <row r="143" spans="2:4" ht="15">
      <c r="B143">
        <v>141</v>
      </c>
      <c r="C143" s="43" t="s">
        <v>252</v>
      </c>
      <c r="D143" s="59" t="s">
        <v>253</v>
      </c>
    </row>
    <row r="144" spans="2:4" ht="15">
      <c r="B144">
        <v>142</v>
      </c>
      <c r="C144" s="59" t="s">
        <v>254</v>
      </c>
      <c r="D144" s="59" t="s">
        <v>255</v>
      </c>
    </row>
    <row r="145" spans="2:4" ht="15">
      <c r="B145">
        <v>143</v>
      </c>
      <c r="C145" s="59" t="s">
        <v>256</v>
      </c>
      <c r="D145" t="s">
        <v>257</v>
      </c>
    </row>
    <row r="146" spans="2:4" ht="15">
      <c r="B146">
        <v>144</v>
      </c>
      <c r="C146" s="43" t="s">
        <v>258</v>
      </c>
      <c r="D146" t="s">
        <v>259</v>
      </c>
    </row>
    <row r="147" spans="2:4" ht="15">
      <c r="B147">
        <v>145</v>
      </c>
      <c r="C147" s="43" t="s">
        <v>260</v>
      </c>
      <c r="D147" t="s">
        <v>261</v>
      </c>
    </row>
    <row r="148" spans="2:4" ht="15">
      <c r="B148">
        <v>146</v>
      </c>
      <c r="C148" s="102" t="s">
        <v>262</v>
      </c>
      <c r="D148" t="s">
        <v>263</v>
      </c>
    </row>
    <row r="149" spans="2:4" ht="15">
      <c r="B149">
        <v>147</v>
      </c>
      <c r="C149" s="59" t="s">
        <v>264</v>
      </c>
      <c r="D149" t="s">
        <v>100</v>
      </c>
    </row>
    <row r="150" spans="2:4" ht="15">
      <c r="B150">
        <v>148</v>
      </c>
      <c r="C150" s="59" t="s">
        <v>265</v>
      </c>
      <c r="D150" t="s">
        <v>266</v>
      </c>
    </row>
    <row r="151" spans="2:4" ht="15">
      <c r="B151">
        <v>149</v>
      </c>
      <c r="C151" s="59" t="s">
        <v>267</v>
      </c>
      <c r="D151" t="s">
        <v>268</v>
      </c>
    </row>
    <row r="152" spans="2:4" ht="15">
      <c r="B152">
        <v>150</v>
      </c>
      <c r="C152" s="102" t="s">
        <v>269</v>
      </c>
      <c r="D152" t="s">
        <v>270</v>
      </c>
    </row>
    <row r="153" spans="2:4" ht="15">
      <c r="B153">
        <v>151</v>
      </c>
      <c r="C153" s="47" t="s">
        <v>271</v>
      </c>
      <c r="D153" t="s">
        <v>272</v>
      </c>
    </row>
    <row r="154" spans="2:4" ht="15">
      <c r="B154">
        <v>152</v>
      </c>
      <c r="C154" s="59" t="s">
        <v>273</v>
      </c>
      <c r="D154" t="s">
        <v>274</v>
      </c>
    </row>
    <row r="155" spans="2:4" ht="15">
      <c r="B155">
        <v>153</v>
      </c>
      <c r="C155" s="59" t="s">
        <v>275</v>
      </c>
      <c r="D155" t="s">
        <v>276</v>
      </c>
    </row>
    <row r="156" spans="2:4" ht="15">
      <c r="B156">
        <v>154</v>
      </c>
      <c r="C156" s="59" t="s">
        <v>277</v>
      </c>
      <c r="D156" t="s">
        <v>278</v>
      </c>
    </row>
    <row r="157" spans="2:4" ht="15">
      <c r="B157">
        <v>155</v>
      </c>
      <c r="C157" s="59" t="s">
        <v>279</v>
      </c>
      <c r="D157" t="s">
        <v>280</v>
      </c>
    </row>
    <row r="158" spans="2:4" ht="15">
      <c r="B158">
        <v>156</v>
      </c>
      <c r="C158" s="59" t="s">
        <v>281</v>
      </c>
      <c r="D158" t="s">
        <v>282</v>
      </c>
    </row>
    <row r="159" spans="2:4" ht="15">
      <c r="B159">
        <v>157</v>
      </c>
      <c r="C159" s="59" t="s">
        <v>283</v>
      </c>
      <c r="D159" t="s">
        <v>284</v>
      </c>
    </row>
    <row r="160" spans="2:4" ht="15">
      <c r="B160">
        <v>158</v>
      </c>
      <c r="C160" s="59" t="s">
        <v>285</v>
      </c>
      <c r="D160" t="s">
        <v>286</v>
      </c>
    </row>
    <row r="161" spans="2:4" ht="15">
      <c r="B161">
        <v>159</v>
      </c>
      <c r="C161" s="114" t="s">
        <v>287</v>
      </c>
      <c r="D161" t="s">
        <v>288</v>
      </c>
    </row>
    <row r="162" spans="2:4" ht="15">
      <c r="B162">
        <v>160</v>
      </c>
      <c r="C162" s="114" t="s">
        <v>289</v>
      </c>
      <c r="D162" t="s">
        <v>290</v>
      </c>
    </row>
    <row r="163" spans="2:4" ht="15">
      <c r="B163">
        <v>161</v>
      </c>
      <c r="C163" s="59" t="s">
        <v>53</v>
      </c>
      <c r="D163" t="s">
        <v>54</v>
      </c>
    </row>
    <row r="164" spans="2:4" ht="15">
      <c r="B164">
        <v>162</v>
      </c>
      <c r="C164" s="59" t="s">
        <v>291</v>
      </c>
      <c r="D164" t="s">
        <v>292</v>
      </c>
    </row>
    <row r="165" spans="2:5" ht="15">
      <c r="B165">
        <v>163</v>
      </c>
      <c r="C165" s="59" t="s">
        <v>293</v>
      </c>
      <c r="D165" t="s">
        <v>294</v>
      </c>
      <c r="E165" s="234"/>
    </row>
    <row r="166" spans="2:4" ht="15">
      <c r="B166">
        <v>164</v>
      </c>
      <c r="C166" t="s">
        <v>295</v>
      </c>
      <c r="D166" t="s">
        <v>296</v>
      </c>
    </row>
    <row r="167" spans="2:4" ht="15.75">
      <c r="B167">
        <v>165</v>
      </c>
      <c r="C167" s="235" t="s">
        <v>297</v>
      </c>
      <c r="D167" t="s">
        <v>298</v>
      </c>
    </row>
    <row r="168" spans="2:4" ht="15">
      <c r="B168">
        <v>166</v>
      </c>
      <c r="C168" s="160" t="s">
        <v>291</v>
      </c>
      <c r="D168" t="s">
        <v>292</v>
      </c>
    </row>
    <row r="169" spans="2:4" ht="15">
      <c r="B169">
        <v>167</v>
      </c>
      <c r="C169" t="s">
        <v>1</v>
      </c>
      <c r="D169" t="s">
        <v>176</v>
      </c>
    </row>
    <row r="170" spans="2:4" ht="15">
      <c r="B170">
        <v>168</v>
      </c>
      <c r="C170" t="s">
        <v>2</v>
      </c>
      <c r="D170" t="s">
        <v>177</v>
      </c>
    </row>
    <row r="171" spans="2:4" ht="15">
      <c r="B171">
        <v>169</v>
      </c>
      <c r="C171" t="s">
        <v>3</v>
      </c>
      <c r="D171" t="s">
        <v>178</v>
      </c>
    </row>
    <row r="172" spans="2:4" ht="15">
      <c r="B172">
        <v>170</v>
      </c>
      <c r="C172" t="s">
        <v>4</v>
      </c>
      <c r="D172" t="s">
        <v>179</v>
      </c>
    </row>
    <row r="173" spans="2:4" ht="15">
      <c r="B173">
        <v>171</v>
      </c>
      <c r="C173" t="s">
        <v>299</v>
      </c>
      <c r="D173" t="s">
        <v>300</v>
      </c>
    </row>
    <row r="174" spans="2:4" ht="15">
      <c r="B174">
        <v>172</v>
      </c>
      <c r="C174" t="s">
        <v>165</v>
      </c>
      <c r="D174" t="s">
        <v>166</v>
      </c>
    </row>
    <row r="175" spans="2:4" ht="15">
      <c r="B175">
        <v>173</v>
      </c>
      <c r="C175" t="s">
        <v>415</v>
      </c>
      <c r="D175" s="182" t="s">
        <v>417</v>
      </c>
    </row>
    <row r="176" spans="2:4" ht="15">
      <c r="B176">
        <v>174</v>
      </c>
      <c r="C176" t="s">
        <v>416</v>
      </c>
      <c r="D176" s="182" t="s">
        <v>414</v>
      </c>
    </row>
    <row r="177" spans="2:4" ht="15">
      <c r="B177">
        <v>175</v>
      </c>
      <c r="C177" s="185" t="s">
        <v>26</v>
      </c>
      <c r="D177" t="s">
        <v>27</v>
      </c>
    </row>
    <row r="178" spans="2:4" ht="15">
      <c r="B178">
        <v>176</v>
      </c>
      <c r="C178" s="185" t="s">
        <v>301</v>
      </c>
      <c r="D178" s="41" t="s">
        <v>302</v>
      </c>
    </row>
    <row r="179" spans="2:4" ht="15">
      <c r="B179">
        <v>177</v>
      </c>
      <c r="C179" s="185" t="s">
        <v>303</v>
      </c>
      <c r="D179" t="s">
        <v>304</v>
      </c>
    </row>
    <row r="180" spans="2:4" ht="15">
      <c r="B180">
        <v>178</v>
      </c>
      <c r="C180" s="185" t="s">
        <v>305</v>
      </c>
      <c r="D180" t="s">
        <v>306</v>
      </c>
    </row>
    <row r="181" spans="2:4" ht="15">
      <c r="B181">
        <v>179</v>
      </c>
      <c r="C181" s="185" t="s">
        <v>307</v>
      </c>
      <c r="D181" t="s">
        <v>308</v>
      </c>
    </row>
    <row r="182" spans="2:4" ht="15">
      <c r="B182">
        <v>180</v>
      </c>
      <c r="C182" s="185" t="s">
        <v>309</v>
      </c>
      <c r="D182" t="s">
        <v>310</v>
      </c>
    </row>
    <row r="183" spans="2:4" ht="15">
      <c r="B183">
        <v>181</v>
      </c>
      <c r="C183" s="185" t="s">
        <v>6</v>
      </c>
      <c r="D183" t="s">
        <v>6</v>
      </c>
    </row>
    <row r="184" spans="2:4" ht="15">
      <c r="B184">
        <v>182</v>
      </c>
      <c r="C184" s="185" t="s">
        <v>8</v>
      </c>
      <c r="D184" t="s">
        <v>8</v>
      </c>
    </row>
    <row r="185" spans="2:4" ht="15">
      <c r="B185">
        <v>183</v>
      </c>
      <c r="C185" s="185" t="s">
        <v>9</v>
      </c>
      <c r="D185" t="s">
        <v>37</v>
      </c>
    </row>
    <row r="186" spans="2:4" ht="15">
      <c r="B186">
        <v>184</v>
      </c>
      <c r="C186" t="s">
        <v>311</v>
      </c>
      <c r="D186" t="s">
        <v>312</v>
      </c>
    </row>
    <row r="187" spans="2:4" ht="15">
      <c r="B187">
        <v>185</v>
      </c>
      <c r="C187" t="s">
        <v>313</v>
      </c>
      <c r="D187" t="s">
        <v>314</v>
      </c>
    </row>
    <row r="188" spans="2:4" ht="15">
      <c r="B188">
        <v>186</v>
      </c>
      <c r="C188" t="s">
        <v>315</v>
      </c>
      <c r="D188" t="s">
        <v>316</v>
      </c>
    </row>
    <row r="189" spans="2:4" ht="15">
      <c r="B189">
        <v>187</v>
      </c>
      <c r="C189" t="s">
        <v>317</v>
      </c>
      <c r="D189" t="s">
        <v>268</v>
      </c>
    </row>
    <row r="190" spans="2:3" ht="15">
      <c r="B190">
        <v>188</v>
      </c>
      <c r="C190" s="211" t="s">
        <v>318</v>
      </c>
    </row>
    <row r="191" spans="2:3" ht="15">
      <c r="B191">
        <v>189</v>
      </c>
      <c r="C191" s="211" t="s">
        <v>319</v>
      </c>
    </row>
    <row r="192" spans="2:3" ht="15">
      <c r="B192">
        <v>190</v>
      </c>
      <c r="C192" s="211" t="s">
        <v>320</v>
      </c>
    </row>
    <row r="193" spans="2:4" ht="15">
      <c r="B193">
        <v>191</v>
      </c>
      <c r="C193" s="211" t="s">
        <v>202</v>
      </c>
      <c r="D193" t="s">
        <v>203</v>
      </c>
    </row>
    <row r="194" spans="2:3" ht="15">
      <c r="B194">
        <v>192</v>
      </c>
      <c r="C194" s="211" t="s">
        <v>204</v>
      </c>
    </row>
    <row r="195" spans="2:3" ht="15">
      <c r="B195">
        <v>193</v>
      </c>
      <c r="C195" s="211" t="s">
        <v>10</v>
      </c>
    </row>
    <row r="196" spans="2:3" ht="15">
      <c r="B196">
        <v>194</v>
      </c>
      <c r="C196" s="213" t="s">
        <v>209</v>
      </c>
    </row>
    <row r="197" spans="2:3" ht="15">
      <c r="B197">
        <v>195</v>
      </c>
      <c r="C197" s="211" t="s">
        <v>321</v>
      </c>
    </row>
    <row r="198" spans="2:3" ht="15">
      <c r="B198">
        <v>196</v>
      </c>
      <c r="C198" s="211" t="s">
        <v>322</v>
      </c>
    </row>
    <row r="199" spans="2:3" ht="15">
      <c r="B199">
        <v>197</v>
      </c>
      <c r="C199" s="211" t="s">
        <v>206</v>
      </c>
    </row>
    <row r="200" spans="2:3" ht="15">
      <c r="B200">
        <v>198</v>
      </c>
      <c r="C200" s="211" t="s">
        <v>198</v>
      </c>
    </row>
    <row r="201" spans="2:3" ht="15">
      <c r="B201">
        <v>199</v>
      </c>
      <c r="C201" s="211" t="s">
        <v>323</v>
      </c>
    </row>
    <row r="202" spans="2:3" ht="15">
      <c r="B202">
        <v>200</v>
      </c>
      <c r="C202" s="211" t="s">
        <v>196</v>
      </c>
    </row>
    <row r="203" spans="2:3" ht="15">
      <c r="B203">
        <v>201</v>
      </c>
      <c r="C203" s="211" t="s">
        <v>324</v>
      </c>
    </row>
    <row r="204" spans="2:3" ht="15">
      <c r="B204">
        <v>202</v>
      </c>
      <c r="C204" s="213" t="s">
        <v>325</v>
      </c>
    </row>
    <row r="205" spans="2:4" ht="15">
      <c r="B205">
        <v>203</v>
      </c>
      <c r="C205" s="211" t="s">
        <v>326</v>
      </c>
      <c r="D205" t="s">
        <v>327</v>
      </c>
    </row>
    <row r="206" spans="2:4" ht="15">
      <c r="B206">
        <v>204</v>
      </c>
      <c r="C206" s="211" t="s">
        <v>328</v>
      </c>
      <c r="D206" t="s">
        <v>328</v>
      </c>
    </row>
    <row r="207" spans="2:4" ht="15">
      <c r="B207">
        <v>205</v>
      </c>
      <c r="C207" s="211" t="s">
        <v>329</v>
      </c>
      <c r="D207" s="211" t="s">
        <v>330</v>
      </c>
    </row>
    <row r="208" spans="2:4" ht="15">
      <c r="B208">
        <v>206</v>
      </c>
      <c r="C208" t="s">
        <v>522</v>
      </c>
      <c r="D208" t="s">
        <v>523</v>
      </c>
    </row>
    <row r="209" spans="2:4" ht="15">
      <c r="B209">
        <v>207</v>
      </c>
      <c r="C209" t="s">
        <v>331</v>
      </c>
      <c r="D209" t="s">
        <v>332</v>
      </c>
    </row>
    <row r="210" spans="2:4" ht="15">
      <c r="B210">
        <v>208</v>
      </c>
      <c r="C210" s="211" t="s">
        <v>333</v>
      </c>
      <c r="D210" t="s">
        <v>334</v>
      </c>
    </row>
    <row r="211" spans="2:4" ht="15">
      <c r="B211">
        <v>209</v>
      </c>
      <c r="C211" s="211" t="s">
        <v>196</v>
      </c>
      <c r="D211" t="s">
        <v>197</v>
      </c>
    </row>
    <row r="212" spans="2:4" ht="15">
      <c r="B212">
        <v>210</v>
      </c>
      <c r="C212" s="211" t="s">
        <v>335</v>
      </c>
      <c r="D212" t="s">
        <v>336</v>
      </c>
    </row>
    <row r="213" spans="2:4" ht="15">
      <c r="B213">
        <v>211</v>
      </c>
      <c r="C213" s="211" t="s">
        <v>337</v>
      </c>
      <c r="D213" t="s">
        <v>361</v>
      </c>
    </row>
    <row r="214" spans="2:4" ht="15">
      <c r="B214">
        <v>212</v>
      </c>
      <c r="C214" s="211" t="s">
        <v>338</v>
      </c>
      <c r="D214" t="s">
        <v>339</v>
      </c>
    </row>
    <row r="215" spans="2:4" ht="15">
      <c r="B215">
        <v>213</v>
      </c>
      <c r="C215" s="211" t="s">
        <v>340</v>
      </c>
      <c r="D215" t="s">
        <v>341</v>
      </c>
    </row>
    <row r="216" spans="2:4" ht="15">
      <c r="B216">
        <v>214</v>
      </c>
      <c r="C216" s="211" t="s">
        <v>202</v>
      </c>
      <c r="D216" t="s">
        <v>203</v>
      </c>
    </row>
    <row r="217" spans="2:4" ht="15">
      <c r="B217">
        <v>215</v>
      </c>
      <c r="C217" s="211" t="s">
        <v>10</v>
      </c>
      <c r="D217" t="s">
        <v>342</v>
      </c>
    </row>
    <row r="218" spans="2:4" ht="15">
      <c r="B218">
        <v>216</v>
      </c>
      <c r="C218" s="211" t="s">
        <v>324</v>
      </c>
      <c r="D218" t="s">
        <v>343</v>
      </c>
    </row>
    <row r="219" spans="2:4" ht="15">
      <c r="B219">
        <v>217</v>
      </c>
      <c r="C219" s="211" t="s">
        <v>344</v>
      </c>
      <c r="D219" t="s">
        <v>327</v>
      </c>
    </row>
    <row r="220" spans="2:8" ht="15" customHeight="1">
      <c r="B220">
        <v>218</v>
      </c>
      <c r="C220" s="211" t="s">
        <v>345</v>
      </c>
      <c r="D220" s="211" t="s">
        <v>346</v>
      </c>
      <c r="E220" s="211"/>
      <c r="F220" s="211"/>
      <c r="G220" s="211"/>
      <c r="H220" s="211"/>
    </row>
    <row r="221" spans="2:4" ht="15" customHeight="1">
      <c r="B221">
        <v>219</v>
      </c>
      <c r="C221" t="s">
        <v>393</v>
      </c>
      <c r="D221" t="s">
        <v>347</v>
      </c>
    </row>
    <row r="222" spans="2:4" ht="15">
      <c r="B222">
        <v>220</v>
      </c>
      <c r="C222" t="s">
        <v>348</v>
      </c>
      <c r="D222" t="s">
        <v>349</v>
      </c>
    </row>
    <row r="223" spans="2:4" ht="15">
      <c r="B223">
        <v>221</v>
      </c>
      <c r="C223" t="s">
        <v>350</v>
      </c>
      <c r="D223" t="s">
        <v>351</v>
      </c>
    </row>
    <row r="224" spans="2:4" ht="15">
      <c r="B224">
        <v>222</v>
      </c>
      <c r="C224" t="s">
        <v>358</v>
      </c>
      <c r="D224" t="s">
        <v>358</v>
      </c>
    </row>
    <row r="225" spans="2:4" ht="15">
      <c r="B225">
        <v>223</v>
      </c>
      <c r="C225" t="s">
        <v>356</v>
      </c>
      <c r="D225" t="s">
        <v>357</v>
      </c>
    </row>
    <row r="226" spans="2:4" ht="15">
      <c r="B226">
        <v>224</v>
      </c>
      <c r="C226" t="s">
        <v>359</v>
      </c>
      <c r="D226" t="s">
        <v>360</v>
      </c>
    </row>
    <row r="227" spans="2:4" ht="15">
      <c r="B227">
        <v>225</v>
      </c>
      <c r="C227" t="s">
        <v>352</v>
      </c>
      <c r="D227" t="s">
        <v>353</v>
      </c>
    </row>
    <row r="228" spans="2:4" ht="15">
      <c r="B228">
        <v>226</v>
      </c>
      <c r="C228" t="s">
        <v>362</v>
      </c>
      <c r="D228" t="s">
        <v>363</v>
      </c>
    </row>
    <row r="229" spans="2:4" ht="15">
      <c r="B229">
        <v>227</v>
      </c>
      <c r="C229" s="233" t="s">
        <v>354</v>
      </c>
      <c r="D229" t="s">
        <v>355</v>
      </c>
    </row>
    <row r="230" spans="2:4" ht="15">
      <c r="B230">
        <v>228</v>
      </c>
      <c r="C230" t="s">
        <v>392</v>
      </c>
      <c r="D230" t="s">
        <v>364</v>
      </c>
    </row>
    <row r="231" spans="2:4" ht="15">
      <c r="B231">
        <v>229</v>
      </c>
      <c r="C231" t="s">
        <v>365</v>
      </c>
      <c r="D231" t="s">
        <v>366</v>
      </c>
    </row>
    <row r="232" spans="2:4" ht="15">
      <c r="B232">
        <v>230</v>
      </c>
      <c r="C232" s="213" t="s">
        <v>15</v>
      </c>
      <c r="D232" t="s">
        <v>16</v>
      </c>
    </row>
    <row r="233" spans="2:4" ht="15">
      <c r="B233">
        <v>231</v>
      </c>
      <c r="C233" s="211" t="s">
        <v>367</v>
      </c>
      <c r="D233" t="s">
        <v>368</v>
      </c>
    </row>
    <row r="234" spans="2:4" ht="15">
      <c r="B234">
        <v>232</v>
      </c>
      <c r="C234" s="211" t="s">
        <v>24</v>
      </c>
      <c r="D234" t="s">
        <v>25</v>
      </c>
    </row>
    <row r="235" spans="2:4" ht="15">
      <c r="B235">
        <v>233</v>
      </c>
      <c r="C235" s="211" t="s">
        <v>369</v>
      </c>
      <c r="D235" t="s">
        <v>370</v>
      </c>
    </row>
    <row r="236" spans="2:4" ht="15">
      <c r="B236">
        <v>234</v>
      </c>
      <c r="C236" s="211" t="s">
        <v>371</v>
      </c>
      <c r="D236" t="s">
        <v>372</v>
      </c>
    </row>
    <row r="237" spans="2:4" ht="15">
      <c r="B237">
        <v>235</v>
      </c>
      <c r="C237" s="211" t="s">
        <v>30</v>
      </c>
      <c r="D237" t="s">
        <v>30</v>
      </c>
    </row>
    <row r="238" spans="2:4" ht="15">
      <c r="B238">
        <v>236</v>
      </c>
      <c r="C238" s="211" t="s">
        <v>373</v>
      </c>
      <c r="D238" t="s">
        <v>374</v>
      </c>
    </row>
    <row r="239" spans="2:4" ht="15">
      <c r="B239">
        <v>237</v>
      </c>
      <c r="C239" s="211" t="s">
        <v>32</v>
      </c>
      <c r="D239" t="s">
        <v>32</v>
      </c>
    </row>
    <row r="240" spans="2:4" ht="15">
      <c r="B240">
        <v>238</v>
      </c>
      <c r="C240" s="211" t="s">
        <v>375</v>
      </c>
      <c r="D240" t="s">
        <v>36</v>
      </c>
    </row>
    <row r="241" spans="2:4" ht="15">
      <c r="B241">
        <v>239</v>
      </c>
      <c r="C241" s="211" t="s">
        <v>376</v>
      </c>
      <c r="D241" t="s">
        <v>377</v>
      </c>
    </row>
    <row r="242" spans="2:4" ht="15">
      <c r="B242">
        <v>240</v>
      </c>
      <c r="C242" s="211" t="s">
        <v>378</v>
      </c>
      <c r="D242" t="s">
        <v>379</v>
      </c>
    </row>
    <row r="243" spans="2:4" ht="15">
      <c r="B243">
        <v>241</v>
      </c>
      <c r="C243" s="211" t="s">
        <v>380</v>
      </c>
      <c r="D243" t="s">
        <v>381</v>
      </c>
    </row>
    <row r="244" spans="2:4" ht="15">
      <c r="B244">
        <v>242</v>
      </c>
      <c r="C244" s="211" t="s">
        <v>382</v>
      </c>
      <c r="D244" t="s">
        <v>383</v>
      </c>
    </row>
    <row r="245" spans="2:4" ht="15">
      <c r="B245">
        <v>243</v>
      </c>
      <c r="C245" t="s">
        <v>384</v>
      </c>
      <c r="D245" t="s">
        <v>385</v>
      </c>
    </row>
    <row r="246" spans="2:4" ht="15">
      <c r="B246">
        <v>244</v>
      </c>
      <c r="C246" t="s">
        <v>386</v>
      </c>
      <c r="D246" t="s">
        <v>387</v>
      </c>
    </row>
    <row r="247" spans="2:4" ht="15.75">
      <c r="B247">
        <v>245</v>
      </c>
      <c r="C247" s="230" t="s">
        <v>388</v>
      </c>
      <c r="D247" s="230" t="s">
        <v>389</v>
      </c>
    </row>
    <row r="248" spans="2:4" ht="15">
      <c r="B248">
        <v>246</v>
      </c>
      <c r="C248" s="211" t="s">
        <v>390</v>
      </c>
      <c r="D248" t="s">
        <v>390</v>
      </c>
    </row>
    <row r="249" spans="2:4" ht="15">
      <c r="B249">
        <v>247</v>
      </c>
      <c r="C249" t="s">
        <v>394</v>
      </c>
      <c r="D249" t="s">
        <v>395</v>
      </c>
    </row>
    <row r="250" spans="2:4" ht="15">
      <c r="B250">
        <v>248</v>
      </c>
      <c r="C250" t="s">
        <v>396</v>
      </c>
      <c r="D250" t="s">
        <v>397</v>
      </c>
    </row>
    <row r="251" spans="2:4" ht="15">
      <c r="B251">
        <v>249</v>
      </c>
      <c r="C251" t="s">
        <v>398</v>
      </c>
      <c r="D251" t="s">
        <v>399</v>
      </c>
    </row>
    <row r="252" spans="2:4" ht="15">
      <c r="B252">
        <v>250</v>
      </c>
      <c r="C252" t="s">
        <v>400</v>
      </c>
      <c r="D252" t="s">
        <v>401</v>
      </c>
    </row>
    <row r="253" spans="2:4" ht="15">
      <c r="B253">
        <v>251</v>
      </c>
      <c r="C253" t="s">
        <v>402</v>
      </c>
      <c r="D253" t="s">
        <v>403</v>
      </c>
    </row>
    <row r="254" spans="2:4" ht="15">
      <c r="B254">
        <v>252</v>
      </c>
      <c r="C254" t="s">
        <v>404</v>
      </c>
      <c r="D254" t="s">
        <v>405</v>
      </c>
    </row>
    <row r="255" spans="2:4" ht="15">
      <c r="B255">
        <v>253</v>
      </c>
      <c r="C255" t="s">
        <v>406</v>
      </c>
      <c r="D255" t="s">
        <v>407</v>
      </c>
    </row>
    <row r="256" spans="2:4" ht="15">
      <c r="B256">
        <v>254</v>
      </c>
      <c r="C256" t="s">
        <v>408</v>
      </c>
      <c r="D256" t="s">
        <v>409</v>
      </c>
    </row>
    <row r="257" spans="2:4" ht="15">
      <c r="B257">
        <v>255</v>
      </c>
      <c r="C257" t="s">
        <v>422</v>
      </c>
      <c r="D257" t="s">
        <v>410</v>
      </c>
    </row>
    <row r="258" spans="2:4" ht="15">
      <c r="B258">
        <v>256</v>
      </c>
      <c r="C258" t="s">
        <v>548</v>
      </c>
      <c r="D258" t="s">
        <v>549</v>
      </c>
    </row>
    <row r="259" spans="2:4" ht="15">
      <c r="B259">
        <v>257</v>
      </c>
      <c r="C259" t="s">
        <v>421</v>
      </c>
      <c r="D259" t="s">
        <v>423</v>
      </c>
    </row>
    <row r="260" spans="2:4" ht="15">
      <c r="B260">
        <v>258</v>
      </c>
      <c r="C260" t="s">
        <v>418</v>
      </c>
      <c r="D260" t="s">
        <v>419</v>
      </c>
    </row>
    <row r="261" spans="2:4" ht="15">
      <c r="B261">
        <v>259</v>
      </c>
      <c r="C261" t="s">
        <v>424</v>
      </c>
      <c r="D261" t="s">
        <v>425</v>
      </c>
    </row>
    <row r="262" spans="2:4" ht="15">
      <c r="B262">
        <v>260</v>
      </c>
      <c r="C262" t="s">
        <v>426</v>
      </c>
      <c r="D262" t="s">
        <v>427</v>
      </c>
    </row>
    <row r="263" spans="2:4" ht="15">
      <c r="B263">
        <v>261</v>
      </c>
      <c r="C263" t="s">
        <v>428</v>
      </c>
      <c r="D263" t="s">
        <v>429</v>
      </c>
    </row>
    <row r="264" spans="2:4" ht="15">
      <c r="B264">
        <v>262</v>
      </c>
      <c r="C264" t="s">
        <v>430</v>
      </c>
      <c r="D264" t="s">
        <v>431</v>
      </c>
    </row>
    <row r="265" spans="2:4" ht="15">
      <c r="B265">
        <v>263</v>
      </c>
      <c r="C265" t="s">
        <v>432</v>
      </c>
      <c r="D265" t="s">
        <v>433</v>
      </c>
    </row>
    <row r="266" spans="2:4" ht="15">
      <c r="B266">
        <v>264</v>
      </c>
      <c r="C266" t="s">
        <v>445</v>
      </c>
      <c r="D266" t="s">
        <v>446</v>
      </c>
    </row>
    <row r="267" spans="2:4" ht="15" customHeight="1">
      <c r="B267">
        <v>265</v>
      </c>
      <c r="C267" t="s">
        <v>434</v>
      </c>
      <c r="D267" t="s">
        <v>435</v>
      </c>
    </row>
    <row r="268" spans="2:4" ht="15">
      <c r="B268">
        <v>266</v>
      </c>
      <c r="C268" t="s">
        <v>444</v>
      </c>
      <c r="D268" t="s">
        <v>443</v>
      </c>
    </row>
    <row r="269" spans="2:4" ht="15">
      <c r="B269">
        <v>267</v>
      </c>
      <c r="C269" t="s">
        <v>436</v>
      </c>
      <c r="D269" t="s">
        <v>437</v>
      </c>
    </row>
    <row r="270" spans="2:4" ht="15">
      <c r="B270">
        <v>268</v>
      </c>
      <c r="C270" t="s">
        <v>447</v>
      </c>
      <c r="D270" t="s">
        <v>438</v>
      </c>
    </row>
    <row r="271" spans="2:4" ht="15">
      <c r="B271">
        <v>269</v>
      </c>
      <c r="C271" t="s">
        <v>440</v>
      </c>
      <c r="D271" t="s">
        <v>439</v>
      </c>
    </row>
    <row r="272" spans="2:4" ht="15">
      <c r="B272">
        <v>270</v>
      </c>
      <c r="C272" t="s">
        <v>442</v>
      </c>
      <c r="D272" t="s">
        <v>441</v>
      </c>
    </row>
    <row r="273" spans="2:4" ht="15">
      <c r="B273">
        <v>271</v>
      </c>
      <c r="C273" t="s">
        <v>448</v>
      </c>
      <c r="D273" t="s">
        <v>449</v>
      </c>
    </row>
    <row r="274" spans="2:4" ht="15">
      <c r="B274">
        <v>272</v>
      </c>
      <c r="C274" t="s">
        <v>450</v>
      </c>
      <c r="D274" t="s">
        <v>451</v>
      </c>
    </row>
    <row r="275" spans="2:4" ht="15">
      <c r="B275">
        <v>273</v>
      </c>
      <c r="C275" s="276" t="s">
        <v>452</v>
      </c>
      <c r="D275" s="276" t="s">
        <v>453</v>
      </c>
    </row>
    <row r="276" spans="2:4" ht="15.75">
      <c r="B276">
        <v>274</v>
      </c>
      <c r="C276" s="277" t="s">
        <v>550</v>
      </c>
      <c r="D276" t="s">
        <v>454</v>
      </c>
    </row>
    <row r="277" spans="2:4" ht="15">
      <c r="B277">
        <v>275</v>
      </c>
      <c r="C277" s="277" t="s">
        <v>455</v>
      </c>
      <c r="D277" t="s">
        <v>456</v>
      </c>
    </row>
    <row r="278" spans="2:4" ht="15">
      <c r="B278">
        <v>276</v>
      </c>
      <c r="C278" s="277" t="s">
        <v>457</v>
      </c>
      <c r="D278" t="s">
        <v>458</v>
      </c>
    </row>
    <row r="279" spans="2:4" ht="15">
      <c r="B279">
        <v>277</v>
      </c>
      <c r="C279" s="277" t="s">
        <v>459</v>
      </c>
      <c r="D279" t="s">
        <v>460</v>
      </c>
    </row>
    <row r="280" spans="2:4" ht="15">
      <c r="B280">
        <v>278</v>
      </c>
      <c r="C280" s="277" t="s">
        <v>461</v>
      </c>
      <c r="D280" t="s">
        <v>462</v>
      </c>
    </row>
    <row r="281" spans="2:4" ht="15">
      <c r="B281">
        <v>279</v>
      </c>
      <c r="C281" s="277" t="s">
        <v>463</v>
      </c>
      <c r="D281" t="s">
        <v>464</v>
      </c>
    </row>
    <row r="282" spans="2:4" ht="15.75">
      <c r="B282">
        <v>280</v>
      </c>
      <c r="C282" s="230" t="s">
        <v>465</v>
      </c>
      <c r="D282" s="230" t="s">
        <v>465</v>
      </c>
    </row>
    <row r="283" spans="2:4" ht="15">
      <c r="B283">
        <v>281</v>
      </c>
      <c r="C283" s="277" t="s">
        <v>466</v>
      </c>
      <c r="D283" t="s">
        <v>467</v>
      </c>
    </row>
    <row r="284" spans="2:4" ht="15.75">
      <c r="B284">
        <v>282</v>
      </c>
      <c r="C284" s="230" t="s">
        <v>468</v>
      </c>
      <c r="D284" t="s">
        <v>469</v>
      </c>
    </row>
    <row r="285" spans="2:4" ht="15.75">
      <c r="B285">
        <v>283</v>
      </c>
      <c r="C285" s="230" t="s">
        <v>35</v>
      </c>
      <c r="D285" s="230" t="s">
        <v>524</v>
      </c>
    </row>
    <row r="286" spans="2:4" ht="15.75">
      <c r="B286">
        <v>284</v>
      </c>
      <c r="C286" s="230" t="s">
        <v>470</v>
      </c>
      <c r="D286" t="s">
        <v>471</v>
      </c>
    </row>
    <row r="287" spans="2:4" ht="15.75">
      <c r="B287">
        <v>285</v>
      </c>
      <c r="C287" s="230" t="s">
        <v>472</v>
      </c>
      <c r="D287" s="211" t="s">
        <v>473</v>
      </c>
    </row>
    <row r="288" spans="2:4" ht="15.75">
      <c r="B288">
        <v>286</v>
      </c>
      <c r="C288" s="230" t="s">
        <v>474</v>
      </c>
      <c r="D288" s="211" t="s">
        <v>475</v>
      </c>
    </row>
    <row r="289" spans="2:4" ht="15.75">
      <c r="B289">
        <v>287</v>
      </c>
      <c r="C289" s="230" t="s">
        <v>476</v>
      </c>
      <c r="D289" s="213" t="s">
        <v>477</v>
      </c>
    </row>
    <row r="290" spans="2:4" ht="15.75">
      <c r="B290">
        <v>288</v>
      </c>
      <c r="C290" s="230" t="s">
        <v>478</v>
      </c>
      <c r="D290" s="213" t="s">
        <v>479</v>
      </c>
    </row>
    <row r="291" spans="2:4" ht="15.75">
      <c r="B291">
        <v>289</v>
      </c>
      <c r="C291" s="230" t="s">
        <v>480</v>
      </c>
      <c r="D291" s="211" t="s">
        <v>481</v>
      </c>
    </row>
    <row r="292" spans="2:4" ht="15.75">
      <c r="B292">
        <v>290</v>
      </c>
      <c r="C292" s="230" t="s">
        <v>482</v>
      </c>
      <c r="D292" s="211" t="s">
        <v>483</v>
      </c>
    </row>
    <row r="293" spans="2:4" ht="15.75">
      <c r="B293">
        <v>291</v>
      </c>
      <c r="C293" s="230" t="s">
        <v>484</v>
      </c>
      <c r="D293" s="213" t="s">
        <v>485</v>
      </c>
    </row>
    <row r="294" spans="2:4" ht="15.75">
      <c r="B294">
        <v>292</v>
      </c>
      <c r="C294" s="230" t="s">
        <v>486</v>
      </c>
      <c r="D294" s="211" t="s">
        <v>487</v>
      </c>
    </row>
    <row r="295" spans="2:4" ht="15.75">
      <c r="B295">
        <v>293</v>
      </c>
      <c r="C295" s="230" t="s">
        <v>488</v>
      </c>
      <c r="D295" s="211" t="s">
        <v>489</v>
      </c>
    </row>
    <row r="296" spans="2:4" ht="15.75">
      <c r="B296">
        <v>294</v>
      </c>
      <c r="C296" s="230" t="s">
        <v>490</v>
      </c>
      <c r="D296" s="213" t="s">
        <v>491</v>
      </c>
    </row>
    <row r="297" spans="2:4" ht="15.75">
      <c r="B297">
        <v>295</v>
      </c>
      <c r="C297" s="230" t="s">
        <v>492</v>
      </c>
      <c r="D297" s="230" t="s">
        <v>493</v>
      </c>
    </row>
    <row r="298" spans="2:4" ht="15">
      <c r="B298">
        <v>296</v>
      </c>
      <c r="C298" s="211" t="s">
        <v>494</v>
      </c>
      <c r="D298" t="s">
        <v>495</v>
      </c>
    </row>
    <row r="299" spans="2:11" ht="15">
      <c r="B299">
        <v>297</v>
      </c>
      <c r="C299" t="s">
        <v>528</v>
      </c>
      <c r="D299" t="s">
        <v>529</v>
      </c>
      <c r="E299" s="278"/>
      <c r="F299" s="278"/>
      <c r="G299" s="278"/>
      <c r="H299" s="278"/>
      <c r="I299" s="278"/>
      <c r="J299" s="278"/>
      <c r="K299" s="278"/>
    </row>
    <row r="300" spans="2:4" ht="15">
      <c r="B300">
        <v>298</v>
      </c>
      <c r="C300" t="s">
        <v>502</v>
      </c>
      <c r="D300" t="s">
        <v>503</v>
      </c>
    </row>
    <row r="301" spans="2:4" ht="15.75">
      <c r="B301">
        <v>299</v>
      </c>
      <c r="C301" s="230" t="s">
        <v>496</v>
      </c>
      <c r="D301" t="s">
        <v>497</v>
      </c>
    </row>
    <row r="302" spans="2:4" ht="15.75">
      <c r="B302">
        <v>300</v>
      </c>
      <c r="C302" s="230" t="s">
        <v>498</v>
      </c>
      <c r="D302" s="230" t="s">
        <v>499</v>
      </c>
    </row>
    <row r="303" spans="2:4" ht="15">
      <c r="B303">
        <v>301</v>
      </c>
      <c r="C303" t="s">
        <v>500</v>
      </c>
      <c r="D303" t="s">
        <v>501</v>
      </c>
    </row>
    <row r="304" spans="2:4" ht="15">
      <c r="B304">
        <v>302</v>
      </c>
      <c r="C304" t="s">
        <v>504</v>
      </c>
      <c r="D304" t="s">
        <v>505</v>
      </c>
    </row>
    <row r="305" spans="2:4" ht="15.75">
      <c r="B305">
        <v>303</v>
      </c>
      <c r="C305" s="282" t="s">
        <v>506</v>
      </c>
      <c r="D305" s="282" t="s">
        <v>507</v>
      </c>
    </row>
    <row r="306" spans="2:4" ht="15.75">
      <c r="B306">
        <v>304</v>
      </c>
      <c r="C306" s="277" t="s">
        <v>551</v>
      </c>
      <c r="D306" t="s">
        <v>508</v>
      </c>
    </row>
    <row r="307" spans="2:4" ht="15">
      <c r="B307">
        <v>305</v>
      </c>
      <c r="C307" t="s">
        <v>509</v>
      </c>
      <c r="D307" t="s">
        <v>510</v>
      </c>
    </row>
    <row r="308" spans="2:4" ht="15">
      <c r="B308">
        <v>306</v>
      </c>
      <c r="C308" t="s">
        <v>511</v>
      </c>
      <c r="D308" t="s">
        <v>512</v>
      </c>
    </row>
    <row r="309" spans="2:4" ht="15">
      <c r="B309">
        <v>307</v>
      </c>
      <c r="C309" t="s">
        <v>513</v>
      </c>
      <c r="D309" t="s">
        <v>514</v>
      </c>
    </row>
    <row r="310" spans="2:4" ht="15">
      <c r="B310">
        <v>308</v>
      </c>
      <c r="C310" t="s">
        <v>515</v>
      </c>
      <c r="D310" t="s">
        <v>516</v>
      </c>
    </row>
    <row r="311" spans="2:4" ht="15.75">
      <c r="B311">
        <v>309</v>
      </c>
      <c r="C311" s="277" t="s">
        <v>552</v>
      </c>
      <c r="D311" t="s">
        <v>517</v>
      </c>
    </row>
    <row r="312" spans="2:4" ht="15.75">
      <c r="B312">
        <v>310</v>
      </c>
      <c r="C312" s="277" t="s">
        <v>553</v>
      </c>
      <c r="D312" t="s">
        <v>518</v>
      </c>
    </row>
    <row r="313" spans="2:4" ht="15">
      <c r="B313">
        <v>311</v>
      </c>
      <c r="C313" t="s">
        <v>530</v>
      </c>
      <c r="D313" t="s">
        <v>531</v>
      </c>
    </row>
    <row r="314" spans="2:4" ht="15">
      <c r="B314">
        <v>312</v>
      </c>
      <c r="C314" t="s">
        <v>525</v>
      </c>
      <c r="D314" t="s">
        <v>526</v>
      </c>
    </row>
    <row r="315" spans="2:4" ht="15">
      <c r="B315">
        <v>313</v>
      </c>
      <c r="C315" t="s">
        <v>532</v>
      </c>
      <c r="D315" t="s">
        <v>554</v>
      </c>
    </row>
    <row r="316" spans="2:4" ht="15">
      <c r="B316">
        <v>314</v>
      </c>
      <c r="C316" t="s">
        <v>533</v>
      </c>
      <c r="D316" t="s">
        <v>534</v>
      </c>
    </row>
    <row r="317" spans="2:4" ht="15">
      <c r="B317">
        <v>315</v>
      </c>
      <c r="C317" t="s">
        <v>535</v>
      </c>
      <c r="D317" t="s">
        <v>536</v>
      </c>
    </row>
    <row r="318" spans="2:4" ht="15">
      <c r="B318">
        <v>316</v>
      </c>
      <c r="C318" t="s">
        <v>537</v>
      </c>
      <c r="D318" t="s">
        <v>538</v>
      </c>
    </row>
    <row r="319" spans="2:4" ht="15">
      <c r="B319">
        <v>317</v>
      </c>
      <c r="C319" t="s">
        <v>539</v>
      </c>
      <c r="D319" t="s">
        <v>540</v>
      </c>
    </row>
    <row r="320" spans="2:4" ht="15">
      <c r="B320">
        <v>318</v>
      </c>
      <c r="C320" t="s">
        <v>519</v>
      </c>
      <c r="D320" t="s">
        <v>503</v>
      </c>
    </row>
    <row r="321" spans="2:4" ht="15">
      <c r="B321">
        <v>319</v>
      </c>
      <c r="C321" t="s">
        <v>541</v>
      </c>
      <c r="D321" t="s">
        <v>542</v>
      </c>
    </row>
    <row r="322" spans="2:4" ht="15">
      <c r="B322">
        <v>320</v>
      </c>
      <c r="C322" t="s">
        <v>543</v>
      </c>
      <c r="D322" t="s">
        <v>544</v>
      </c>
    </row>
    <row r="1000" ht="15">
      <c r="A1000" t="s">
        <v>391</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7" width="11.421875" style="31" customWidth="1"/>
    <col min="8" max="9" width="0" style="31" hidden="1" customWidth="1"/>
    <col min="10"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50">
        <v>33.682</v>
      </c>
      <c r="C8" s="50">
        <v>33.482</v>
      </c>
      <c r="D8" s="50">
        <v>32.52799999999999</v>
      </c>
      <c r="E8" s="268">
        <v>28.72499999999999</v>
      </c>
      <c r="F8" s="50">
        <v>29.358</v>
      </c>
      <c r="G8" s="50">
        <v>31.427000000000003</v>
      </c>
      <c r="H8" s="50">
        <v>0</v>
      </c>
      <c r="I8" s="50">
        <v>0</v>
      </c>
    </row>
    <row r="9" spans="1:9" ht="15">
      <c r="A9" s="43" t="str">
        <f>HLOOKUP(INDICE!$F$2,Nombres!$C$3:$D$636,34,FALSE)</f>
        <v>Comisiones netas</v>
      </c>
      <c r="B9" s="44">
        <v>5</v>
      </c>
      <c r="C9" s="44">
        <v>3.191</v>
      </c>
      <c r="D9" s="44">
        <v>3.9139999999999993</v>
      </c>
      <c r="E9" s="45">
        <v>26.009999999999998</v>
      </c>
      <c r="F9" s="44">
        <v>9.203999999999999</v>
      </c>
      <c r="G9" s="44">
        <v>8.028000000000002</v>
      </c>
      <c r="H9" s="44">
        <v>0</v>
      </c>
      <c r="I9" s="44">
        <v>0</v>
      </c>
    </row>
    <row r="10" spans="1:9" ht="15">
      <c r="A10" s="43" t="str">
        <f>HLOOKUP(INDICE!$F$2,Nombres!$C$3:$D$636,35,FALSE)</f>
        <v>Resultados de operaciones financieras</v>
      </c>
      <c r="B10" s="44">
        <v>1.4220000000000002</v>
      </c>
      <c r="C10" s="44">
        <v>1.581</v>
      </c>
      <c r="D10" s="44">
        <v>1.4719999999999998</v>
      </c>
      <c r="E10" s="45">
        <v>1.2320000000000007</v>
      </c>
      <c r="F10" s="44">
        <v>1.8659999999999999</v>
      </c>
      <c r="G10" s="44">
        <v>2.353</v>
      </c>
      <c r="H10" s="44">
        <v>0</v>
      </c>
      <c r="I10" s="44">
        <v>0</v>
      </c>
    </row>
    <row r="11" spans="1:9" ht="15">
      <c r="A11" s="43" t="str">
        <f>HLOOKUP(INDICE!$F$2,Nombres!$C$3:$D$636,36,FALSE)</f>
        <v>Otros ingresos y cargas de explotación</v>
      </c>
      <c r="B11" s="44">
        <v>-0.11699999999999999</v>
      </c>
      <c r="C11" s="44">
        <v>-0.206</v>
      </c>
      <c r="D11" s="44">
        <v>-0.21999999999999997</v>
      </c>
      <c r="E11" s="45">
        <v>-0.44000000000000006</v>
      </c>
      <c r="F11" s="44">
        <v>-0.365</v>
      </c>
      <c r="G11" s="44">
        <v>-0.2789999999999999</v>
      </c>
      <c r="H11" s="44">
        <v>0</v>
      </c>
      <c r="I11" s="44">
        <v>0</v>
      </c>
    </row>
    <row r="12" spans="1:9" ht="15">
      <c r="A12" s="41" t="str">
        <f>HLOOKUP(INDICE!$F$2,Nombres!$C$3:$D$636,37,FALSE)</f>
        <v>Margen bruto</v>
      </c>
      <c r="B12" s="50">
        <f aca="true" t="shared" si="0" ref="B12:I12">+SUM(B8:B11)</f>
        <v>39.987</v>
      </c>
      <c r="C12" s="50">
        <f t="shared" si="0"/>
        <v>38.048</v>
      </c>
      <c r="D12" s="50">
        <f t="shared" si="0"/>
        <v>37.693999999999996</v>
      </c>
      <c r="E12" s="268">
        <f t="shared" si="0"/>
        <v>55.52699999999999</v>
      </c>
      <c r="F12" s="50">
        <f t="shared" si="0"/>
        <v>40.062999999999995</v>
      </c>
      <c r="G12" s="50">
        <f t="shared" si="0"/>
        <v>41.52900000000001</v>
      </c>
      <c r="H12" s="50">
        <f t="shared" si="0"/>
        <v>0</v>
      </c>
      <c r="I12" s="50">
        <f t="shared" si="0"/>
        <v>0</v>
      </c>
    </row>
    <row r="13" spans="1:9" ht="15">
      <c r="A13" s="43" t="str">
        <f>HLOOKUP(INDICE!$F$2,Nombres!$C$3:$D$636,38,FALSE)</f>
        <v>Gastos de explotación</v>
      </c>
      <c r="B13" s="44">
        <v>-12.910109000000002</v>
      </c>
      <c r="C13" s="44">
        <v>-13.933108</v>
      </c>
      <c r="D13" s="44">
        <v>-15.075778619999998</v>
      </c>
      <c r="E13" s="45">
        <v>-22.772778609999996</v>
      </c>
      <c r="F13" s="44">
        <v>-15.781002</v>
      </c>
      <c r="G13" s="44">
        <v>-15.614002000000001</v>
      </c>
      <c r="H13" s="44">
        <v>0</v>
      </c>
      <c r="I13" s="44">
        <v>0</v>
      </c>
    </row>
    <row r="14" spans="1:9" ht="15">
      <c r="A14" s="43" t="str">
        <f>HLOOKUP(INDICE!$F$2,Nombres!$C$3:$D$636,39,FALSE)</f>
        <v>  Gastos de administración</v>
      </c>
      <c r="B14" s="44">
        <v>-11.585109</v>
      </c>
      <c r="C14" s="44">
        <v>-12.615108</v>
      </c>
      <c r="D14" s="44">
        <v>-13.81577862</v>
      </c>
      <c r="E14" s="45">
        <v>-21.872778609999997</v>
      </c>
      <c r="F14" s="44">
        <v>-14.463002</v>
      </c>
      <c r="G14" s="44">
        <v>-14.244002</v>
      </c>
      <c r="H14" s="44">
        <v>0</v>
      </c>
      <c r="I14" s="44">
        <v>0</v>
      </c>
    </row>
    <row r="15" spans="1:9" ht="15">
      <c r="A15" s="46" t="str">
        <f>HLOOKUP(INDICE!$F$2,Nombres!$C$3:$D$636,40,FALSE)</f>
        <v>  Gastos de personal</v>
      </c>
      <c r="B15" s="44">
        <v>-5.876999999999999</v>
      </c>
      <c r="C15" s="44">
        <v>-5.970000000000001</v>
      </c>
      <c r="D15" s="44">
        <v>-6.629999999999999</v>
      </c>
      <c r="E15" s="45">
        <v>-6.361000000000001</v>
      </c>
      <c r="F15" s="44">
        <v>-6.842999999999999</v>
      </c>
      <c r="G15" s="44">
        <v>-7.021</v>
      </c>
      <c r="H15" s="44">
        <v>0</v>
      </c>
      <c r="I15" s="44">
        <v>0</v>
      </c>
    </row>
    <row r="16" spans="1:9" ht="15">
      <c r="A16" s="46" t="str">
        <f>HLOOKUP(INDICE!$F$2,Nombres!$C$3:$D$636,41,FALSE)</f>
        <v>  Otros gastos de administración</v>
      </c>
      <c r="B16" s="44">
        <v>-5.708109</v>
      </c>
      <c r="C16" s="44">
        <v>-6.645108</v>
      </c>
      <c r="D16" s="44">
        <v>-7.185778619999999</v>
      </c>
      <c r="E16" s="45">
        <v>-15.511778609999999</v>
      </c>
      <c r="F16" s="44">
        <v>-7.620002</v>
      </c>
      <c r="G16" s="44">
        <v>-7.223001999999999</v>
      </c>
      <c r="H16" s="44">
        <v>0</v>
      </c>
      <c r="I16" s="44">
        <v>0</v>
      </c>
    </row>
    <row r="17" spans="1:9" ht="15">
      <c r="A17" s="43" t="str">
        <f>HLOOKUP(INDICE!$F$2,Nombres!$C$3:$D$636,42,FALSE)</f>
        <v>  Amortización</v>
      </c>
      <c r="B17" s="44">
        <v>-1.3250000000000002</v>
      </c>
      <c r="C17" s="44">
        <v>-1.318</v>
      </c>
      <c r="D17" s="44">
        <v>-1.2600000000000002</v>
      </c>
      <c r="E17" s="45">
        <v>-0.9000000000000001</v>
      </c>
      <c r="F17" s="44">
        <v>-1.318</v>
      </c>
      <c r="G17" s="44">
        <v>-1.3699999999999999</v>
      </c>
      <c r="H17" s="44">
        <v>0</v>
      </c>
      <c r="I17" s="44">
        <v>0</v>
      </c>
    </row>
    <row r="18" spans="1:9" ht="15">
      <c r="A18" s="41" t="str">
        <f>HLOOKUP(INDICE!$F$2,Nombres!$C$3:$D$636,43,FALSE)</f>
        <v>Margen neto</v>
      </c>
      <c r="B18" s="50">
        <f aca="true" t="shared" si="1" ref="B18:G18">+B12+B13</f>
        <v>27.076891</v>
      </c>
      <c r="C18" s="50">
        <f t="shared" si="1"/>
        <v>24.114892</v>
      </c>
      <c r="D18" s="50">
        <f t="shared" si="1"/>
        <v>22.618221379999998</v>
      </c>
      <c r="E18" s="268">
        <f t="shared" si="1"/>
        <v>32.75422138999999</v>
      </c>
      <c r="F18" s="50">
        <f t="shared" si="1"/>
        <v>24.281997999999994</v>
      </c>
      <c r="G18" s="50">
        <f t="shared" si="1"/>
        <v>25.91499800000001</v>
      </c>
      <c r="H18" s="50">
        <f>+H12+H13</f>
        <v>0</v>
      </c>
      <c r="I18" s="50">
        <f>+I12+I13</f>
        <v>0</v>
      </c>
    </row>
    <row r="19" spans="1:9" ht="15">
      <c r="A19" s="43" t="str">
        <f>HLOOKUP(INDICE!$F$2,Nombres!$C$3:$D$636,44,FALSE)</f>
        <v>Deterioro de activos financieros no valorados a valor razonable con cambios en resultados</v>
      </c>
      <c r="B19" s="44">
        <v>-3.9930000000000003</v>
      </c>
      <c r="C19" s="44">
        <v>-10.717000000000002</v>
      </c>
      <c r="D19" s="44">
        <v>-7.6979999999999995</v>
      </c>
      <c r="E19" s="45">
        <v>-34.122</v>
      </c>
      <c r="F19" s="44">
        <v>-21.72</v>
      </c>
      <c r="G19" s="44">
        <v>-18.352</v>
      </c>
      <c r="H19" s="44">
        <v>0</v>
      </c>
      <c r="I19" s="44">
        <v>0</v>
      </c>
    </row>
    <row r="20" spans="1:9" ht="15">
      <c r="A20" s="43" t="str">
        <f>HLOOKUP(INDICE!$F$2,Nombres!$C$3:$D$636,45,FALSE)</f>
        <v>Provisiones o reversión de provisiones y otros resultados</v>
      </c>
      <c r="B20" s="44">
        <v>0.132</v>
      </c>
      <c r="C20" s="44">
        <v>0.02599999999999998</v>
      </c>
      <c r="D20" s="44">
        <v>-0.11199999999999999</v>
      </c>
      <c r="E20" s="45">
        <v>-0.653</v>
      </c>
      <c r="F20" s="44">
        <v>-0.41200000000000003</v>
      </c>
      <c r="G20" s="44">
        <v>-0.22799999999999998</v>
      </c>
      <c r="H20" s="44">
        <v>0</v>
      </c>
      <c r="I20" s="44">
        <v>0</v>
      </c>
    </row>
    <row r="21" spans="1:9" ht="15">
      <c r="A21" s="41" t="str">
        <f>HLOOKUP(INDICE!$F$2,Nombres!$C$3:$D$636,46,FALSE)</f>
        <v>Resultado antes de impuestos</v>
      </c>
      <c r="B21" s="50">
        <f aca="true" t="shared" si="2" ref="B21:G21">+B18+B19+B20</f>
        <v>23.215891000000003</v>
      </c>
      <c r="C21" s="50">
        <f t="shared" si="2"/>
        <v>13.423891999999999</v>
      </c>
      <c r="D21" s="50">
        <f t="shared" si="2"/>
        <v>14.808221379999997</v>
      </c>
      <c r="E21" s="268">
        <f t="shared" si="2"/>
        <v>-2.020778610000009</v>
      </c>
      <c r="F21" s="50">
        <f t="shared" si="2"/>
        <v>2.1499979999999956</v>
      </c>
      <c r="G21" s="50">
        <f t="shared" si="2"/>
        <v>7.334998000000011</v>
      </c>
      <c r="H21" s="50">
        <f>+H18+H19+H20</f>
        <v>0</v>
      </c>
      <c r="I21" s="50">
        <f>+I18+I19+I20</f>
        <v>0</v>
      </c>
    </row>
    <row r="22" spans="1:9" ht="15">
      <c r="A22" s="43" t="str">
        <f>HLOOKUP(INDICE!$F$2,Nombres!$C$3:$D$636,47,FALSE)</f>
        <v>Impuesto sobre beneficios</v>
      </c>
      <c r="B22" s="44">
        <v>-4.7428673</v>
      </c>
      <c r="C22" s="44">
        <v>-0.041867600000000005</v>
      </c>
      <c r="D22" s="44">
        <v>-1.1706664200000003</v>
      </c>
      <c r="E22" s="45">
        <v>-0.10166640999999998</v>
      </c>
      <c r="F22" s="44">
        <v>0.039700599999999864</v>
      </c>
      <c r="G22" s="44">
        <v>-0.6892994000000001</v>
      </c>
      <c r="H22" s="44">
        <v>0</v>
      </c>
      <c r="I22" s="44">
        <v>0</v>
      </c>
    </row>
    <row r="23" spans="1:9" ht="15">
      <c r="A23" s="41" t="str">
        <f>HLOOKUP(INDICE!$F$2,Nombres!$C$3:$D$636,48,FALSE)</f>
        <v>Resultado del ejercicio</v>
      </c>
      <c r="B23" s="50">
        <f aca="true" t="shared" si="3" ref="B23:G23">+B21+B22</f>
        <v>18.473023700000002</v>
      </c>
      <c r="C23" s="50">
        <f t="shared" si="3"/>
        <v>13.382024399999999</v>
      </c>
      <c r="D23" s="50">
        <f t="shared" si="3"/>
        <v>13.637554959999997</v>
      </c>
      <c r="E23" s="268">
        <f t="shared" si="3"/>
        <v>-2.122445020000009</v>
      </c>
      <c r="F23" s="50">
        <f t="shared" si="3"/>
        <v>2.1896985999999954</v>
      </c>
      <c r="G23" s="50">
        <f t="shared" si="3"/>
        <v>6.645698600000011</v>
      </c>
      <c r="H23" s="50">
        <f>+H21+H22</f>
        <v>0</v>
      </c>
      <c r="I23" s="50">
        <f>+I21+I22</f>
        <v>0</v>
      </c>
    </row>
    <row r="24" spans="1:9" ht="15">
      <c r="A24" s="43" t="str">
        <f>HLOOKUP(INDICE!$F$2,Nombres!$C$3:$D$636,49,FALSE)</f>
        <v>Minoritarios</v>
      </c>
      <c r="B24" s="44">
        <v>0</v>
      </c>
      <c r="C24" s="44">
        <v>0</v>
      </c>
      <c r="D24" s="44">
        <v>0</v>
      </c>
      <c r="E24" s="45">
        <v>0</v>
      </c>
      <c r="F24" s="44">
        <v>0</v>
      </c>
      <c r="G24" s="44">
        <v>0</v>
      </c>
      <c r="H24" s="44">
        <v>0</v>
      </c>
      <c r="I24" s="44">
        <v>0</v>
      </c>
    </row>
    <row r="25" spans="1:9" ht="15">
      <c r="A25" s="47" t="str">
        <f>HLOOKUP(INDICE!$F$2,Nombres!$C$3:$D$636,50,FALSE)</f>
        <v>Resultado atribuido</v>
      </c>
      <c r="B25" s="51">
        <f aca="true" t="shared" si="4" ref="B25:G25">+B23+B24</f>
        <v>18.473023700000002</v>
      </c>
      <c r="C25" s="51">
        <f t="shared" si="4"/>
        <v>13.382024399999999</v>
      </c>
      <c r="D25" s="51">
        <f t="shared" si="4"/>
        <v>13.637554959999997</v>
      </c>
      <c r="E25" s="79">
        <f t="shared" si="4"/>
        <v>-2.122445020000009</v>
      </c>
      <c r="F25" s="51">
        <f t="shared" si="4"/>
        <v>2.1896985999999954</v>
      </c>
      <c r="G25" s="51">
        <f t="shared" si="4"/>
        <v>6.645698600000011</v>
      </c>
      <c r="H25" s="51">
        <f>+H23+H24</f>
        <v>0</v>
      </c>
      <c r="I25" s="51">
        <f>+I23+I24</f>
        <v>0</v>
      </c>
    </row>
    <row r="26" spans="1:9" ht="15">
      <c r="A26" s="267"/>
      <c r="B26" s="63">
        <v>0</v>
      </c>
      <c r="C26" s="63">
        <v>0</v>
      </c>
      <c r="D26" s="63">
        <v>0</v>
      </c>
      <c r="E26" s="63">
        <v>-3.9968028886505635E-15</v>
      </c>
      <c r="F26" s="63">
        <v>-5.773159728050814E-15</v>
      </c>
      <c r="G26" s="63">
        <v>7.105427357601002E-15</v>
      </c>
      <c r="H26" s="63">
        <v>0</v>
      </c>
      <c r="I26" s="63">
        <v>0</v>
      </c>
    </row>
    <row r="27" spans="1:13" s="274" customFormat="1" ht="15">
      <c r="A27" s="41"/>
      <c r="B27" s="41"/>
      <c r="C27" s="41"/>
      <c r="D27" s="41"/>
      <c r="E27" s="41"/>
      <c r="F27" s="41"/>
      <c r="G27" s="41"/>
      <c r="H27" s="41"/>
      <c r="I27" s="41"/>
      <c r="J27" s="31"/>
      <c r="K27" s="31"/>
      <c r="L27" s="31"/>
      <c r="M27" s="31"/>
    </row>
    <row r="28" spans="1:13" s="274" customFormat="1" ht="18">
      <c r="A28" s="33" t="str">
        <f>HLOOKUP(INDICE!$F$2,Nombres!$C$3:$D$636,51,FALSE)</f>
        <v>Balances</v>
      </c>
      <c r="B28" s="34"/>
      <c r="C28" s="34"/>
      <c r="D28" s="34"/>
      <c r="E28" s="34"/>
      <c r="F28" s="34"/>
      <c r="G28" s="34"/>
      <c r="H28" s="34"/>
      <c r="I28" s="34"/>
      <c r="J28" s="31"/>
      <c r="K28" s="31"/>
      <c r="L28" s="31"/>
      <c r="M28" s="31"/>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21.08</v>
      </c>
      <c r="C31" s="44">
        <v>25.774</v>
      </c>
      <c r="D31" s="44">
        <v>37.84</v>
      </c>
      <c r="E31" s="45">
        <v>56.359</v>
      </c>
      <c r="F31" s="44">
        <v>30.622</v>
      </c>
      <c r="G31" s="44">
        <v>34.832</v>
      </c>
      <c r="H31" s="44">
        <v>0</v>
      </c>
      <c r="I31" s="44">
        <v>0</v>
      </c>
    </row>
    <row r="32" spans="1:9" ht="15">
      <c r="A32" s="43" t="str">
        <f>HLOOKUP(INDICE!$F$2,Nombres!$C$3:$D$636,53,FALSE)</f>
        <v>Activos financieros a valor razonable</v>
      </c>
      <c r="B32" s="58">
        <v>0</v>
      </c>
      <c r="C32" s="58">
        <v>0</v>
      </c>
      <c r="D32" s="58">
        <v>0</v>
      </c>
      <c r="E32" s="64">
        <v>0</v>
      </c>
      <c r="F32" s="44">
        <v>0</v>
      </c>
      <c r="G32" s="44">
        <v>0</v>
      </c>
      <c r="H32" s="44">
        <v>0</v>
      </c>
      <c r="I32" s="44">
        <v>0</v>
      </c>
    </row>
    <row r="33" spans="1:9" ht="15">
      <c r="A33" s="43" t="str">
        <f>HLOOKUP(INDICE!$F$2,Nombres!$C$3:$D$636,54,FALSE)</f>
        <v>Activos financieros a coste amortizado</v>
      </c>
      <c r="B33" s="44">
        <v>1755.8490000000002</v>
      </c>
      <c r="C33" s="44">
        <v>1642.141</v>
      </c>
      <c r="D33" s="44">
        <v>1852.37</v>
      </c>
      <c r="E33" s="45">
        <v>2012.4479999999999</v>
      </c>
      <c r="F33" s="44">
        <v>2210.672</v>
      </c>
      <c r="G33" s="44">
        <v>2201.4</v>
      </c>
      <c r="H33" s="44">
        <v>0</v>
      </c>
      <c r="I33" s="44">
        <v>0</v>
      </c>
    </row>
    <row r="34" spans="1:9" ht="15">
      <c r="A34" s="43" t="str">
        <f>HLOOKUP(INDICE!$F$2,Nombres!$C$3:$D$636,55,FALSE)</f>
        <v>    de los que préstamos y anticipos a la clientela</v>
      </c>
      <c r="B34" s="44">
        <v>1639.6470000000002</v>
      </c>
      <c r="C34" s="44">
        <v>1616.2820000000002</v>
      </c>
      <c r="D34" s="44">
        <v>1809.839</v>
      </c>
      <c r="E34" s="45">
        <v>1979.9630000000002</v>
      </c>
      <c r="F34" s="44">
        <v>2173.498</v>
      </c>
      <c r="G34" s="44">
        <v>2156.4220000000005</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7.614999999999999</v>
      </c>
      <c r="C36" s="44">
        <v>6.5440000000000005</v>
      </c>
      <c r="D36" s="44">
        <v>6.225</v>
      </c>
      <c r="E36" s="45">
        <v>4.19</v>
      </c>
      <c r="F36" s="44">
        <v>4.164000000000001</v>
      </c>
      <c r="G36" s="44">
        <v>3.794</v>
      </c>
      <c r="H36" s="44">
        <v>0</v>
      </c>
      <c r="I36" s="44">
        <v>0</v>
      </c>
    </row>
    <row r="37" spans="1:9" ht="15">
      <c r="A37" s="43" t="str">
        <f>HLOOKUP(INDICE!$F$2,Nombres!$C$3:$D$636,57,FALSE)</f>
        <v>Otros activos</v>
      </c>
      <c r="B37" s="58">
        <f aca="true" t="shared" si="5" ref="B37:I37">+B38-B36-B33-B32-B31</f>
        <v>233.48189099999962</v>
      </c>
      <c r="C37" s="58">
        <f t="shared" si="5"/>
        <v>274.05478300000016</v>
      </c>
      <c r="D37" s="58">
        <f t="shared" si="5"/>
        <v>308.26200611000024</v>
      </c>
      <c r="E37" s="64">
        <f t="shared" si="5"/>
        <v>308.41722109000006</v>
      </c>
      <c r="F37" s="44">
        <f t="shared" si="5"/>
        <v>332.37399799999986</v>
      </c>
      <c r="G37" s="44">
        <f t="shared" si="5"/>
        <v>295.2969959999999</v>
      </c>
      <c r="H37" s="44">
        <f t="shared" si="5"/>
        <v>0</v>
      </c>
      <c r="I37" s="44">
        <f t="shared" si="5"/>
        <v>0</v>
      </c>
    </row>
    <row r="38" spans="1:9" ht="15">
      <c r="A38" s="47" t="str">
        <f>HLOOKUP(INDICE!$F$2,Nombres!$C$3:$D$636,58,FALSE)</f>
        <v>Total activo / pasivo</v>
      </c>
      <c r="B38" s="47">
        <v>2018.0258909999998</v>
      </c>
      <c r="C38" s="47">
        <v>1948.5137830000003</v>
      </c>
      <c r="D38" s="47">
        <v>2204.69700611</v>
      </c>
      <c r="E38" s="47">
        <v>2381.41422109</v>
      </c>
      <c r="F38" s="51">
        <v>2577.831998</v>
      </c>
      <c r="G38" s="51">
        <v>2535.322996</v>
      </c>
      <c r="H38" s="51">
        <v>0</v>
      </c>
      <c r="I38" s="51">
        <v>0</v>
      </c>
    </row>
    <row r="39" spans="1:9" ht="15">
      <c r="A39" s="43" t="str">
        <f>HLOOKUP(INDICE!$F$2,Nombres!$C$3:$D$636,59,FALSE)</f>
        <v>Pasivos financieros mantenidos para negociar y designados a valor razonable con cambios en resultados</v>
      </c>
      <c r="B39" s="58">
        <v>0</v>
      </c>
      <c r="C39" s="58">
        <v>0</v>
      </c>
      <c r="D39" s="58">
        <v>0</v>
      </c>
      <c r="E39" s="64">
        <v>0</v>
      </c>
      <c r="F39" s="44">
        <v>0</v>
      </c>
      <c r="G39" s="44">
        <v>0</v>
      </c>
      <c r="H39" s="44">
        <v>0</v>
      </c>
      <c r="I39" s="44">
        <v>0</v>
      </c>
    </row>
    <row r="40" spans="1:9" ht="15.75" customHeight="1">
      <c r="A40" s="43" t="str">
        <f>HLOOKUP(INDICE!$F$2,Nombres!$C$3:$D$636,60,FALSE)</f>
        <v>Depósitos de bancos centrales y entidades de crédito</v>
      </c>
      <c r="B40" s="58">
        <v>648.445</v>
      </c>
      <c r="C40" s="58">
        <v>545.695</v>
      </c>
      <c r="D40" s="58">
        <v>824.321</v>
      </c>
      <c r="E40" s="64">
        <v>1006.534</v>
      </c>
      <c r="F40" s="44">
        <v>1025.394</v>
      </c>
      <c r="G40" s="44">
        <v>1040.586</v>
      </c>
      <c r="H40" s="44">
        <v>0</v>
      </c>
      <c r="I40" s="44">
        <v>0</v>
      </c>
    </row>
    <row r="41" spans="1:9" ht="15">
      <c r="A41" s="43" t="str">
        <f>HLOOKUP(INDICE!$F$2,Nombres!$C$3:$D$636,61,FALSE)</f>
        <v>Depósitos de la clientela</v>
      </c>
      <c r="B41" s="58">
        <v>15.479</v>
      </c>
      <c r="C41" s="58">
        <v>10.869</v>
      </c>
      <c r="D41" s="58">
        <v>8.888</v>
      </c>
      <c r="E41" s="64">
        <v>6.672</v>
      </c>
      <c r="F41" s="44">
        <v>8.370000000000001</v>
      </c>
      <c r="G41" s="44">
        <v>5.597</v>
      </c>
      <c r="H41" s="44">
        <v>0</v>
      </c>
      <c r="I41" s="44">
        <v>0</v>
      </c>
    </row>
    <row r="42" spans="1:9" ht="15">
      <c r="A42" s="43" t="str">
        <f>HLOOKUP(INDICE!$F$2,Nombres!$C$3:$D$636,62,FALSE)</f>
        <v>Valores representativos de deuda emitidos</v>
      </c>
      <c r="B42" s="44">
        <v>815.6228544</v>
      </c>
      <c r="C42" s="44">
        <v>875.4264959999999</v>
      </c>
      <c r="D42" s="44">
        <v>818.595208</v>
      </c>
      <c r="E42" s="45">
        <v>779.6658239999999</v>
      </c>
      <c r="F42" s="44">
        <v>906.0023487999999</v>
      </c>
      <c r="G42" s="44">
        <v>855.9247359999999</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 aca="true" t="shared" si="6" ref="B44:I44">+B38-B39-B40-B41-B42-B45</f>
        <v>296.1469800799995</v>
      </c>
      <c r="C44" s="58">
        <f t="shared" si="6"/>
        <v>255.59508700000032</v>
      </c>
      <c r="D44" s="58">
        <f t="shared" si="6"/>
        <v>259.0761981100003</v>
      </c>
      <c r="E44" s="64">
        <f t="shared" si="6"/>
        <v>312.5800603999999</v>
      </c>
      <c r="F44" s="44">
        <f t="shared" si="6"/>
        <v>336.75419528000026</v>
      </c>
      <c r="G44" s="44">
        <f t="shared" si="6"/>
        <v>321.55212055999993</v>
      </c>
      <c r="H44" s="44">
        <f t="shared" si="6"/>
        <v>0</v>
      </c>
      <c r="I44" s="44">
        <f t="shared" si="6"/>
        <v>0</v>
      </c>
    </row>
    <row r="45" spans="1:9" ht="15">
      <c r="A45" s="43" t="str">
        <f>HLOOKUP(INDICE!$F$2,Nombres!$C$3:$D$636,282,FALSE)</f>
        <v>Dotación de capital regulatorio</v>
      </c>
      <c r="B45" s="58">
        <v>242.33205652</v>
      </c>
      <c r="C45" s="58">
        <v>260.9282</v>
      </c>
      <c r="D45" s="58">
        <v>293.8166</v>
      </c>
      <c r="E45" s="64">
        <v>275.96233669</v>
      </c>
      <c r="F45" s="44">
        <v>301.31145392</v>
      </c>
      <c r="G45" s="44">
        <v>311.66313944</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G50">+B$30</f>
        <v>44651</v>
      </c>
      <c r="C50" s="53">
        <f t="shared" si="7"/>
        <v>44742</v>
      </c>
      <c r="D50" s="53">
        <f t="shared" si="7"/>
        <v>44834</v>
      </c>
      <c r="E50" s="67">
        <f t="shared" si="7"/>
        <v>44926</v>
      </c>
      <c r="F50" s="53">
        <f t="shared" si="7"/>
        <v>45016</v>
      </c>
      <c r="G50" s="53">
        <f t="shared" si="7"/>
        <v>45107</v>
      </c>
      <c r="H50" s="53">
        <f>+H$30</f>
        <v>45199</v>
      </c>
      <c r="I50" s="53">
        <f>+I$30</f>
        <v>45291</v>
      </c>
    </row>
    <row r="51" spans="1:9" ht="15">
      <c r="A51" s="43" t="str">
        <f>HLOOKUP(INDICE!$F$2,Nombres!$C$3:$D$636,66,FALSE)</f>
        <v>Préstamos y anticipos a la clientela bruto (*)</v>
      </c>
      <c r="B51" s="44">
        <v>1700.6260000000002</v>
      </c>
      <c r="C51" s="44">
        <v>1680.019</v>
      </c>
      <c r="D51" s="44">
        <v>1878.508</v>
      </c>
      <c r="E51" s="45">
        <v>2078.6980000000003</v>
      </c>
      <c r="F51" s="44">
        <v>2290.9970000000003</v>
      </c>
      <c r="G51" s="44">
        <v>2277.762</v>
      </c>
      <c r="H51" s="44">
        <v>0</v>
      </c>
      <c r="I51" s="44">
        <v>0</v>
      </c>
    </row>
    <row r="52" spans="1:9" ht="15">
      <c r="A52" s="43" t="str">
        <f>HLOOKUP(INDICE!$F$2,Nombres!$C$3:$D$636,67,FALSE)</f>
        <v>Depósitos de clientes en gestión (**)</v>
      </c>
      <c r="B52" s="44">
        <v>15.479</v>
      </c>
      <c r="C52" s="44">
        <v>10.869</v>
      </c>
      <c r="D52" s="44">
        <v>8.888</v>
      </c>
      <c r="E52" s="45">
        <v>6.672</v>
      </c>
      <c r="F52" s="44">
        <v>8.370000000000001</v>
      </c>
      <c r="G52" s="44">
        <v>5.597</v>
      </c>
      <c r="H52" s="44">
        <v>0</v>
      </c>
      <c r="I52" s="44">
        <v>0</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 aca="true" t="shared" si="8" ref="B63:I63">+B$7</f>
        <v>1er Trim.</v>
      </c>
      <c r="C63" s="39" t="str">
        <f t="shared" si="8"/>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50">
        <v>35.07380167002659</v>
      </c>
      <c r="C64" s="50">
        <v>34.459378027548645</v>
      </c>
      <c r="D64" s="50">
        <v>34.80786458432357</v>
      </c>
      <c r="E64" s="268">
        <v>30.84829818145881</v>
      </c>
      <c r="F64" s="50">
        <v>29.34820209901951</v>
      </c>
      <c r="G64" s="50">
        <v>31.43679790098049</v>
      </c>
      <c r="H64" s="50">
        <v>0</v>
      </c>
      <c r="I64" s="50">
        <v>0</v>
      </c>
    </row>
    <row r="65" spans="1:9" ht="15">
      <c r="A65" s="43" t="str">
        <f>HLOOKUP(INDICE!$F$2,Nombres!$C$3:$D$636,34,FALSE)</f>
        <v>Comisiones netas</v>
      </c>
      <c r="B65" s="44">
        <v>5.206609119118014</v>
      </c>
      <c r="C65" s="44">
        <v>3.2733246981477655</v>
      </c>
      <c r="D65" s="44">
        <v>4.189571669958724</v>
      </c>
      <c r="E65" s="45">
        <v>27.455569759751167</v>
      </c>
      <c r="F65" s="44">
        <v>9.200928268934383</v>
      </c>
      <c r="G65" s="44">
        <v>8.031071731065618</v>
      </c>
      <c r="H65" s="44">
        <v>0</v>
      </c>
      <c r="I65" s="44">
        <v>0</v>
      </c>
    </row>
    <row r="66" spans="1:9" ht="15">
      <c r="A66" s="43" t="str">
        <f>HLOOKUP(INDICE!$F$2,Nombres!$C$3:$D$636,35,FALSE)</f>
        <v>Resultados de operaciones financieras</v>
      </c>
      <c r="B66" s="44">
        <v>1.4807596334771636</v>
      </c>
      <c r="C66" s="44">
        <v>1.628169832186264</v>
      </c>
      <c r="D66" s="44">
        <v>1.574758023417915</v>
      </c>
      <c r="E66" s="45">
        <v>1.3242832425070141</v>
      </c>
      <c r="F66" s="44">
        <v>1.8653772435714424</v>
      </c>
      <c r="G66" s="44">
        <v>2.353622756428558</v>
      </c>
      <c r="H66" s="44">
        <v>0</v>
      </c>
      <c r="I66" s="44">
        <v>0</v>
      </c>
    </row>
    <row r="67" spans="1:9" ht="15">
      <c r="A67" s="43" t="str">
        <f>HLOOKUP(INDICE!$F$2,Nombres!$C$3:$D$636,36,FALSE)</f>
        <v>Otros ingresos y cargas de explotación</v>
      </c>
      <c r="B67" s="44">
        <v>-0.12183465338736156</v>
      </c>
      <c r="C67" s="44">
        <v>-0.21255902540360982</v>
      </c>
      <c r="D67" s="44">
        <v>-0.2339286243534239</v>
      </c>
      <c r="E67" s="45">
        <v>-0.4665182837053251</v>
      </c>
      <c r="F67" s="44">
        <v>-0.3648781853716916</v>
      </c>
      <c r="G67" s="44">
        <v>-0.2791218146283084</v>
      </c>
      <c r="H67" s="44">
        <v>0</v>
      </c>
      <c r="I67" s="44">
        <v>0</v>
      </c>
    </row>
    <row r="68" spans="1:9" ht="15">
      <c r="A68" s="41" t="str">
        <f>HLOOKUP(INDICE!$F$2,Nombres!$C$3:$D$636,37,FALSE)</f>
        <v>Margen bruto</v>
      </c>
      <c r="B68" s="50">
        <f aca="true" t="shared" si="9" ref="B68:I68">+SUM(B64:B67)</f>
        <v>41.63933576923441</v>
      </c>
      <c r="C68" s="50">
        <f t="shared" si="9"/>
        <v>39.14831353247907</v>
      </c>
      <c r="D68" s="50">
        <f t="shared" si="9"/>
        <v>40.33826565334678</v>
      </c>
      <c r="E68" s="268">
        <f t="shared" si="9"/>
        <v>59.16163290001166</v>
      </c>
      <c r="F68" s="50">
        <f t="shared" si="9"/>
        <v>40.04962942615364</v>
      </c>
      <c r="G68" s="50">
        <f t="shared" si="9"/>
        <v>41.542370573846355</v>
      </c>
      <c r="H68" s="50">
        <f t="shared" si="9"/>
        <v>0</v>
      </c>
      <c r="I68" s="50">
        <f t="shared" si="9"/>
        <v>0</v>
      </c>
    </row>
    <row r="69" spans="1:9" ht="15">
      <c r="A69" s="43" t="str">
        <f>HLOOKUP(INDICE!$F$2,Nombres!$C$3:$D$636,38,FALSE)</f>
        <v>Gastos de explotación</v>
      </c>
      <c r="B69" s="44">
        <v>-13.443578249641511</v>
      </c>
      <c r="C69" s="44">
        <v>-14.346521079195462</v>
      </c>
      <c r="D69" s="44">
        <v>-16.08374990920763</v>
      </c>
      <c r="E69" s="45">
        <v>-24.22958271365714</v>
      </c>
      <c r="F69" s="44">
        <v>-15.7757352687864</v>
      </c>
      <c r="G69" s="44">
        <v>-15.619268731213602</v>
      </c>
      <c r="H69" s="44">
        <v>0</v>
      </c>
      <c r="I69" s="44">
        <v>0</v>
      </c>
    </row>
    <row r="70" spans="1:9" ht="15">
      <c r="A70" s="43" t="str">
        <f>HLOOKUP(INDICE!$F$2,Nombres!$C$3:$D$636,39,FALSE)</f>
        <v>  Gastos de administración</v>
      </c>
      <c r="B70" s="44">
        <v>-12.063826833075238</v>
      </c>
      <c r="C70" s="44">
        <v>-12.990041867140878</v>
      </c>
      <c r="D70" s="44">
        <v>-14.73496774008894</v>
      </c>
      <c r="E70" s="45">
        <v>-23.258299134347652</v>
      </c>
      <c r="F70" s="44">
        <v>-14.45817513640314</v>
      </c>
      <c r="G70" s="44">
        <v>-14.24882886359686</v>
      </c>
      <c r="H70" s="44">
        <v>0</v>
      </c>
      <c r="I70" s="44">
        <v>0</v>
      </c>
    </row>
    <row r="71" spans="1:9" ht="15">
      <c r="A71" s="46" t="str">
        <f>HLOOKUP(INDICE!$F$2,Nombres!$C$3:$D$636,40,FALSE)</f>
        <v>  Gastos de personal</v>
      </c>
      <c r="B71" s="44">
        <v>-6.119848358611315</v>
      </c>
      <c r="C71" s="44">
        <v>-6.145049203731219</v>
      </c>
      <c r="D71" s="44">
        <v>-7.073760255703494</v>
      </c>
      <c r="E71" s="45">
        <v>-6.8092267151923815</v>
      </c>
      <c r="F71" s="44">
        <v>-6.840716226023249</v>
      </c>
      <c r="G71" s="44">
        <v>-7.023283773976752</v>
      </c>
      <c r="H71" s="44">
        <v>0</v>
      </c>
      <c r="I71" s="44">
        <v>0</v>
      </c>
    </row>
    <row r="72" spans="1:9" ht="15">
      <c r="A72" s="46" t="str">
        <f>HLOOKUP(INDICE!$F$2,Nombres!$C$3:$D$636,41,FALSE)</f>
        <v>  Otros gastos de administración</v>
      </c>
      <c r="B72" s="44">
        <v>-5.943978474463924</v>
      </c>
      <c r="C72" s="44">
        <v>-6.844992663409659</v>
      </c>
      <c r="D72" s="44">
        <v>-7.6612074843854465</v>
      </c>
      <c r="E72" s="45">
        <v>-16.449072419155268</v>
      </c>
      <c r="F72" s="44">
        <v>-7.617458910379893</v>
      </c>
      <c r="G72" s="44">
        <v>-7.225545089620109</v>
      </c>
      <c r="H72" s="44">
        <v>0</v>
      </c>
      <c r="I72" s="44">
        <v>0</v>
      </c>
    </row>
    <row r="73" spans="1:9" ht="15">
      <c r="A73" s="43" t="str">
        <f>HLOOKUP(INDICE!$F$2,Nombres!$C$3:$D$636,42,FALSE)</f>
        <v>  Amortización</v>
      </c>
      <c r="B73" s="44">
        <v>-1.379751416566274</v>
      </c>
      <c r="C73" s="44">
        <v>-1.3564792120545848</v>
      </c>
      <c r="D73" s="44">
        <v>-1.34878216911869</v>
      </c>
      <c r="E73" s="45">
        <v>-0.9712835793094916</v>
      </c>
      <c r="F73" s="44">
        <v>-1.317560132383259</v>
      </c>
      <c r="G73" s="44">
        <v>-1.3704398676167409</v>
      </c>
      <c r="H73" s="44">
        <v>0</v>
      </c>
      <c r="I73" s="44">
        <v>0</v>
      </c>
    </row>
    <row r="74" spans="1:9" ht="15">
      <c r="A74" s="41" t="str">
        <f>HLOOKUP(INDICE!$F$2,Nombres!$C$3:$D$636,43,FALSE)</f>
        <v>Margen neto</v>
      </c>
      <c r="B74" s="50">
        <f aca="true" t="shared" si="10" ref="B74:G74">+B68+B69</f>
        <v>28.195757519592895</v>
      </c>
      <c r="C74" s="50">
        <f t="shared" si="10"/>
        <v>24.80179245328361</v>
      </c>
      <c r="D74" s="50">
        <f t="shared" si="10"/>
        <v>24.25451574413915</v>
      </c>
      <c r="E74" s="268">
        <f t="shared" si="10"/>
        <v>34.932050186354516</v>
      </c>
      <c r="F74" s="50">
        <f t="shared" si="10"/>
        <v>24.273894157367245</v>
      </c>
      <c r="G74" s="50">
        <f t="shared" si="10"/>
        <v>25.923101842632754</v>
      </c>
      <c r="H74" s="50">
        <f>+H68+H69</f>
        <v>0</v>
      </c>
      <c r="I74" s="50">
        <f>+I68+I69</f>
        <v>0</v>
      </c>
    </row>
    <row r="75" spans="1:9" ht="15">
      <c r="A75" s="43" t="str">
        <f>HLOOKUP(INDICE!$F$2,Nombres!$C$3:$D$636,44,FALSE)</f>
        <v>Deterioro de activos financieros no valorados a valor razonable con cambios en resultados</v>
      </c>
      <c r="B75" s="44">
        <v>-4.157998042527647</v>
      </c>
      <c r="C75" s="44">
        <v>-11.070890548850649</v>
      </c>
      <c r="D75" s="44">
        <v>-8.224087778528908</v>
      </c>
      <c r="E75" s="45">
        <v>-36.05825290233562</v>
      </c>
      <c r="F75" s="44">
        <v>-21.71275119526888</v>
      </c>
      <c r="G75" s="44">
        <v>-18.359248804731116</v>
      </c>
      <c r="H75" s="44">
        <v>0</v>
      </c>
      <c r="I75" s="44">
        <v>0</v>
      </c>
    </row>
    <row r="76" spans="1:9" ht="15">
      <c r="A76" s="43" t="str">
        <f>HLOOKUP(INDICE!$F$2,Nombres!$C$3:$D$636,45,FALSE)</f>
        <v>Provisiones o reversión de provisiones y otros resultados</v>
      </c>
      <c r="B76" s="44">
        <v>0.1374544807447156</v>
      </c>
      <c r="C76" s="44">
        <v>0.02611889773507844</v>
      </c>
      <c r="D76" s="44">
        <v>-0.11542821099426516</v>
      </c>
      <c r="E76" s="45">
        <v>-0.6871565980224366</v>
      </c>
      <c r="F76" s="44">
        <v>-0.41186249965243</v>
      </c>
      <c r="G76" s="44">
        <v>-0.22813750034756997</v>
      </c>
      <c r="H76" s="44">
        <v>0</v>
      </c>
      <c r="I76" s="44">
        <v>0</v>
      </c>
    </row>
    <row r="77" spans="1:9" ht="15">
      <c r="A77" s="41" t="str">
        <f>HLOOKUP(INDICE!$F$2,Nombres!$C$3:$D$636,46,FALSE)</f>
        <v>Resultado antes de impuestos</v>
      </c>
      <c r="B77" s="50">
        <f aca="true" t="shared" si="11" ref="B77:G77">+B74+B75+B76</f>
        <v>24.175213957809962</v>
      </c>
      <c r="C77" s="50">
        <f t="shared" si="11"/>
        <v>13.75702080216804</v>
      </c>
      <c r="D77" s="50">
        <f t="shared" si="11"/>
        <v>15.914999754615978</v>
      </c>
      <c r="E77" s="268">
        <f t="shared" si="11"/>
        <v>-1.8133593140035378</v>
      </c>
      <c r="F77" s="50">
        <f t="shared" si="11"/>
        <v>2.149280462445936</v>
      </c>
      <c r="G77" s="50">
        <f t="shared" si="11"/>
        <v>7.3357155375540675</v>
      </c>
      <c r="H77" s="50">
        <f>+H74+H75+H76</f>
        <v>0</v>
      </c>
      <c r="I77" s="50">
        <f>+I74+I75+I76</f>
        <v>0</v>
      </c>
    </row>
    <row r="78" spans="1:9" ht="15">
      <c r="A78" s="43" t="str">
        <f>HLOOKUP(INDICE!$F$2,Nombres!$C$3:$D$636,47,FALSE)</f>
        <v>Impuesto sobre beneficios</v>
      </c>
      <c r="B78" s="44">
        <v>-4.938851226989327</v>
      </c>
      <c r="C78" s="44">
        <v>-0.014663030752315787</v>
      </c>
      <c r="D78" s="44">
        <v>-1.2796116986700925</v>
      </c>
      <c r="E78" s="45">
        <v>-0.1433740683102407</v>
      </c>
      <c r="F78" s="44">
        <v>0.03968735037306115</v>
      </c>
      <c r="G78" s="44">
        <v>-0.6892861503730614</v>
      </c>
      <c r="H78" s="44">
        <v>0</v>
      </c>
      <c r="I78" s="44">
        <v>0</v>
      </c>
    </row>
    <row r="79" spans="1:9" ht="15">
      <c r="A79" s="41" t="str">
        <f>HLOOKUP(INDICE!$F$2,Nombres!$C$3:$D$636,48,FALSE)</f>
        <v>Resultado del ejercicio</v>
      </c>
      <c r="B79" s="50">
        <f aca="true" t="shared" si="12" ref="B79:G79">+B77+B78</f>
        <v>19.236362730820634</v>
      </c>
      <c r="C79" s="50">
        <f t="shared" si="12"/>
        <v>13.742357771415724</v>
      </c>
      <c r="D79" s="50">
        <f t="shared" si="12"/>
        <v>14.635388055945885</v>
      </c>
      <c r="E79" s="268">
        <f t="shared" si="12"/>
        <v>-1.9567333823137785</v>
      </c>
      <c r="F79" s="50">
        <f t="shared" si="12"/>
        <v>2.188967812818997</v>
      </c>
      <c r="G79" s="50">
        <f t="shared" si="12"/>
        <v>6.646429387181006</v>
      </c>
      <c r="H79" s="50">
        <f>+H77+H78</f>
        <v>0</v>
      </c>
      <c r="I79" s="50">
        <f>+I77+I78</f>
        <v>0</v>
      </c>
    </row>
    <row r="80" spans="1:9" ht="15">
      <c r="A80" s="43" t="str">
        <f>HLOOKUP(INDICE!$F$2,Nombres!$C$3:$D$636,49,FALSE)</f>
        <v>Minoritarios</v>
      </c>
      <c r="B80" s="44">
        <v>0</v>
      </c>
      <c r="C80" s="44">
        <v>0</v>
      </c>
      <c r="D80" s="44">
        <v>0</v>
      </c>
      <c r="E80" s="45">
        <v>0</v>
      </c>
      <c r="F80" s="44">
        <v>0</v>
      </c>
      <c r="G80" s="44">
        <v>0</v>
      </c>
      <c r="H80" s="44">
        <v>0</v>
      </c>
      <c r="I80" s="44">
        <v>0</v>
      </c>
    </row>
    <row r="81" spans="1:9" ht="15">
      <c r="A81" s="47" t="str">
        <f>HLOOKUP(INDICE!$F$2,Nombres!$C$3:$D$636,50,FALSE)</f>
        <v>Resultado atribuido</v>
      </c>
      <c r="B81" s="51">
        <f aca="true" t="shared" si="13" ref="B81:G81">+B79+B80</f>
        <v>19.236362730820634</v>
      </c>
      <c r="C81" s="51">
        <f t="shared" si="13"/>
        <v>13.742357771415724</v>
      </c>
      <c r="D81" s="51">
        <f t="shared" si="13"/>
        <v>14.635388055945885</v>
      </c>
      <c r="E81" s="79">
        <f t="shared" si="13"/>
        <v>-1.9567333823137785</v>
      </c>
      <c r="F81" s="51">
        <f t="shared" si="13"/>
        <v>2.188967812818997</v>
      </c>
      <c r="G81" s="51">
        <f t="shared" si="13"/>
        <v>6.646429387181006</v>
      </c>
      <c r="H81" s="51">
        <f>+H79+H80</f>
        <v>0</v>
      </c>
      <c r="I81" s="51">
        <f>+I79+I80</f>
        <v>0</v>
      </c>
    </row>
    <row r="82" spans="1:9" ht="15">
      <c r="A82" s="267"/>
      <c r="B82" s="63">
        <v>0</v>
      </c>
      <c r="C82" s="63">
        <v>0</v>
      </c>
      <c r="D82" s="63">
        <v>0</v>
      </c>
      <c r="E82" s="63">
        <v>-9.992007221626409E-15</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43" t="str">
        <f>HLOOKUP(INDICE!$F$2,Nombres!$C$3:$D$636,52,FALSE)</f>
        <v>Efectivo, saldos en efectivo en bancos centrales y otros depósitos a la vista</v>
      </c>
      <c r="B87" s="44">
        <v>21.119497639802546</v>
      </c>
      <c r="C87" s="44">
        <v>28.23797038383354</v>
      </c>
      <c r="D87" s="44">
        <v>40.85372224896685</v>
      </c>
      <c r="E87" s="45">
        <v>59.238444938082615</v>
      </c>
      <c r="F87" s="44">
        <v>30.13726122148394</v>
      </c>
      <c r="G87" s="44">
        <v>34.832</v>
      </c>
      <c r="H87" s="44">
        <v>0</v>
      </c>
      <c r="I87" s="44">
        <v>0</v>
      </c>
    </row>
    <row r="88" spans="1:9" ht="15">
      <c r="A88" s="43" t="str">
        <f>HLOOKUP(INDICE!$F$2,Nombres!$C$3:$D$636,53,FALSE)</f>
        <v>Activos financieros a valor razonable</v>
      </c>
      <c r="B88" s="58">
        <v>0</v>
      </c>
      <c r="C88" s="58">
        <v>0</v>
      </c>
      <c r="D88" s="58">
        <v>0</v>
      </c>
      <c r="E88" s="64">
        <v>0</v>
      </c>
      <c r="F88" s="44">
        <v>0</v>
      </c>
      <c r="G88" s="44">
        <v>0</v>
      </c>
      <c r="H88" s="44">
        <v>0</v>
      </c>
      <c r="I88" s="44">
        <v>0</v>
      </c>
    </row>
    <row r="89" spans="1:9" ht="15">
      <c r="A89" s="43" t="str">
        <f>HLOOKUP(INDICE!$F$2,Nombres!$C$3:$D$636,54,FALSE)</f>
        <v>Activos financieros a coste amortizado</v>
      </c>
      <c r="B89" s="44">
        <v>1759.1389379198129</v>
      </c>
      <c r="C89" s="44">
        <v>1799.1281494559942</v>
      </c>
      <c r="D89" s="44">
        <v>1999.8998277568369</v>
      </c>
      <c r="E89" s="45">
        <v>2115.266240329929</v>
      </c>
      <c r="F89" s="44">
        <v>2175.6776023453835</v>
      </c>
      <c r="G89" s="44">
        <v>2201.4</v>
      </c>
      <c r="H89" s="44">
        <v>0</v>
      </c>
      <c r="I89" s="44">
        <v>0</v>
      </c>
    </row>
    <row r="90" spans="1:9" ht="15">
      <c r="A90" s="43" t="str">
        <f>HLOOKUP(INDICE!$F$2,Nombres!$C$3:$D$636,55,FALSE)</f>
        <v>    de los que préstamos y anticipos a la clientela</v>
      </c>
      <c r="B90" s="44">
        <v>1642.7192099909544</v>
      </c>
      <c r="C90" s="44">
        <v>1770.7970531513638</v>
      </c>
      <c r="D90" s="44">
        <v>1953.9814963358326</v>
      </c>
      <c r="E90" s="45">
        <v>2081.121545005072</v>
      </c>
      <c r="F90" s="44">
        <v>2139.092057683133</v>
      </c>
      <c r="G90" s="44">
        <v>2156.4220000000005</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7.6292682413233575</v>
      </c>
      <c r="C92" s="44">
        <v>7.169600302312668</v>
      </c>
      <c r="D92" s="44">
        <v>6.720782795978292</v>
      </c>
      <c r="E92" s="45">
        <v>4.404071830418676</v>
      </c>
      <c r="F92" s="44">
        <v>4.09808489733718</v>
      </c>
      <c r="G92" s="44">
        <v>3.794</v>
      </c>
      <c r="H92" s="44">
        <v>0</v>
      </c>
      <c r="I92" s="44">
        <v>0</v>
      </c>
    </row>
    <row r="93" spans="1:9" ht="15">
      <c r="A93" s="43" t="str">
        <f>HLOOKUP(INDICE!$F$2,Nombres!$C$3:$D$636,57,FALSE)</f>
        <v>Otros activos</v>
      </c>
      <c r="B93" s="58">
        <f aca="true" t="shared" si="15" ref="B93:I93">+B94-B92-B89-B88-B87</f>
        <v>233.91936650432382</v>
      </c>
      <c r="C93" s="58">
        <f t="shared" si="15"/>
        <v>300.2541648910505</v>
      </c>
      <c r="D93" s="58">
        <f t="shared" si="15"/>
        <v>332.8131706534688</v>
      </c>
      <c r="E93" s="64">
        <f t="shared" si="15"/>
        <v>324.1746051118087</v>
      </c>
      <c r="F93" s="44">
        <f t="shared" si="15"/>
        <v>327.1125988163737</v>
      </c>
      <c r="G93" s="44">
        <f t="shared" si="15"/>
        <v>295.2969959999999</v>
      </c>
      <c r="H93" s="44">
        <f t="shared" si="15"/>
        <v>0</v>
      </c>
      <c r="I93" s="44">
        <f t="shared" si="15"/>
        <v>0</v>
      </c>
    </row>
    <row r="94" spans="1:9" ht="15">
      <c r="A94" s="47" t="str">
        <f>HLOOKUP(INDICE!$F$2,Nombres!$C$3:$D$636,58,FALSE)</f>
        <v>Total activo / pasivo</v>
      </c>
      <c r="B94" s="47">
        <v>2021.8070703052626</v>
      </c>
      <c r="C94" s="47">
        <v>2134.789885033191</v>
      </c>
      <c r="D94" s="47">
        <v>2380.2875034552508</v>
      </c>
      <c r="E94" s="47">
        <v>2503.083362210239</v>
      </c>
      <c r="F94" s="51">
        <v>2537.0255472805784</v>
      </c>
      <c r="G94" s="51">
        <v>2535.322996</v>
      </c>
      <c r="H94" s="51">
        <v>0</v>
      </c>
      <c r="I94" s="51">
        <v>0</v>
      </c>
    </row>
    <row r="95" spans="1:9" ht="15">
      <c r="A95" s="43" t="str">
        <f>HLOOKUP(INDICE!$F$2,Nombres!$C$3:$D$636,59,FALSE)</f>
        <v>Pasivos financieros mantenidos para negociar y designados a valor razonable con cambios en resultados</v>
      </c>
      <c r="B95" s="58">
        <v>0</v>
      </c>
      <c r="C95" s="58">
        <v>0</v>
      </c>
      <c r="D95" s="58">
        <v>0</v>
      </c>
      <c r="E95" s="64">
        <v>0</v>
      </c>
      <c r="F95" s="44">
        <v>0</v>
      </c>
      <c r="G95" s="44">
        <v>0</v>
      </c>
      <c r="H95" s="44">
        <v>0</v>
      </c>
      <c r="I95" s="44">
        <v>0</v>
      </c>
    </row>
    <row r="96" spans="1:9" ht="15">
      <c r="A96" s="43" t="str">
        <f>HLOOKUP(INDICE!$F$2,Nombres!$C$3:$D$636,60,FALSE)</f>
        <v>Depósitos de bancos centrales y entidades de crédito</v>
      </c>
      <c r="B96" s="58">
        <v>649.6599927439166</v>
      </c>
      <c r="C96" s="58">
        <v>597.8629335223886</v>
      </c>
      <c r="D96" s="58">
        <v>889.9730755282927</v>
      </c>
      <c r="E96" s="64">
        <v>1057.958958414948</v>
      </c>
      <c r="F96" s="44">
        <v>1009.1622635014793</v>
      </c>
      <c r="G96" s="44">
        <v>1040.586</v>
      </c>
      <c r="H96" s="44">
        <v>0</v>
      </c>
      <c r="I96" s="44">
        <v>0</v>
      </c>
    </row>
    <row r="97" spans="1:9" ht="15">
      <c r="A97" s="43" t="str">
        <f>HLOOKUP(INDICE!$F$2,Nombres!$C$3:$D$636,61,FALSE)</f>
        <v>Depósitos de la clientela</v>
      </c>
      <c r="B97" s="58">
        <v>15.508003034464117</v>
      </c>
      <c r="C97" s="58">
        <v>11.90806627228551</v>
      </c>
      <c r="D97" s="58">
        <v>9.59587429568756</v>
      </c>
      <c r="E97" s="64">
        <v>7.0128800125425785</v>
      </c>
      <c r="F97" s="44">
        <v>8.237504944935687</v>
      </c>
      <c r="G97" s="44">
        <v>5.597</v>
      </c>
      <c r="H97" s="44">
        <v>0</v>
      </c>
      <c r="I97" s="44">
        <v>0</v>
      </c>
    </row>
    <row r="98" spans="1:9" ht="15">
      <c r="A98" s="43" t="str">
        <f>HLOOKUP(INDICE!$F$2,Nombres!$C$3:$D$636,62,FALSE)</f>
        <v>Valores representativos de deuda emitidos</v>
      </c>
      <c r="B98" s="44">
        <v>817.151088637088</v>
      </c>
      <c r="C98" s="44">
        <v>959.1164532967787</v>
      </c>
      <c r="D98" s="44">
        <v>883.7912595657305</v>
      </c>
      <c r="E98" s="45">
        <v>819.499831173882</v>
      </c>
      <c r="F98" s="44">
        <v>891.6605529705311</v>
      </c>
      <c r="G98" s="44">
        <v>855.9247359999999</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 aca="true" t="shared" si="16" ref="B100:I100">+B94-B95-B96-B97-B98-B101</f>
        <v>296.70187129194596</v>
      </c>
      <c r="C100" s="58">
        <f t="shared" si="16"/>
        <v>280.02973915416163</v>
      </c>
      <c r="D100" s="58">
        <f t="shared" si="16"/>
        <v>279.7100168843618</v>
      </c>
      <c r="E100" s="64">
        <f t="shared" si="16"/>
        <v>328.55012858191105</v>
      </c>
      <c r="F100" s="44">
        <f t="shared" si="16"/>
        <v>331.4234586435894</v>
      </c>
      <c r="G100" s="44">
        <f t="shared" si="16"/>
        <v>321.55212055999993</v>
      </c>
      <c r="H100" s="44">
        <f t="shared" si="16"/>
        <v>0</v>
      </c>
      <c r="I100" s="44">
        <f t="shared" si="16"/>
        <v>0</v>
      </c>
    </row>
    <row r="101" spans="1:9" ht="15">
      <c r="A101" s="43" t="str">
        <f>HLOOKUP(INDICE!$F$2,Nombres!$C$3:$D$636,282,FALSE)</f>
        <v>Dotación de capital regulatorio</v>
      </c>
      <c r="B101" s="58">
        <v>242.78611459784804</v>
      </c>
      <c r="C101" s="58">
        <v>285.87269278757645</v>
      </c>
      <c r="D101" s="58">
        <v>317.2172771811784</v>
      </c>
      <c r="E101" s="64">
        <v>290.06156402695547</v>
      </c>
      <c r="F101" s="44">
        <v>296.54176722004314</v>
      </c>
      <c r="G101" s="44">
        <v>311.66313944</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43" t="str">
        <f>HLOOKUP(INDICE!$F$2,Nombres!$C$3:$D$636,66,FALSE)</f>
        <v>Préstamos y anticipos a la clientela bruto (*)</v>
      </c>
      <c r="B107" s="44">
        <v>1703.812466469964</v>
      </c>
      <c r="C107" s="44">
        <v>1840.6272509613427</v>
      </c>
      <c r="D107" s="44">
        <v>2028.1195579931873</v>
      </c>
      <c r="E107" s="45">
        <v>2184.9010276247354</v>
      </c>
      <c r="F107" s="44">
        <v>2254.73107722017</v>
      </c>
      <c r="G107" s="44">
        <v>2277.762</v>
      </c>
      <c r="H107" s="44">
        <v>0</v>
      </c>
      <c r="I107" s="44">
        <v>0</v>
      </c>
    </row>
    <row r="108" spans="1:9" ht="15">
      <c r="A108" s="43" t="str">
        <f>HLOOKUP(INDICE!$F$2,Nombres!$C$3:$D$636,67,FALSE)</f>
        <v>Depósitos de clientes en gestión (**)</v>
      </c>
      <c r="B108" s="44">
        <v>15.508003034464117</v>
      </c>
      <c r="C108" s="44">
        <v>11.90806627228551</v>
      </c>
      <c r="D108" s="44">
        <v>9.595874295687562</v>
      </c>
      <c r="E108" s="45">
        <v>7.0128800125425785</v>
      </c>
      <c r="F108" s="44">
        <v>8.237504944935687</v>
      </c>
      <c r="G108" s="44">
        <v>5.597</v>
      </c>
      <c r="H108" s="44">
        <v>0</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HLOOKUP(INDICE!$F$2,Nombres!$C$3:$D$636,81,FALSE)</f>
        <v>(Millones de pesos chilenos)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 aca="true" t="shared" si="18" ref="B119:I119">+B$7</f>
        <v>1er Trim.</v>
      </c>
      <c r="C119" s="39" t="str">
        <f t="shared" si="18"/>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50">
        <v>30574.584234627124</v>
      </c>
      <c r="C120" s="50">
        <v>30038.977983858385</v>
      </c>
      <c r="D120" s="50">
        <v>30342.761180359048</v>
      </c>
      <c r="E120" s="268">
        <v>26891.12232877582</v>
      </c>
      <c r="F120" s="50">
        <v>25583.45644002873</v>
      </c>
      <c r="G120" s="50">
        <v>27404.13014058501</v>
      </c>
      <c r="H120" s="50">
        <v>0</v>
      </c>
      <c r="I120" s="50">
        <v>0</v>
      </c>
    </row>
    <row r="121" spans="1:9" ht="15">
      <c r="A121" s="43" t="str">
        <f>HLOOKUP(INDICE!$F$2,Nombres!$C$3:$D$636,34,FALSE)</f>
        <v>Comisiones netas</v>
      </c>
      <c r="B121" s="44">
        <v>4538.712700348422</v>
      </c>
      <c r="C121" s="44">
        <v>2853.4272575399523</v>
      </c>
      <c r="D121" s="44">
        <v>3652.13936987126</v>
      </c>
      <c r="E121" s="45">
        <v>23933.60828765149</v>
      </c>
      <c r="F121" s="44">
        <v>8020.646265890879</v>
      </c>
      <c r="G121" s="44">
        <v>7000.857262235074</v>
      </c>
      <c r="H121" s="44">
        <v>0</v>
      </c>
      <c r="I121" s="44">
        <v>0</v>
      </c>
    </row>
    <row r="122" spans="1:9" ht="15">
      <c r="A122" s="43" t="str">
        <f>HLOOKUP(INDICE!$F$2,Nombres!$C$3:$D$636,35,FALSE)</f>
        <v>Resultados de operaciones financieras</v>
      </c>
      <c r="B122" s="44">
        <v>1290.8098919790918</v>
      </c>
      <c r="C122" s="44">
        <v>1419.3105198801186</v>
      </c>
      <c r="D122" s="44">
        <v>1372.7503020378872</v>
      </c>
      <c r="E122" s="45">
        <v>1154.4060700764385</v>
      </c>
      <c r="F122" s="44">
        <v>1626.0893016245523</v>
      </c>
      <c r="G122" s="44">
        <v>2051.703373930426</v>
      </c>
      <c r="H122" s="44">
        <v>0</v>
      </c>
      <c r="I122" s="44">
        <v>0</v>
      </c>
    </row>
    <row r="123" spans="1:9" ht="15">
      <c r="A123" s="43" t="str">
        <f>HLOOKUP(INDICE!$F$2,Nombres!$C$3:$D$636,36,FALSE)</f>
        <v>Otros ingresos y cargas de explotación</v>
      </c>
      <c r="B123" s="44">
        <v>-106.20587718815311</v>
      </c>
      <c r="C123" s="44">
        <v>-185.29225568914458</v>
      </c>
      <c r="D123" s="44">
        <v>-203.92059285367972</v>
      </c>
      <c r="E123" s="45">
        <v>-406.67398123344975</v>
      </c>
      <c r="F123" s="44">
        <v>-318.0721302748991</v>
      </c>
      <c r="G123" s="44">
        <v>-243.31646490343843</v>
      </c>
      <c r="H123" s="44">
        <v>0</v>
      </c>
      <c r="I123" s="44">
        <v>0</v>
      </c>
    </row>
    <row r="124" spans="1:9" ht="15">
      <c r="A124" s="41" t="str">
        <f>HLOOKUP(INDICE!$F$2,Nombres!$C$3:$D$636,37,FALSE)</f>
        <v>Margen bruto</v>
      </c>
      <c r="B124" s="50">
        <f aca="true" t="shared" si="19" ref="B124:I124">+SUM(B120:B123)</f>
        <v>36297.90094976648</v>
      </c>
      <c r="C124" s="50">
        <f t="shared" si="19"/>
        <v>34126.423505589315</v>
      </c>
      <c r="D124" s="50">
        <f t="shared" si="19"/>
        <v>35163.73025941451</v>
      </c>
      <c r="E124" s="268">
        <f t="shared" si="19"/>
        <v>51572.46270527029</v>
      </c>
      <c r="F124" s="50">
        <f t="shared" si="19"/>
        <v>34912.11987726926</v>
      </c>
      <c r="G124" s="50">
        <f t="shared" si="19"/>
        <v>36213.374311847074</v>
      </c>
      <c r="H124" s="50">
        <f t="shared" si="19"/>
        <v>0</v>
      </c>
      <c r="I124" s="50">
        <f t="shared" si="19"/>
        <v>0</v>
      </c>
    </row>
    <row r="125" spans="1:9" ht="15">
      <c r="A125" s="43" t="str">
        <f>HLOOKUP(INDICE!$F$2,Nombres!$C$3:$D$636,38,FALSE)</f>
        <v>Gastos de explotación</v>
      </c>
      <c r="B125" s="44">
        <v>-11719.055136236497</v>
      </c>
      <c r="C125" s="44">
        <v>-12506.169742773212</v>
      </c>
      <c r="D125" s="44">
        <v>-14020.549327220167</v>
      </c>
      <c r="E125" s="45">
        <v>-21121.446275430615</v>
      </c>
      <c r="F125" s="44">
        <v>-13752.046367157378</v>
      </c>
      <c r="G125" s="44">
        <v>-13615.651134672265</v>
      </c>
      <c r="H125" s="44">
        <v>0</v>
      </c>
      <c r="I125" s="44">
        <v>0</v>
      </c>
    </row>
    <row r="126" spans="1:9" ht="15">
      <c r="A126" s="43" t="str">
        <f>HLOOKUP(INDICE!$F$2,Nombres!$C$3:$D$636,39,FALSE)</f>
        <v>  Gastos de administración</v>
      </c>
      <c r="B126" s="44">
        <v>-10516.296270644165</v>
      </c>
      <c r="C126" s="44">
        <v>-11323.697756369576</v>
      </c>
      <c r="D126" s="44">
        <v>-12844.787018022756</v>
      </c>
      <c r="E126" s="45">
        <v>-20274.75757339903</v>
      </c>
      <c r="F126" s="44">
        <v>-12603.500976192125</v>
      </c>
      <c r="G126" s="44">
        <v>-12421.009345762715</v>
      </c>
      <c r="H126" s="44">
        <v>0</v>
      </c>
      <c r="I126" s="44">
        <v>0</v>
      </c>
    </row>
    <row r="127" spans="1:9" ht="15">
      <c r="A127" s="46" t="str">
        <f>HLOOKUP(INDICE!$F$2,Nombres!$C$3:$D$636,40,FALSE)</f>
        <v>  Gastos de personal</v>
      </c>
      <c r="B127" s="44">
        <v>-5334.802907989537</v>
      </c>
      <c r="C127" s="44">
        <v>-5356.771024509985</v>
      </c>
      <c r="D127" s="44">
        <v>-6166.348342512024</v>
      </c>
      <c r="E127" s="45">
        <v>-5935.748788653194</v>
      </c>
      <c r="F127" s="44">
        <v>-5963.19886978393</v>
      </c>
      <c r="G127" s="44">
        <v>-6122.346912129848</v>
      </c>
      <c r="H127" s="44">
        <v>0</v>
      </c>
      <c r="I127" s="44">
        <v>0</v>
      </c>
    </row>
    <row r="128" spans="1:9" ht="15">
      <c r="A128" s="46" t="str">
        <f>HLOOKUP(INDICE!$F$2,Nombres!$C$3:$D$636,41,FALSE)</f>
        <v>  Otros gastos de administración</v>
      </c>
      <c r="B128" s="44">
        <v>-5181.493362654628</v>
      </c>
      <c r="C128" s="44">
        <v>-5966.92673185959</v>
      </c>
      <c r="D128" s="44">
        <v>-6678.438675510733</v>
      </c>
      <c r="E128" s="45">
        <v>-14339.008784745834</v>
      </c>
      <c r="F128" s="44">
        <v>-6640.302106408195</v>
      </c>
      <c r="G128" s="44">
        <v>-6298.66243363287</v>
      </c>
      <c r="H128" s="44">
        <v>0</v>
      </c>
      <c r="I128" s="44">
        <v>0</v>
      </c>
    </row>
    <row r="129" spans="1:9" ht="15">
      <c r="A129" s="43" t="str">
        <f>HLOOKUP(INDICE!$F$2,Nombres!$C$3:$D$636,42,FALSE)</f>
        <v>  Amortización</v>
      </c>
      <c r="B129" s="44">
        <v>-1202.7588655923323</v>
      </c>
      <c r="C129" s="44">
        <v>-1182.471986403636</v>
      </c>
      <c r="D129" s="44">
        <v>-1175.7623091974106</v>
      </c>
      <c r="E129" s="45">
        <v>-846.6887020315886</v>
      </c>
      <c r="F129" s="44">
        <v>-1148.545390965252</v>
      </c>
      <c r="G129" s="44">
        <v>-1194.6417889095483</v>
      </c>
      <c r="H129" s="44">
        <v>0</v>
      </c>
      <c r="I129" s="44">
        <v>0</v>
      </c>
    </row>
    <row r="130" spans="1:9" ht="15">
      <c r="A130" s="41" t="str">
        <f>HLOOKUP(INDICE!$F$2,Nombres!$C$3:$D$636,43,FALSE)</f>
        <v>Margen neto</v>
      </c>
      <c r="B130" s="50">
        <f aca="true" t="shared" si="20" ref="B130:G130">+B124+B125</f>
        <v>24578.845813529984</v>
      </c>
      <c r="C130" s="50">
        <f t="shared" si="20"/>
        <v>21620.2537628161</v>
      </c>
      <c r="D130" s="50">
        <f t="shared" si="20"/>
        <v>21143.18093219434</v>
      </c>
      <c r="E130" s="268">
        <f t="shared" si="20"/>
        <v>30451.016429839678</v>
      </c>
      <c r="F130" s="50">
        <f t="shared" si="20"/>
        <v>21160.07351011188</v>
      </c>
      <c r="G130" s="50">
        <f t="shared" si="20"/>
        <v>22597.72317717481</v>
      </c>
      <c r="H130" s="50">
        <f>+H124+H125</f>
        <v>0</v>
      </c>
      <c r="I130" s="50">
        <f>+I124+I125</f>
        <v>0</v>
      </c>
    </row>
    <row r="131" spans="1:9" ht="15">
      <c r="A131" s="43" t="str">
        <f>HLOOKUP(INDICE!$F$2,Nombres!$C$3:$D$636,44,FALSE)</f>
        <v>Deterioro de activos financieros no valorados a valor razonable con cambios en resultados</v>
      </c>
      <c r="B131" s="44">
        <v>-3624.61596249825</v>
      </c>
      <c r="C131" s="44">
        <v>-9650.732441913668</v>
      </c>
      <c r="D131" s="44">
        <v>-7169.1134854218635</v>
      </c>
      <c r="E131" s="45">
        <v>-31432.751461843804</v>
      </c>
      <c r="F131" s="44">
        <v>-18927.470327591254</v>
      </c>
      <c r="G131" s="44">
        <v>-16004.150458101833</v>
      </c>
      <c r="H131" s="44">
        <v>0</v>
      </c>
      <c r="I131" s="44">
        <v>0</v>
      </c>
    </row>
    <row r="132" spans="1:9" ht="15">
      <c r="A132" s="43" t="str">
        <f>HLOOKUP(INDICE!$F$2,Nombres!$C$3:$D$636,45,FALSE)</f>
        <v>Provisiones o reversión de provisiones y otros resultados</v>
      </c>
      <c r="B132" s="44">
        <v>119.82201528919839</v>
      </c>
      <c r="C132" s="44">
        <v>22.76840265078002</v>
      </c>
      <c r="D132" s="44">
        <v>-100.62124412114791</v>
      </c>
      <c r="E132" s="45">
        <v>-599.0091261356232</v>
      </c>
      <c r="F132" s="44">
        <v>-359.0293634883792</v>
      </c>
      <c r="G132" s="44">
        <v>-198.8723460056209</v>
      </c>
      <c r="H132" s="44">
        <v>0</v>
      </c>
      <c r="I132" s="44">
        <v>0</v>
      </c>
    </row>
    <row r="133" spans="1:9" ht="15">
      <c r="A133" s="41" t="str">
        <f>HLOOKUP(INDICE!$F$2,Nombres!$C$3:$D$636,46,FALSE)</f>
        <v>Resultado antes de impuestos</v>
      </c>
      <c r="B133" s="50">
        <f aca="true" t="shared" si="21" ref="B133:G133">+B130+B131+B132</f>
        <v>21074.051866320933</v>
      </c>
      <c r="C133" s="50">
        <f t="shared" si="21"/>
        <v>11992.289723553213</v>
      </c>
      <c r="D133" s="50">
        <f t="shared" si="21"/>
        <v>13873.446202651328</v>
      </c>
      <c r="E133" s="268">
        <f t="shared" si="21"/>
        <v>-1580.7441581397493</v>
      </c>
      <c r="F133" s="50">
        <f t="shared" si="21"/>
        <v>1873.5738190322472</v>
      </c>
      <c r="G133" s="50">
        <f t="shared" si="21"/>
        <v>6394.700373067355</v>
      </c>
      <c r="H133" s="50">
        <f>+H130+H131+H132</f>
        <v>0</v>
      </c>
      <c r="I133" s="50">
        <f>+I130+I131+I132</f>
        <v>0</v>
      </c>
    </row>
    <row r="134" spans="1:9" ht="15">
      <c r="A134" s="43" t="str">
        <f>HLOOKUP(INDICE!$F$2,Nombres!$C$3:$D$636,47,FALSE)</f>
        <v>Impuesto sobre beneficios</v>
      </c>
      <c r="B134" s="44">
        <v>-4305.302410115448</v>
      </c>
      <c r="C134" s="44">
        <v>-12.782078004810785</v>
      </c>
      <c r="D134" s="44">
        <v>-1115.4649284008854</v>
      </c>
      <c r="E134" s="45">
        <v>-124.98224657405171</v>
      </c>
      <c r="F134" s="44">
        <v>34.5963134662785</v>
      </c>
      <c r="G134" s="44">
        <v>-600.8655025369836</v>
      </c>
      <c r="H134" s="44">
        <v>0</v>
      </c>
      <c r="I134" s="44">
        <v>0</v>
      </c>
    </row>
    <row r="135" spans="1:9" ht="15">
      <c r="A135" s="41" t="str">
        <f>HLOOKUP(INDICE!$F$2,Nombres!$C$3:$D$636,48,FALSE)</f>
        <v>Resultado del ejercicio</v>
      </c>
      <c r="B135" s="50">
        <f aca="true" t="shared" si="22" ref="B135:G135">+B133+B134</f>
        <v>16768.749456205485</v>
      </c>
      <c r="C135" s="50">
        <f t="shared" si="22"/>
        <v>11979.507645548401</v>
      </c>
      <c r="D135" s="50">
        <f t="shared" si="22"/>
        <v>12757.981274250444</v>
      </c>
      <c r="E135" s="268">
        <f t="shared" si="22"/>
        <v>-1705.726404713801</v>
      </c>
      <c r="F135" s="50">
        <f t="shared" si="22"/>
        <v>1908.1701324985256</v>
      </c>
      <c r="G135" s="50">
        <f t="shared" si="22"/>
        <v>5793.8348705303715</v>
      </c>
      <c r="H135" s="50">
        <f>+H133+H134</f>
        <v>0</v>
      </c>
      <c r="I135" s="50">
        <f>+I133+I134</f>
        <v>0</v>
      </c>
    </row>
    <row r="136" spans="1:9" ht="15">
      <c r="A136" s="43" t="str">
        <f>HLOOKUP(INDICE!$F$2,Nombres!$C$3:$D$636,49,FALSE)</f>
        <v>Minoritarios</v>
      </c>
      <c r="B136" s="44">
        <v>0</v>
      </c>
      <c r="C136" s="44">
        <v>0</v>
      </c>
      <c r="D136" s="44">
        <v>0</v>
      </c>
      <c r="E136" s="45">
        <v>0</v>
      </c>
      <c r="F136" s="44">
        <v>0</v>
      </c>
      <c r="G136" s="44">
        <v>0</v>
      </c>
      <c r="H136" s="44">
        <v>0</v>
      </c>
      <c r="I136" s="44">
        <v>0</v>
      </c>
    </row>
    <row r="137" spans="1:9" ht="15">
      <c r="A137" s="47" t="str">
        <f>HLOOKUP(INDICE!$F$2,Nombres!$C$3:$D$636,50,FALSE)</f>
        <v>Resultado atribuido</v>
      </c>
      <c r="B137" s="51">
        <f aca="true" t="shared" si="23" ref="B137:G137">+B135+B136</f>
        <v>16768.749456205485</v>
      </c>
      <c r="C137" s="51">
        <f t="shared" si="23"/>
        <v>11979.507645548401</v>
      </c>
      <c r="D137" s="51">
        <f t="shared" si="23"/>
        <v>12757.981274250444</v>
      </c>
      <c r="E137" s="79">
        <f t="shared" si="23"/>
        <v>-1705.726404713801</v>
      </c>
      <c r="F137" s="51">
        <f t="shared" si="23"/>
        <v>1908.1701324985256</v>
      </c>
      <c r="G137" s="51">
        <f t="shared" si="23"/>
        <v>5793.8348705303715</v>
      </c>
      <c r="H137" s="51">
        <f>+H135+H136</f>
        <v>0</v>
      </c>
      <c r="I137" s="51">
        <f>+I135+I136</f>
        <v>0</v>
      </c>
    </row>
    <row r="138" spans="1:9" ht="15">
      <c r="A138" s="267"/>
      <c r="B138" s="63">
        <v>0</v>
      </c>
      <c r="C138" s="63">
        <v>0</v>
      </c>
      <c r="D138" s="63">
        <v>0</v>
      </c>
      <c r="E138" s="63">
        <v>-3.183231456205249E-12</v>
      </c>
      <c r="F138" s="63">
        <v>-1.0459189070388675E-11</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HLOOKUP(INDICE!$F$2,Nombres!$C$3:$D$636,81,FALSE)</f>
        <v>(Millones de pesos chilenos)</v>
      </c>
      <c r="B141" s="30"/>
      <c r="C141" s="52"/>
      <c r="D141" s="52"/>
      <c r="E141" s="52"/>
      <c r="F141" s="69"/>
      <c r="G141" s="44"/>
      <c r="H141" s="44"/>
      <c r="I141" s="44"/>
    </row>
    <row r="142" spans="1:9" ht="15.75">
      <c r="A142" s="30"/>
      <c r="B142" s="53">
        <f aca="true" t="shared" si="24" ref="B142:G142">+B$30</f>
        <v>44651</v>
      </c>
      <c r="C142" s="53">
        <f t="shared" si="24"/>
        <v>44742</v>
      </c>
      <c r="D142" s="53">
        <f t="shared" si="24"/>
        <v>44834</v>
      </c>
      <c r="E142" s="67">
        <f t="shared" si="24"/>
        <v>44926</v>
      </c>
      <c r="F142" s="53">
        <f t="shared" si="24"/>
        <v>45016</v>
      </c>
      <c r="G142" s="53">
        <f t="shared" si="24"/>
        <v>45107</v>
      </c>
      <c r="H142" s="53">
        <f>+H$30</f>
        <v>45199</v>
      </c>
      <c r="I142" s="53">
        <f>+I$30</f>
        <v>45291</v>
      </c>
    </row>
    <row r="143" spans="1:9" ht="15">
      <c r="A143" s="43" t="str">
        <f>HLOOKUP(INDICE!$F$2,Nombres!$C$3:$D$636,52,FALSE)</f>
        <v>Efectivo, saldos en efectivo en bancos centrales y otros depósitos a la vista</v>
      </c>
      <c r="B143" s="44">
        <v>18420.258739675042</v>
      </c>
      <c r="C143" s="44">
        <v>24628.934344214726</v>
      </c>
      <c r="D143" s="44">
        <v>35632.293302589365</v>
      </c>
      <c r="E143" s="45">
        <v>51667.30296837103</v>
      </c>
      <c r="F143" s="44">
        <v>26285.480785238004</v>
      </c>
      <c r="G143" s="44">
        <v>30380.194802131657</v>
      </c>
      <c r="H143" s="44">
        <v>0</v>
      </c>
      <c r="I143" s="44">
        <v>0</v>
      </c>
    </row>
    <row r="144" spans="1:9" ht="15">
      <c r="A144" s="43" t="str">
        <f>HLOOKUP(INDICE!$F$2,Nombres!$C$3:$D$636,53,FALSE)</f>
        <v>Activos financieros a valor razonable</v>
      </c>
      <c r="B144" s="58">
        <v>0</v>
      </c>
      <c r="C144" s="58">
        <v>0</v>
      </c>
      <c r="D144" s="58">
        <v>0</v>
      </c>
      <c r="E144" s="64">
        <v>0</v>
      </c>
      <c r="F144" s="44">
        <v>0</v>
      </c>
      <c r="G144" s="44">
        <v>0</v>
      </c>
      <c r="H144" s="44">
        <v>0</v>
      </c>
      <c r="I144" s="44">
        <v>0</v>
      </c>
    </row>
    <row r="145" spans="1:9" ht="15">
      <c r="A145" s="43" t="str">
        <f>HLOOKUP(INDICE!$F$2,Nombres!$C$3:$D$636,54,FALSE)</f>
        <v>Activos financieros a coste amortizado</v>
      </c>
      <c r="B145" s="44">
        <v>1534307.0629885998</v>
      </c>
      <c r="C145" s="44">
        <v>1569185.3368876826</v>
      </c>
      <c r="D145" s="44">
        <v>1744296.8061553242</v>
      </c>
      <c r="E145" s="45">
        <v>1844918.4783990555</v>
      </c>
      <c r="F145" s="44">
        <v>1897608.7903619516</v>
      </c>
      <c r="G145" s="44">
        <v>1920043.662075466</v>
      </c>
      <c r="H145" s="44">
        <v>0</v>
      </c>
      <c r="I145" s="44">
        <v>0</v>
      </c>
    </row>
    <row r="146" spans="1:9" ht="15">
      <c r="A146" s="43" t="str">
        <f>HLOOKUP(INDICE!$F$2,Nombres!$C$3:$D$636,55,FALSE)</f>
        <v>    de los que préstamos y anticipos a la clientela</v>
      </c>
      <c r="B146" s="44">
        <v>1432766.697425615</v>
      </c>
      <c r="C146" s="44">
        <v>1544475.1788521793</v>
      </c>
      <c r="D146" s="44">
        <v>1704247.2008051013</v>
      </c>
      <c r="E146" s="45">
        <v>1815137.7452964894</v>
      </c>
      <c r="F146" s="44">
        <v>1865699.1677798068</v>
      </c>
      <c r="G146" s="44">
        <v>1880814.2063505498</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6654.18739576022</v>
      </c>
      <c r="C148" s="44">
        <v>6253.26865634132</v>
      </c>
      <c r="D148" s="44">
        <v>5861.813578451871</v>
      </c>
      <c r="E148" s="45">
        <v>3841.19660457912</v>
      </c>
      <c r="F148" s="44">
        <v>3574.317222576287</v>
      </c>
      <c r="G148" s="44">
        <v>3309.0967811003534</v>
      </c>
      <c r="H148" s="44">
        <v>0</v>
      </c>
      <c r="I148" s="44">
        <v>0</v>
      </c>
    </row>
    <row r="149" spans="1:9" ht="15">
      <c r="A149" s="43" t="str">
        <f>HLOOKUP(INDICE!$F$2,Nombres!$C$3:$D$636,57,FALSE)</f>
        <v>Otros activos</v>
      </c>
      <c r="B149" s="58">
        <f aca="true" t="shared" si="25" ref="B149:I149">+B150-B148-B145-B144-B143</f>
        <v>204022.6206474671</v>
      </c>
      <c r="C149" s="58">
        <f t="shared" si="25"/>
        <v>261879.3069459534</v>
      </c>
      <c r="D149" s="58">
        <f t="shared" si="25"/>
        <v>290277.0141584593</v>
      </c>
      <c r="E149" s="64">
        <f t="shared" si="25"/>
        <v>282742.52564311045</v>
      </c>
      <c r="F149" s="44">
        <f t="shared" si="25"/>
        <v>285305.0205062289</v>
      </c>
      <c r="G149" s="44">
        <f t="shared" si="25"/>
        <v>257555.70346130835</v>
      </c>
      <c r="H149" s="44">
        <f t="shared" si="25"/>
        <v>0</v>
      </c>
      <c r="I149" s="44">
        <f t="shared" si="25"/>
        <v>0</v>
      </c>
    </row>
    <row r="150" spans="1:9" ht="15">
      <c r="A150" s="47" t="str">
        <f>HLOOKUP(INDICE!$F$2,Nombres!$C$3:$D$636,58,FALSE)</f>
        <v>Total activo / pasivo</v>
      </c>
      <c r="B150" s="47">
        <v>1763404.1297715022</v>
      </c>
      <c r="C150" s="47">
        <v>1861946.846834192</v>
      </c>
      <c r="D150" s="47">
        <v>2076067.927194825</v>
      </c>
      <c r="E150" s="47">
        <v>2183169.5036151162</v>
      </c>
      <c r="F150" s="51">
        <v>2212773.6088759946</v>
      </c>
      <c r="G150" s="51">
        <v>2211288.657120006</v>
      </c>
      <c r="H150" s="51">
        <v>0</v>
      </c>
      <c r="I150" s="51">
        <v>0</v>
      </c>
    </row>
    <row r="151" spans="1:9" ht="15">
      <c r="A151" s="43" t="str">
        <f>HLOOKUP(INDICE!$F$2,Nombres!$C$3:$D$636,59,FALSE)</f>
        <v>Pasivos financieros mantenidos para negociar y designados a valor razonable con cambios en resultados</v>
      </c>
      <c r="B151" s="58">
        <v>0</v>
      </c>
      <c r="C151" s="58">
        <v>0</v>
      </c>
      <c r="D151" s="58">
        <v>0</v>
      </c>
      <c r="E151" s="64">
        <v>0</v>
      </c>
      <c r="F151" s="44">
        <v>0</v>
      </c>
      <c r="G151" s="44">
        <v>0</v>
      </c>
      <c r="H151" s="44">
        <v>0</v>
      </c>
      <c r="I151" s="44">
        <v>0</v>
      </c>
    </row>
    <row r="152" spans="1:9" ht="15">
      <c r="A152" s="43" t="str">
        <f>HLOOKUP(INDICE!$F$2,Nombres!$C$3:$D$636,60,FALSE)</f>
        <v>Depósitos de bancos centrales y entidades de crédito</v>
      </c>
      <c r="B152" s="58">
        <v>566628.3054292497</v>
      </c>
      <c r="C152" s="58">
        <v>521451.32020510035</v>
      </c>
      <c r="D152" s="58">
        <v>776227.4748277952</v>
      </c>
      <c r="E152" s="64">
        <v>922743.4327430645</v>
      </c>
      <c r="F152" s="44">
        <v>880183.341528912</v>
      </c>
      <c r="G152" s="44">
        <v>907590.8758719274</v>
      </c>
      <c r="H152" s="44">
        <v>0</v>
      </c>
      <c r="I152" s="44">
        <v>0</v>
      </c>
    </row>
    <row r="153" spans="1:9" ht="15">
      <c r="A153" s="43" t="str">
        <f>HLOOKUP(INDICE!$F$2,Nombres!$C$3:$D$636,61,FALSE)</f>
        <v>Depósitos de la clientela</v>
      </c>
      <c r="B153" s="58">
        <v>13525.957544185481</v>
      </c>
      <c r="C153" s="58">
        <v>10386.12118364514</v>
      </c>
      <c r="D153" s="58">
        <v>8369.445636189594</v>
      </c>
      <c r="E153" s="64">
        <v>6116.578459606656</v>
      </c>
      <c r="F153" s="44">
        <v>7184.686636158387</v>
      </c>
      <c r="G153" s="44">
        <v>4881.659115397649</v>
      </c>
      <c r="H153" s="44">
        <v>0</v>
      </c>
      <c r="I153" s="44">
        <v>0</v>
      </c>
    </row>
    <row r="154" spans="1:9" ht="15">
      <c r="A154" s="43" t="str">
        <f>HLOOKUP(INDICE!$F$2,Nombres!$C$3:$D$636,62,FALSE)</f>
        <v>Valores representativos de deuda emitidos</v>
      </c>
      <c r="B154" s="44">
        <v>712712.7140436578</v>
      </c>
      <c r="C154" s="44">
        <v>836533.7818410009</v>
      </c>
      <c r="D154" s="44">
        <v>770835.7438570334</v>
      </c>
      <c r="E154" s="45">
        <v>714761.2687005207</v>
      </c>
      <c r="F154" s="44">
        <v>777699.2793012508</v>
      </c>
      <c r="G154" s="44">
        <v>746530.7824886056</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 aca="true" t="shared" si="26" ref="B156:I156">+B150-B151-B152-B153-B154-B157</f>
        <v>258781.02457528442</v>
      </c>
      <c r="C156" s="58">
        <f t="shared" si="26"/>
        <v>244239.7228380093</v>
      </c>
      <c r="D156" s="58">
        <f t="shared" si="26"/>
        <v>243960.86360399745</v>
      </c>
      <c r="E156" s="64">
        <f t="shared" si="26"/>
        <v>286558.8225937027</v>
      </c>
      <c r="F156" s="44">
        <f t="shared" si="26"/>
        <v>289064.9183391263</v>
      </c>
      <c r="G156" s="44">
        <f t="shared" si="26"/>
        <v>280455.2153666547</v>
      </c>
      <c r="H156" s="44">
        <f t="shared" si="26"/>
        <v>0</v>
      </c>
      <c r="I156" s="44">
        <f t="shared" si="26"/>
        <v>0</v>
      </c>
    </row>
    <row r="157" spans="1:9" ht="15.75" customHeight="1">
      <c r="A157" s="43" t="str">
        <f>HLOOKUP(INDICE!$F$2,Nombres!$C$3:$D$636,282,FALSE)</f>
        <v>Dotación de capital regulatorio</v>
      </c>
      <c r="B157" s="58">
        <v>211756.12817912505</v>
      </c>
      <c r="C157" s="58">
        <v>249335.9007664363</v>
      </c>
      <c r="D157" s="58">
        <v>276674.3992698092</v>
      </c>
      <c r="E157" s="64">
        <v>252989.40111822146</v>
      </c>
      <c r="F157" s="44">
        <v>258641.3830705469</v>
      </c>
      <c r="G157" s="44">
        <v>271830.1242774208</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HLOOKUP(INDICE!$F$2,Nombres!$C$3:$D$636,81,FALSE)</f>
        <v>(Millones de pesos chilenos)</v>
      </c>
      <c r="B161" s="30"/>
      <c r="C161" s="30"/>
      <c r="D161" s="30"/>
      <c r="E161" s="30"/>
      <c r="F161" s="69"/>
      <c r="G161" s="44"/>
      <c r="H161" s="44"/>
      <c r="I161" s="44"/>
    </row>
    <row r="162" spans="1:9" ht="15.75">
      <c r="A162" s="30"/>
      <c r="B162" s="53">
        <f aca="true" t="shared" si="27" ref="B162:G162">+B$30</f>
        <v>44651</v>
      </c>
      <c r="C162" s="53">
        <f t="shared" si="27"/>
        <v>44742</v>
      </c>
      <c r="D162" s="53">
        <f t="shared" si="27"/>
        <v>44834</v>
      </c>
      <c r="E162" s="67">
        <f t="shared" si="27"/>
        <v>44926</v>
      </c>
      <c r="F162" s="53">
        <f t="shared" si="27"/>
        <v>45016</v>
      </c>
      <c r="G162" s="53">
        <f t="shared" si="27"/>
        <v>45107</v>
      </c>
      <c r="H162" s="53">
        <f>+H$30</f>
        <v>45199</v>
      </c>
      <c r="I162" s="53">
        <f>+I$30</f>
        <v>45291</v>
      </c>
    </row>
    <row r="163" spans="1:9" ht="15">
      <c r="A163" s="43" t="str">
        <f>HLOOKUP(INDICE!$F$2,Nombres!$C$3:$D$636,66,FALSE)</f>
        <v>Préstamos y anticipos a la clientela bruto (*)</v>
      </c>
      <c r="B163" s="44">
        <v>1486051.7523443364</v>
      </c>
      <c r="C163" s="44">
        <v>1605380.5248713156</v>
      </c>
      <c r="D163" s="44">
        <v>1768909.8315872238</v>
      </c>
      <c r="E163" s="45">
        <v>1905653.3889129856</v>
      </c>
      <c r="F163" s="44">
        <v>1966558.6056605682</v>
      </c>
      <c r="G163" s="44">
        <v>1986645.994283791</v>
      </c>
      <c r="H163" s="44">
        <v>0</v>
      </c>
      <c r="I163" s="44">
        <v>0</v>
      </c>
    </row>
    <row r="164" spans="1:9" ht="15">
      <c r="A164" s="43" t="str">
        <f>HLOOKUP(INDICE!$F$2,Nombres!$C$3:$D$636,67,FALSE)</f>
        <v>Depósitos de clientes en gestión (**)</v>
      </c>
      <c r="B164" s="44">
        <v>13525.957544185481</v>
      </c>
      <c r="C164" s="44">
        <v>10386.12118364514</v>
      </c>
      <c r="D164" s="44">
        <v>8369.445636189594</v>
      </c>
      <c r="E164" s="45">
        <v>6116.578459606656</v>
      </c>
      <c r="F164" s="44">
        <v>7184.686636158387</v>
      </c>
      <c r="G164" s="44">
        <v>4881.659115397649</v>
      </c>
      <c r="H164" s="44">
        <v>0</v>
      </c>
      <c r="I164" s="44">
        <v>0</v>
      </c>
    </row>
    <row r="165" spans="1:9" ht="15">
      <c r="A165" s="43" t="str">
        <f>HLOOKUP(INDICE!$F$2,Nombres!$C$3:$D$636,68,FALSE)</f>
        <v>Fondos de inversión y carteras gestionadas</v>
      </c>
      <c r="B165" s="44">
        <v>0</v>
      </c>
      <c r="C165" s="44">
        <v>0</v>
      </c>
      <c r="D165" s="44">
        <v>0</v>
      </c>
      <c r="E165" s="45">
        <v>0</v>
      </c>
      <c r="F165" s="44">
        <v>0</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9" ht="15">
      <c r="A167" s="43" t="str">
        <f>HLOOKUP(INDICE!$F$2,Nombres!$C$3:$D$636,70,FALSE)</f>
        <v>Otros recursos fuera de balance</v>
      </c>
      <c r="B167" s="44">
        <v>0</v>
      </c>
      <c r="C167" s="44">
        <v>0</v>
      </c>
      <c r="D167" s="44">
        <v>0</v>
      </c>
      <c r="E167" s="45">
        <v>0</v>
      </c>
      <c r="F167" s="44">
        <v>0</v>
      </c>
      <c r="G167" s="44">
        <v>0</v>
      </c>
      <c r="H167" s="44">
        <v>0</v>
      </c>
      <c r="I167" s="44">
        <v>0</v>
      </c>
    </row>
    <row r="168" spans="1:9" ht="15">
      <c r="A168" s="62" t="str">
        <f>HLOOKUP(INDICE!$F$2,Nombres!$C$3:$D$636,71,FALSE)</f>
        <v>(*) No incluye las adquisiciones temporales de activos.</v>
      </c>
      <c r="B168" s="44"/>
      <c r="C168" s="58"/>
      <c r="D168" s="58"/>
      <c r="E168" s="58"/>
      <c r="F168" s="44"/>
      <c r="G168" s="44"/>
      <c r="H168" s="44"/>
      <c r="I168" s="44"/>
    </row>
    <row r="169" spans="1:9" ht="15">
      <c r="A169" s="62"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391</v>
      </c>
    </row>
  </sheetData>
  <sheetProtection/>
  <mergeCells count="6">
    <mergeCell ref="B6:E6"/>
    <mergeCell ref="F6:I6"/>
    <mergeCell ref="B62:E62"/>
    <mergeCell ref="F62:I62"/>
    <mergeCell ref="B118:E118"/>
    <mergeCell ref="F118:I118"/>
  </mergeCells>
  <conditionalFormatting sqref="H26:I26">
    <cfRule type="cellIs" priority="36" dxfId="196" operator="notBetween">
      <formula>0.5</formula>
      <formula>-0.5</formula>
    </cfRule>
  </conditionalFormatting>
  <conditionalFormatting sqref="H26:I26">
    <cfRule type="cellIs" priority="32" dxfId="196" operator="notBetween">
      <formula>0.5</formula>
      <formula>-0.5</formula>
    </cfRule>
  </conditionalFormatting>
  <conditionalFormatting sqref="H82:I82">
    <cfRule type="cellIs" priority="31" dxfId="196" operator="notBetween">
      <formula>0.5</formula>
      <formula>-0.5</formula>
    </cfRule>
  </conditionalFormatting>
  <conditionalFormatting sqref="H82:I82">
    <cfRule type="cellIs" priority="27" dxfId="196" operator="notBetween">
      <formula>0.5</formula>
      <formula>-0.5</formula>
    </cfRule>
  </conditionalFormatting>
  <conditionalFormatting sqref="H138:I138">
    <cfRule type="cellIs" priority="26" dxfId="196" operator="notBetween">
      <formula>0.5</formula>
      <formula>-0.5</formula>
    </cfRule>
  </conditionalFormatting>
  <conditionalFormatting sqref="H138:I138">
    <cfRule type="cellIs" priority="22" dxfId="196" operator="notBetween">
      <formula>0.5</formula>
      <formula>-0.5</formula>
    </cfRule>
  </conditionalFormatting>
  <conditionalFormatting sqref="H26:I26">
    <cfRule type="cellIs" priority="21" dxfId="196" operator="notBetween">
      <formula>0.5</formula>
      <formula>-0.5</formula>
    </cfRule>
  </conditionalFormatting>
  <conditionalFormatting sqref="H82:I82">
    <cfRule type="cellIs" priority="20" dxfId="196" operator="notBetween">
      <formula>0.5</formula>
      <formula>-0.5</formula>
    </cfRule>
  </conditionalFormatting>
  <conditionalFormatting sqref="H138:I138">
    <cfRule type="cellIs" priority="19" dxfId="196" operator="notBetween">
      <formula>0.5</formula>
      <formula>-0.5</formula>
    </cfRule>
  </conditionalFormatting>
  <conditionalFormatting sqref="G26">
    <cfRule type="cellIs" priority="18" dxfId="196" operator="notBetween">
      <formula>0.5</formula>
      <formula>-0.5</formula>
    </cfRule>
  </conditionalFormatting>
  <conditionalFormatting sqref="C26">
    <cfRule type="cellIs" priority="17" dxfId="196" operator="notBetween">
      <formula>0.5</formula>
      <formula>-0.5</formula>
    </cfRule>
  </conditionalFormatting>
  <conditionalFormatting sqref="D26">
    <cfRule type="cellIs" priority="16" dxfId="196" operator="notBetween">
      <formula>0.5</formula>
      <formula>-0.5</formula>
    </cfRule>
  </conditionalFormatting>
  <conditionalFormatting sqref="E26">
    <cfRule type="cellIs" priority="15" dxfId="196" operator="notBetween">
      <formula>0.5</formula>
      <formula>-0.5</formula>
    </cfRule>
  </conditionalFormatting>
  <conditionalFormatting sqref="F26:G26">
    <cfRule type="cellIs" priority="14" dxfId="196" operator="notBetween">
      <formula>0.5</formula>
      <formula>-0.5</formula>
    </cfRule>
  </conditionalFormatting>
  <conditionalFormatting sqref="G82">
    <cfRule type="cellIs" priority="13" dxfId="196" operator="notBetween">
      <formula>0.5</formula>
      <formula>-0.5</formula>
    </cfRule>
  </conditionalFormatting>
  <conditionalFormatting sqref="C82">
    <cfRule type="cellIs" priority="12" dxfId="196" operator="notBetween">
      <formula>0.5</formula>
      <formula>-0.5</formula>
    </cfRule>
  </conditionalFormatting>
  <conditionalFormatting sqref="D82">
    <cfRule type="cellIs" priority="11" dxfId="196" operator="notBetween">
      <formula>0.5</formula>
      <formula>-0.5</formula>
    </cfRule>
  </conditionalFormatting>
  <conditionalFormatting sqref="E82">
    <cfRule type="cellIs" priority="10" dxfId="196" operator="notBetween">
      <formula>0.5</formula>
      <formula>-0.5</formula>
    </cfRule>
  </conditionalFormatting>
  <conditionalFormatting sqref="F82:G82">
    <cfRule type="cellIs" priority="9" dxfId="196" operator="notBetween">
      <formula>0.5</formula>
      <formula>-0.5</formula>
    </cfRule>
  </conditionalFormatting>
  <conditionalFormatting sqref="G138">
    <cfRule type="cellIs" priority="8" dxfId="196" operator="notBetween">
      <formula>0.5</formula>
      <formula>-0.5</formula>
    </cfRule>
  </conditionalFormatting>
  <conditionalFormatting sqref="C138">
    <cfRule type="cellIs" priority="7" dxfId="196" operator="notBetween">
      <formula>0.5</formula>
      <formula>-0.5</formula>
    </cfRule>
  </conditionalFormatting>
  <conditionalFormatting sqref="D138">
    <cfRule type="cellIs" priority="6" dxfId="196" operator="notBetween">
      <formula>0.5</formula>
      <formula>-0.5</formula>
    </cfRule>
  </conditionalFormatting>
  <conditionalFormatting sqref="E138">
    <cfRule type="cellIs" priority="5" dxfId="196" operator="notBetween">
      <formula>0.5</formula>
      <formula>-0.5</formula>
    </cfRule>
  </conditionalFormatting>
  <conditionalFormatting sqref="F138:G138">
    <cfRule type="cellIs" priority="4" dxfId="196" operator="notBetween">
      <formula>0.5</formula>
      <formula>-0.5</formula>
    </cfRule>
  </conditionalFormatting>
  <conditionalFormatting sqref="B26:G26">
    <cfRule type="cellIs" priority="3" dxfId="196" operator="notBetween">
      <formula>0.5</formula>
      <formula>-0.5</formula>
    </cfRule>
  </conditionalFormatting>
  <conditionalFormatting sqref="B82:G82">
    <cfRule type="cellIs" priority="2" dxfId="196" operator="notBetween">
      <formula>0.5</formula>
      <formula>-0.5</formula>
    </cfRule>
  </conditionalFormatting>
  <conditionalFormatting sqref="B138:G138">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7" width="12.28125" style="31" customWidth="1"/>
    <col min="8" max="9" width="12.28125" style="31" hidden="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212.54699999999997</v>
      </c>
      <c r="C8" s="41">
        <v>229.45900000000003</v>
      </c>
      <c r="D8" s="41">
        <v>209.984</v>
      </c>
      <c r="E8" s="42">
        <v>193.77900000000008</v>
      </c>
      <c r="F8" s="50">
        <v>171.144</v>
      </c>
      <c r="G8" s="50">
        <v>178.34699999000009</v>
      </c>
      <c r="H8" s="50">
        <v>0</v>
      </c>
      <c r="I8" s="50">
        <v>0</v>
      </c>
    </row>
    <row r="9" spans="1:9" ht="15">
      <c r="A9" s="43" t="str">
        <f>HLOOKUP(INDICE!$F$2,Nombres!$C$3:$D$636,34,FALSE)</f>
        <v>Comisiones netas</v>
      </c>
      <c r="B9" s="44">
        <v>25.100369349999994</v>
      </c>
      <c r="C9" s="44">
        <v>26.831253310000008</v>
      </c>
      <c r="D9" s="44">
        <v>26.33378805</v>
      </c>
      <c r="E9" s="45">
        <v>22.687322599999987</v>
      </c>
      <c r="F9" s="44">
        <v>24.067286929999998</v>
      </c>
      <c r="G9" s="44">
        <v>30.902546139999988</v>
      </c>
      <c r="H9" s="44">
        <v>0</v>
      </c>
      <c r="I9" s="44">
        <v>0</v>
      </c>
    </row>
    <row r="10" spans="1:9" ht="15">
      <c r="A10" s="43" t="str">
        <f>HLOOKUP(INDICE!$F$2,Nombres!$C$3:$D$636,35,FALSE)</f>
        <v>Resultados de operaciones financieras</v>
      </c>
      <c r="B10" s="44">
        <v>24.080761770000006</v>
      </c>
      <c r="C10" s="44">
        <v>27.27963604999998</v>
      </c>
      <c r="D10" s="44">
        <v>28.283706319999975</v>
      </c>
      <c r="E10" s="45">
        <v>23.58645037000004</v>
      </c>
      <c r="F10" s="44">
        <v>32.770545580000004</v>
      </c>
      <c r="G10" s="44">
        <v>26.71192002</v>
      </c>
      <c r="H10" s="44">
        <v>0</v>
      </c>
      <c r="I10" s="44">
        <v>0</v>
      </c>
    </row>
    <row r="11" spans="1:9" ht="15">
      <c r="A11" s="43" t="str">
        <f>HLOOKUP(INDICE!$F$2,Nombres!$C$3:$D$636,36,FALSE)</f>
        <v>Otros ingresos y cargas de explotación</v>
      </c>
      <c r="B11" s="44">
        <v>0.31099999999999905</v>
      </c>
      <c r="C11" s="44">
        <v>-1.3639999999999968</v>
      </c>
      <c r="D11" s="44">
        <v>2.675000000000015</v>
      </c>
      <c r="E11" s="45">
        <v>-27.341998350000004</v>
      </c>
      <c r="F11" s="44">
        <v>1.6949999999999985</v>
      </c>
      <c r="G11" s="44">
        <v>-2.910000000000002</v>
      </c>
      <c r="H11" s="44">
        <v>0</v>
      </c>
      <c r="I11" s="44">
        <v>0</v>
      </c>
    </row>
    <row r="12" spans="1:9" ht="15">
      <c r="A12" s="41" t="str">
        <f>HLOOKUP(INDICE!$F$2,Nombres!$C$3:$D$636,37,FALSE)</f>
        <v>Margen bruto</v>
      </c>
      <c r="B12" s="41">
        <f aca="true" t="shared" si="0" ref="B12:I12">+SUM(B8:B11)</f>
        <v>262.0391311199999</v>
      </c>
      <c r="C12" s="41">
        <f t="shared" si="0"/>
        <v>282.20588936</v>
      </c>
      <c r="D12" s="41">
        <f t="shared" si="0"/>
        <v>267.27649437</v>
      </c>
      <c r="E12" s="42">
        <f t="shared" si="0"/>
        <v>212.7107746200001</v>
      </c>
      <c r="F12" s="50">
        <f t="shared" si="0"/>
        <v>229.67683251</v>
      </c>
      <c r="G12" s="50">
        <f t="shared" si="0"/>
        <v>233.0514661500001</v>
      </c>
      <c r="H12" s="50">
        <f t="shared" si="0"/>
        <v>0</v>
      </c>
      <c r="I12" s="50">
        <f t="shared" si="0"/>
        <v>0</v>
      </c>
    </row>
    <row r="13" spans="1:9" ht="15">
      <c r="A13" s="43" t="str">
        <f>HLOOKUP(INDICE!$F$2,Nombres!$C$3:$D$636,38,FALSE)</f>
        <v>Gastos de explotación</v>
      </c>
      <c r="B13" s="44">
        <v>-88.62772147999999</v>
      </c>
      <c r="C13" s="44">
        <v>-98.70291742</v>
      </c>
      <c r="D13" s="44">
        <v>-102.64975664999999</v>
      </c>
      <c r="E13" s="45">
        <v>-123.77646802999999</v>
      </c>
      <c r="F13" s="44">
        <v>-106.38950137</v>
      </c>
      <c r="G13" s="44">
        <v>-102.05187433</v>
      </c>
      <c r="H13" s="44">
        <v>0</v>
      </c>
      <c r="I13" s="44">
        <v>0</v>
      </c>
    </row>
    <row r="14" spans="1:9" ht="15">
      <c r="A14" s="43" t="str">
        <f>HLOOKUP(INDICE!$F$2,Nombres!$C$3:$D$636,39,FALSE)</f>
        <v>  Gastos de administración</v>
      </c>
      <c r="B14" s="44">
        <v>-81.40572148</v>
      </c>
      <c r="C14" s="44">
        <v>-91.13791742000001</v>
      </c>
      <c r="D14" s="44">
        <v>-95.46175664999998</v>
      </c>
      <c r="E14" s="45">
        <v>-117.02546803</v>
      </c>
      <c r="F14" s="44">
        <v>-99.58850136999999</v>
      </c>
      <c r="G14" s="44">
        <v>-95.08087433</v>
      </c>
      <c r="H14" s="44">
        <v>0</v>
      </c>
      <c r="I14" s="44">
        <v>0</v>
      </c>
    </row>
    <row r="15" spans="1:9" ht="15">
      <c r="A15" s="46" t="str">
        <f>HLOOKUP(INDICE!$F$2,Nombres!$C$3:$D$636,40,FALSE)</f>
        <v>  Gastos de personal</v>
      </c>
      <c r="B15" s="44">
        <v>-41.048</v>
      </c>
      <c r="C15" s="44">
        <v>-45.84</v>
      </c>
      <c r="D15" s="44">
        <v>-44.34999999</v>
      </c>
      <c r="E15" s="45">
        <v>-60.28000001</v>
      </c>
      <c r="F15" s="44">
        <v>-46.429</v>
      </c>
      <c r="G15" s="44">
        <v>-41.916</v>
      </c>
      <c r="H15" s="44">
        <v>0</v>
      </c>
      <c r="I15" s="44">
        <v>0</v>
      </c>
    </row>
    <row r="16" spans="1:9" ht="15">
      <c r="A16" s="46" t="str">
        <f>HLOOKUP(INDICE!$F$2,Nombres!$C$3:$D$636,41,FALSE)</f>
        <v>  Otros gastos de administración</v>
      </c>
      <c r="B16" s="44">
        <v>-40.357721479999995</v>
      </c>
      <c r="C16" s="44">
        <v>-45.29791742000001</v>
      </c>
      <c r="D16" s="44">
        <v>-51.11175665999999</v>
      </c>
      <c r="E16" s="45">
        <v>-56.745468020000004</v>
      </c>
      <c r="F16" s="44">
        <v>-53.15950137</v>
      </c>
      <c r="G16" s="44">
        <v>-53.16487433</v>
      </c>
      <c r="H16" s="44">
        <v>0</v>
      </c>
      <c r="I16" s="44">
        <v>0</v>
      </c>
    </row>
    <row r="17" spans="1:9" ht="15">
      <c r="A17" s="43" t="str">
        <f>HLOOKUP(INDICE!$F$2,Nombres!$C$3:$D$636,42,FALSE)</f>
        <v>  Amortización</v>
      </c>
      <c r="B17" s="44">
        <v>-7.2219999999999995</v>
      </c>
      <c r="C17" s="44">
        <v>-7.565000000000001</v>
      </c>
      <c r="D17" s="44">
        <v>-7.188000000000001</v>
      </c>
      <c r="E17" s="45">
        <v>-6.750999999999998</v>
      </c>
      <c r="F17" s="44">
        <v>-6.801</v>
      </c>
      <c r="G17" s="44">
        <v>-6.970999999999999</v>
      </c>
      <c r="H17" s="44">
        <v>0</v>
      </c>
      <c r="I17" s="44">
        <v>0</v>
      </c>
    </row>
    <row r="18" spans="1:9" ht="15">
      <c r="A18" s="41" t="str">
        <f>HLOOKUP(INDICE!$F$2,Nombres!$C$3:$D$636,43,FALSE)</f>
        <v>Margen neto</v>
      </c>
      <c r="B18" s="41">
        <f aca="true" t="shared" si="1" ref="B18:I18">+B12+B13</f>
        <v>173.41140963999993</v>
      </c>
      <c r="C18" s="41">
        <f t="shared" si="1"/>
        <v>183.50297194</v>
      </c>
      <c r="D18" s="41">
        <f t="shared" si="1"/>
        <v>164.62673772000005</v>
      </c>
      <c r="E18" s="42">
        <f t="shared" si="1"/>
        <v>88.93430659000012</v>
      </c>
      <c r="F18" s="50">
        <f t="shared" si="1"/>
        <v>123.28733113999999</v>
      </c>
      <c r="G18" s="50">
        <f t="shared" si="1"/>
        <v>130.9995918200001</v>
      </c>
      <c r="H18" s="50">
        <f t="shared" si="1"/>
        <v>0</v>
      </c>
      <c r="I18" s="50">
        <f t="shared" si="1"/>
        <v>0</v>
      </c>
    </row>
    <row r="19" spans="1:9" ht="15">
      <c r="A19" s="43" t="str">
        <f>HLOOKUP(INDICE!$F$2,Nombres!$C$3:$D$636,44,FALSE)</f>
        <v>Deterioro de activos financieros no valorados a valor razonable con cambios en resultados</v>
      </c>
      <c r="B19" s="44">
        <v>-55.44199999999999</v>
      </c>
      <c r="C19" s="44">
        <v>-54.81699999999999</v>
      </c>
      <c r="D19" s="44">
        <v>-55.49100000000003</v>
      </c>
      <c r="E19" s="45">
        <v>-62.05699999999999</v>
      </c>
      <c r="F19" s="44">
        <v>-60.41399999999999</v>
      </c>
      <c r="G19" s="44">
        <v>-74.864</v>
      </c>
      <c r="H19" s="44">
        <v>0</v>
      </c>
      <c r="I19" s="44">
        <v>0</v>
      </c>
    </row>
    <row r="20" spans="1:9" ht="15">
      <c r="A20" s="43" t="str">
        <f>HLOOKUP(INDICE!$F$2,Nombres!$C$3:$D$636,45,FALSE)</f>
        <v>Provisiones o reversión de provisiones y otros resultados</v>
      </c>
      <c r="B20" s="44">
        <v>-1.6279999999999997</v>
      </c>
      <c r="C20" s="44">
        <v>-3.37</v>
      </c>
      <c r="D20" s="44">
        <v>-5.473000000000001</v>
      </c>
      <c r="E20" s="45">
        <v>3.0570000000000004</v>
      </c>
      <c r="F20" s="44">
        <v>-1.4060000000000004</v>
      </c>
      <c r="G20" s="44">
        <v>8.016</v>
      </c>
      <c r="H20" s="44">
        <v>0</v>
      </c>
      <c r="I20" s="44">
        <v>0</v>
      </c>
    </row>
    <row r="21" spans="1:9" ht="15">
      <c r="A21" s="41" t="str">
        <f>HLOOKUP(INDICE!$F$2,Nombres!$C$3:$D$636,46,FALSE)</f>
        <v>Resultado antes de impuestos</v>
      </c>
      <c r="B21" s="41">
        <f aca="true" t="shared" si="2" ref="B21:I21">+B18+B19+B20</f>
        <v>116.34140963999994</v>
      </c>
      <c r="C21" s="41">
        <f t="shared" si="2"/>
        <v>125.31597194</v>
      </c>
      <c r="D21" s="41">
        <f t="shared" si="2"/>
        <v>103.66273772000002</v>
      </c>
      <c r="E21" s="42">
        <f t="shared" si="2"/>
        <v>29.934306590000133</v>
      </c>
      <c r="F21" s="50">
        <f t="shared" si="2"/>
        <v>61.467331140000006</v>
      </c>
      <c r="G21" s="50">
        <f t="shared" si="2"/>
        <v>64.15159182000009</v>
      </c>
      <c r="H21" s="50">
        <f t="shared" si="2"/>
        <v>0</v>
      </c>
      <c r="I21" s="50">
        <f t="shared" si="2"/>
        <v>0</v>
      </c>
    </row>
    <row r="22" spans="1:9" ht="15">
      <c r="A22" s="43" t="str">
        <f>HLOOKUP(INDICE!$F$2,Nombres!$C$3:$D$636,47,FALSE)</f>
        <v>Impuesto sobre beneficios</v>
      </c>
      <c r="B22" s="44">
        <v>-42.08407676</v>
      </c>
      <c r="C22" s="44">
        <v>-41.46281466000001</v>
      </c>
      <c r="D22" s="44">
        <v>-36.82232474</v>
      </c>
      <c r="E22" s="45">
        <v>-7.558536770000011</v>
      </c>
      <c r="F22" s="44">
        <v>-22.12338491</v>
      </c>
      <c r="G22" s="44">
        <v>-11.20591887</v>
      </c>
      <c r="H22" s="44">
        <v>0</v>
      </c>
      <c r="I22" s="44">
        <v>0</v>
      </c>
    </row>
    <row r="23" spans="1:9" ht="15">
      <c r="A23" s="41" t="str">
        <f>HLOOKUP(INDICE!$F$2,Nombres!$C$3:$D$636,48,FALSE)</f>
        <v>Resultado del ejercicio</v>
      </c>
      <c r="B23" s="41">
        <f aca="true" t="shared" si="3" ref="B23:I23">+B21+B22</f>
        <v>74.25733287999994</v>
      </c>
      <c r="C23" s="41">
        <f t="shared" si="3"/>
        <v>83.85315727999999</v>
      </c>
      <c r="D23" s="41">
        <f t="shared" si="3"/>
        <v>66.84041298000002</v>
      </c>
      <c r="E23" s="42">
        <f t="shared" si="3"/>
        <v>22.375769820000123</v>
      </c>
      <c r="F23" s="50">
        <f t="shared" si="3"/>
        <v>39.34394623000001</v>
      </c>
      <c r="G23" s="50">
        <f t="shared" si="3"/>
        <v>52.945672950000095</v>
      </c>
      <c r="H23" s="50">
        <f t="shared" si="3"/>
        <v>0</v>
      </c>
      <c r="I23" s="50">
        <f t="shared" si="3"/>
        <v>0</v>
      </c>
    </row>
    <row r="24" spans="1:9" ht="15">
      <c r="A24" s="43" t="str">
        <f>HLOOKUP(INDICE!$F$2,Nombres!$C$3:$D$636,49,FALSE)</f>
        <v>Minoritarios</v>
      </c>
      <c r="B24" s="44">
        <v>-2.63367044</v>
      </c>
      <c r="C24" s="44">
        <v>-2.4684990100000004</v>
      </c>
      <c r="D24" s="44">
        <v>-1.764356</v>
      </c>
      <c r="E24" s="45">
        <v>0.6529529999999997</v>
      </c>
      <c r="F24" s="44">
        <v>1.2979088799999998</v>
      </c>
      <c r="G24" s="44">
        <v>1.681142</v>
      </c>
      <c r="H24" s="44">
        <v>0</v>
      </c>
      <c r="I24" s="44">
        <v>0</v>
      </c>
    </row>
    <row r="25" spans="1:9" ht="15">
      <c r="A25" s="47" t="str">
        <f>HLOOKUP(INDICE!$F$2,Nombres!$C$3:$D$636,50,FALSE)</f>
        <v>Resultado atribuido</v>
      </c>
      <c r="B25" s="47">
        <f aca="true" t="shared" si="4" ref="B25:I25">+B23+B24</f>
        <v>71.62366243999993</v>
      </c>
      <c r="C25" s="47">
        <f t="shared" si="4"/>
        <v>81.38465826999999</v>
      </c>
      <c r="D25" s="47">
        <f t="shared" si="4"/>
        <v>65.07605698000002</v>
      </c>
      <c r="E25" s="47">
        <f t="shared" si="4"/>
        <v>23.028722820000123</v>
      </c>
      <c r="F25" s="51">
        <f t="shared" si="4"/>
        <v>40.64185511000001</v>
      </c>
      <c r="G25" s="51">
        <f t="shared" si="4"/>
        <v>54.626814950000096</v>
      </c>
      <c r="H25" s="51">
        <f t="shared" si="4"/>
        <v>0</v>
      </c>
      <c r="I25" s="51">
        <f t="shared" si="4"/>
        <v>0</v>
      </c>
    </row>
    <row r="26" spans="1:9" ht="15">
      <c r="A26" s="62"/>
      <c r="B26" s="63">
        <v>0</v>
      </c>
      <c r="C26" s="63">
        <v>0</v>
      </c>
      <c r="D26" s="63">
        <v>0</v>
      </c>
      <c r="E26" s="63">
        <v>-2.842170943040401E-14</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1954.251</v>
      </c>
      <c r="C31" s="44">
        <v>2289.6649999999995</v>
      </c>
      <c r="D31" s="44">
        <v>2473.2560000000003</v>
      </c>
      <c r="E31" s="45">
        <v>1860.75</v>
      </c>
      <c r="F31" s="44">
        <v>1516.496</v>
      </c>
      <c r="G31" s="44">
        <v>2132.142</v>
      </c>
      <c r="H31" s="44">
        <v>0</v>
      </c>
      <c r="I31" s="44">
        <v>0</v>
      </c>
    </row>
    <row r="32" spans="1:9" ht="15">
      <c r="A32" s="43" t="str">
        <f>HLOOKUP(INDICE!$F$2,Nombres!$C$3:$D$636,53,FALSE)</f>
        <v>Activos financieros a valor razonable</v>
      </c>
      <c r="B32" s="58">
        <v>3017.0080000000003</v>
      </c>
      <c r="C32" s="58">
        <v>3628.4299999999994</v>
      </c>
      <c r="D32" s="58">
        <v>3572.0029999999997</v>
      </c>
      <c r="E32" s="64">
        <v>3282.0710000000004</v>
      </c>
      <c r="F32" s="44">
        <v>3188.8019999999997</v>
      </c>
      <c r="G32" s="44">
        <v>4185.136</v>
      </c>
      <c r="H32" s="44">
        <v>0</v>
      </c>
      <c r="I32" s="44">
        <v>0</v>
      </c>
    </row>
    <row r="33" spans="1:9" ht="15">
      <c r="A33" s="43" t="str">
        <f>HLOOKUP(INDICE!$F$2,Nombres!$C$3:$D$636,54,FALSE)</f>
        <v>Activos financieros a coste amortizado</v>
      </c>
      <c r="B33" s="44">
        <v>14833.607999999998</v>
      </c>
      <c r="C33" s="44">
        <v>15602.117999999999</v>
      </c>
      <c r="D33" s="44">
        <v>15432.210000000003</v>
      </c>
      <c r="E33" s="45">
        <v>13972.123</v>
      </c>
      <c r="F33" s="44">
        <v>14441.204000000002</v>
      </c>
      <c r="G33" s="44">
        <v>16359.426</v>
      </c>
      <c r="H33" s="44">
        <v>0</v>
      </c>
      <c r="I33" s="44">
        <v>0</v>
      </c>
    </row>
    <row r="34" spans="1:9" ht="15">
      <c r="A34" s="43" t="str">
        <f>HLOOKUP(INDICE!$F$2,Nombres!$C$3:$D$636,55,FALSE)</f>
        <v>    de los que préstamos y anticipos a la clientela</v>
      </c>
      <c r="B34" s="44">
        <v>14073.537</v>
      </c>
      <c r="C34" s="44">
        <v>14593.019</v>
      </c>
      <c r="D34" s="44">
        <v>14626.701000000001</v>
      </c>
      <c r="E34" s="45">
        <v>13247.167999999998</v>
      </c>
      <c r="F34" s="44">
        <v>13706.14</v>
      </c>
      <c r="G34" s="44">
        <v>15534.097000000002</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105.84</v>
      </c>
      <c r="C36" s="44">
        <v>101.583</v>
      </c>
      <c r="D36" s="44">
        <v>98.194</v>
      </c>
      <c r="E36" s="45">
        <v>85.297</v>
      </c>
      <c r="F36" s="44">
        <v>86.42300000000002</v>
      </c>
      <c r="G36" s="44">
        <v>93.98500000000001</v>
      </c>
      <c r="H36" s="44">
        <v>0</v>
      </c>
      <c r="I36" s="44">
        <v>0</v>
      </c>
    </row>
    <row r="37" spans="1:9" ht="15">
      <c r="A37" s="43" t="str">
        <f>HLOOKUP(INDICE!$F$2,Nombres!$C$3:$D$636,57,FALSE)</f>
        <v>Otros activos</v>
      </c>
      <c r="B37" s="58">
        <f aca="true" t="shared" si="5" ref="B37:I37">+B38-B36-B33-B32-B31</f>
        <v>612.544369859999</v>
      </c>
      <c r="C37" s="58">
        <f t="shared" si="5"/>
        <v>667.8323542299972</v>
      </c>
      <c r="D37" s="58">
        <f t="shared" si="5"/>
        <v>740.1798793799953</v>
      </c>
      <c r="E37" s="64">
        <f t="shared" si="5"/>
        <v>629.0101230299983</v>
      </c>
      <c r="F37" s="44">
        <f t="shared" si="5"/>
        <v>567.1029999999946</v>
      </c>
      <c r="G37" s="44">
        <f t="shared" si="5"/>
        <v>661.7587628099991</v>
      </c>
      <c r="H37" s="44">
        <f t="shared" si="5"/>
        <v>0</v>
      </c>
      <c r="I37" s="44">
        <f t="shared" si="5"/>
        <v>0</v>
      </c>
    </row>
    <row r="38" spans="1:9" ht="15">
      <c r="A38" s="47" t="str">
        <f>HLOOKUP(INDICE!$F$2,Nombres!$C$3:$D$636,58,FALSE)</f>
        <v>Total activo / pasivo</v>
      </c>
      <c r="B38" s="47">
        <v>20523.251369859998</v>
      </c>
      <c r="C38" s="47">
        <v>22289.628354229993</v>
      </c>
      <c r="D38" s="47">
        <v>22315.842879379998</v>
      </c>
      <c r="E38" s="47">
        <v>19829.251123029997</v>
      </c>
      <c r="F38" s="51">
        <v>19800.027999999995</v>
      </c>
      <c r="G38" s="51">
        <v>23432.44776281</v>
      </c>
      <c r="H38" s="51">
        <v>0</v>
      </c>
      <c r="I38" s="51">
        <v>0</v>
      </c>
    </row>
    <row r="39" spans="1:9" ht="15">
      <c r="A39" s="43" t="str">
        <f>HLOOKUP(INDICE!$F$2,Nombres!$C$3:$D$636,59,FALSE)</f>
        <v>Pasivos financieros mantenidos para negociar y designados a valor razonable con cambios en resultados</v>
      </c>
      <c r="B39" s="58">
        <v>2159.98</v>
      </c>
      <c r="C39" s="58">
        <v>2693.205</v>
      </c>
      <c r="D39" s="58">
        <v>3097.04</v>
      </c>
      <c r="E39" s="64">
        <v>2434.834</v>
      </c>
      <c r="F39" s="44">
        <v>2021.2240000000002</v>
      </c>
      <c r="G39" s="44">
        <v>3505.1269999999995</v>
      </c>
      <c r="H39" s="44">
        <v>0</v>
      </c>
      <c r="I39" s="44">
        <v>0</v>
      </c>
    </row>
    <row r="40" spans="1:9" ht="15.75" customHeight="1">
      <c r="A40" s="43" t="str">
        <f>HLOOKUP(INDICE!$F$2,Nombres!$C$3:$D$636,60,FALSE)</f>
        <v>Depósitos de bancos centrales y entidades de crédito</v>
      </c>
      <c r="B40" s="58">
        <v>1515.10800001</v>
      </c>
      <c r="C40" s="58">
        <v>866.4019999899999</v>
      </c>
      <c r="D40" s="58">
        <v>1194.093</v>
      </c>
      <c r="E40" s="64">
        <v>1320.184</v>
      </c>
      <c r="F40" s="44">
        <v>1125.355</v>
      </c>
      <c r="G40" s="44">
        <v>1302.347</v>
      </c>
      <c r="H40" s="44">
        <v>0</v>
      </c>
      <c r="I40" s="44">
        <v>0</v>
      </c>
    </row>
    <row r="41" spans="1:9" ht="15">
      <c r="A41" s="43" t="str">
        <f>HLOOKUP(INDICE!$F$2,Nombres!$C$3:$D$636,61,FALSE)</f>
        <v>Depósitos de la clientela</v>
      </c>
      <c r="B41" s="58">
        <v>13447.496999990002</v>
      </c>
      <c r="C41" s="58">
        <v>15291.701000009998</v>
      </c>
      <c r="D41" s="58">
        <v>14512.007999999998</v>
      </c>
      <c r="E41" s="64">
        <v>13051.841</v>
      </c>
      <c r="F41" s="44">
        <v>13624.636000000002</v>
      </c>
      <c r="G41" s="44">
        <v>15157.057</v>
      </c>
      <c r="H41" s="44">
        <v>0</v>
      </c>
      <c r="I41" s="44">
        <v>0</v>
      </c>
    </row>
    <row r="42" spans="1:9" ht="15">
      <c r="A42" s="43" t="str">
        <f>HLOOKUP(INDICE!$F$2,Nombres!$C$3:$D$636,62,FALSE)</f>
        <v>Valores representativos de deuda emitidos</v>
      </c>
      <c r="B42" s="44">
        <v>878.09216156</v>
      </c>
      <c r="C42" s="44">
        <v>926.68810403</v>
      </c>
      <c r="D42" s="44">
        <v>967.88829056</v>
      </c>
      <c r="E42" s="45">
        <v>871.12451771</v>
      </c>
      <c r="F42" s="44">
        <v>817.26818938</v>
      </c>
      <c r="G42" s="44">
        <v>925.3335739300001</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 aca="true" t="shared" si="6" ref="B44:I44">+B38-B39-B40-B41-B42-B45</f>
        <v>698.7309178499952</v>
      </c>
      <c r="C44" s="58">
        <f t="shared" si="6"/>
        <v>500.83871122999267</v>
      </c>
      <c r="D44" s="58">
        <f t="shared" si="6"/>
        <v>514.318502239998</v>
      </c>
      <c r="E44" s="64">
        <f t="shared" si="6"/>
        <v>310.8677739399984</v>
      </c>
      <c r="F44" s="44">
        <f t="shared" si="6"/>
        <v>393.22904545999495</v>
      </c>
      <c r="G44" s="44">
        <f t="shared" si="6"/>
        <v>476.6502850999964</v>
      </c>
      <c r="H44" s="44">
        <f t="shared" si="6"/>
        <v>0</v>
      </c>
      <c r="I44" s="44">
        <f t="shared" si="6"/>
        <v>0</v>
      </c>
    </row>
    <row r="45" spans="1:9" ht="15">
      <c r="A45" s="43" t="str">
        <f>HLOOKUP(INDICE!$F$2,Nombres!$C$3:$D$636,282,FALSE)</f>
        <v>Dotación de capital regulatorio</v>
      </c>
      <c r="B45" s="58">
        <v>1823.8432904499998</v>
      </c>
      <c r="C45" s="58">
        <v>2010.7935389699999</v>
      </c>
      <c r="D45" s="58">
        <v>2030.4950865800001</v>
      </c>
      <c r="E45" s="64">
        <v>1840.39983138</v>
      </c>
      <c r="F45" s="44">
        <v>1818.3157651599997</v>
      </c>
      <c r="G45" s="44">
        <v>2065.9329037800003</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G50">+B$30</f>
        <v>44651</v>
      </c>
      <c r="C50" s="53">
        <f t="shared" si="7"/>
        <v>44742</v>
      </c>
      <c r="D50" s="53">
        <f t="shared" si="7"/>
        <v>44834</v>
      </c>
      <c r="E50" s="67">
        <f t="shared" si="7"/>
        <v>44926</v>
      </c>
      <c r="F50" s="53">
        <f t="shared" si="7"/>
        <v>45016</v>
      </c>
      <c r="G50" s="53">
        <f t="shared" si="7"/>
        <v>45107</v>
      </c>
      <c r="H50" s="53">
        <f>+H$30</f>
        <v>45199</v>
      </c>
      <c r="I50" s="53">
        <f>+I$30</f>
        <v>45291</v>
      </c>
    </row>
    <row r="51" spans="1:9" ht="15">
      <c r="A51" s="43" t="str">
        <f>HLOOKUP(INDICE!$F$2,Nombres!$C$3:$D$636,66,FALSE)</f>
        <v>Préstamos y anticipos a la clientela bruto (*)</v>
      </c>
      <c r="B51" s="44">
        <v>14846.219000000001</v>
      </c>
      <c r="C51" s="44">
        <v>15337.597000000003</v>
      </c>
      <c r="D51" s="44">
        <v>15352.031</v>
      </c>
      <c r="E51" s="45">
        <v>13881.871999999998</v>
      </c>
      <c r="F51" s="44">
        <v>14363.703000000001</v>
      </c>
      <c r="G51" s="44">
        <v>16266.401</v>
      </c>
      <c r="H51" s="44">
        <v>0</v>
      </c>
      <c r="I51" s="44">
        <v>0</v>
      </c>
    </row>
    <row r="52" spans="1:9" ht="15">
      <c r="A52" s="43" t="str">
        <f>HLOOKUP(INDICE!$F$2,Nombres!$C$3:$D$636,67,FALSE)</f>
        <v>Depósitos de clientes en gestión (**)</v>
      </c>
      <c r="B52" s="44">
        <v>13447.49699999</v>
      </c>
      <c r="C52" s="44">
        <v>15291.701000009998</v>
      </c>
      <c r="D52" s="44">
        <v>14512.008000000002</v>
      </c>
      <c r="E52" s="45">
        <v>13051.841</v>
      </c>
      <c r="F52" s="44">
        <v>13624.636</v>
      </c>
      <c r="G52" s="44">
        <v>15157.057</v>
      </c>
      <c r="H52" s="44">
        <v>0</v>
      </c>
      <c r="I52" s="44">
        <v>0</v>
      </c>
    </row>
    <row r="53" spans="1:9" ht="15">
      <c r="A53" s="43" t="str">
        <f>HLOOKUP(INDICE!$F$2,Nombres!$C$3:$D$636,68,FALSE)</f>
        <v>Fondos de inversión y carteras gestionadas</v>
      </c>
      <c r="B53" s="44">
        <v>2572.59723742</v>
      </c>
      <c r="C53" s="44">
        <v>2309.0974927800003</v>
      </c>
      <c r="D53" s="44">
        <v>2286.90941909</v>
      </c>
      <c r="E53" s="45">
        <v>2045.6128869899999</v>
      </c>
      <c r="F53" s="44">
        <v>2417.3406822600004</v>
      </c>
      <c r="G53" s="44">
        <v>2188.0191006200002</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 aca="true" t="shared" si="8" ref="B63:I63">+B$7</f>
        <v>1er Trim.</v>
      </c>
      <c r="C63" s="39" t="str">
        <f t="shared" si="8"/>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187.93939396852426</v>
      </c>
      <c r="C64" s="41">
        <v>193.2609724857958</v>
      </c>
      <c r="D64" s="41">
        <v>186.68800388815754</v>
      </c>
      <c r="E64" s="42">
        <v>193.5665363262243</v>
      </c>
      <c r="F64" s="50">
        <v>176.09623595589724</v>
      </c>
      <c r="G64" s="50">
        <v>173.39476403410288</v>
      </c>
      <c r="H64" s="50">
        <v>0</v>
      </c>
      <c r="I64" s="50">
        <v>0</v>
      </c>
    </row>
    <row r="65" spans="1:9" ht="15">
      <c r="A65" s="43" t="str">
        <f>HLOOKUP(INDICE!$F$2,Nombres!$C$3:$D$636,34,FALSE)</f>
        <v>Comisiones netas</v>
      </c>
      <c r="B65" s="44">
        <v>22.194376792074795</v>
      </c>
      <c r="C65" s="44">
        <v>22.593145523367685</v>
      </c>
      <c r="D65" s="44">
        <v>23.38226026141696</v>
      </c>
      <c r="E65" s="45">
        <v>22.71904654848848</v>
      </c>
      <c r="F65" s="44">
        <v>24.76369979691699</v>
      </c>
      <c r="G65" s="44">
        <v>30.20613327308301</v>
      </c>
      <c r="H65" s="44">
        <v>0</v>
      </c>
      <c r="I65" s="44">
        <v>0</v>
      </c>
    </row>
    <row r="66" spans="1:9" ht="15">
      <c r="A66" s="43" t="str">
        <f>HLOOKUP(INDICE!$F$2,Nombres!$C$3:$D$636,35,FALSE)</f>
        <v>Resultados de operaciones financieras</v>
      </c>
      <c r="B66" s="44">
        <v>21.29281416982697</v>
      </c>
      <c r="C66" s="44">
        <v>23.002065244080654</v>
      </c>
      <c r="D66" s="44">
        <v>25.07575588333794</v>
      </c>
      <c r="E66" s="45">
        <v>23.56894069781972</v>
      </c>
      <c r="F66" s="44">
        <v>33.71879660904948</v>
      </c>
      <c r="G66" s="44">
        <v>25.763668990950535</v>
      </c>
      <c r="H66" s="44">
        <v>0</v>
      </c>
      <c r="I66" s="44">
        <v>0</v>
      </c>
    </row>
    <row r="67" spans="1:9" ht="15">
      <c r="A67" s="43" t="str">
        <f>HLOOKUP(INDICE!$F$2,Nombres!$C$3:$D$636,36,FALSE)</f>
        <v>Otros ingresos y cargas de explotación</v>
      </c>
      <c r="B67" s="44">
        <v>0.274994008497937</v>
      </c>
      <c r="C67" s="44">
        <v>-1.1831354949854422</v>
      </c>
      <c r="D67" s="44">
        <v>2.320916125202058</v>
      </c>
      <c r="E67" s="45">
        <v>-24.56876515517756</v>
      </c>
      <c r="F67" s="44">
        <v>1.7440466504536838</v>
      </c>
      <c r="G67" s="44">
        <v>-2.9590466504536845</v>
      </c>
      <c r="H67" s="44">
        <v>0</v>
      </c>
      <c r="I67" s="44">
        <v>0</v>
      </c>
    </row>
    <row r="68" spans="1:9" ht="15">
      <c r="A68" s="41" t="str">
        <f>HLOOKUP(INDICE!$F$2,Nombres!$C$3:$D$636,37,FALSE)</f>
        <v>Margen bruto</v>
      </c>
      <c r="B68" s="41">
        <f aca="true" t="shared" si="9" ref="B68:I68">+SUM(B64:B67)</f>
        <v>231.70157893892397</v>
      </c>
      <c r="C68" s="41">
        <f t="shared" si="9"/>
        <v>237.67304775825872</v>
      </c>
      <c r="D68" s="41">
        <f t="shared" si="9"/>
        <v>237.46693615811446</v>
      </c>
      <c r="E68" s="42">
        <f t="shared" si="9"/>
        <v>215.28575841735494</v>
      </c>
      <c r="F68" s="50">
        <f t="shared" si="9"/>
        <v>236.32277901231743</v>
      </c>
      <c r="G68" s="50">
        <f t="shared" si="9"/>
        <v>226.40551964768275</v>
      </c>
      <c r="H68" s="50">
        <f t="shared" si="9"/>
        <v>0</v>
      </c>
      <c r="I68" s="50">
        <f t="shared" si="9"/>
        <v>0</v>
      </c>
    </row>
    <row r="69" spans="1:9" ht="15">
      <c r="A69" s="43" t="str">
        <f>HLOOKUP(INDICE!$F$2,Nombres!$C$3:$D$636,38,FALSE)</f>
        <v>Gastos de explotación</v>
      </c>
      <c r="B69" s="44">
        <v>-78.36685657178113</v>
      </c>
      <c r="C69" s="44">
        <v>-83.19318604483925</v>
      </c>
      <c r="D69" s="44">
        <v>-91.01514145086</v>
      </c>
      <c r="E69" s="45">
        <v>-119.93456024904536</v>
      </c>
      <c r="F69" s="44">
        <v>-109.46799616978547</v>
      </c>
      <c r="G69" s="44">
        <v>-98.97337953021453</v>
      </c>
      <c r="H69" s="44">
        <v>0</v>
      </c>
      <c r="I69" s="44">
        <v>0</v>
      </c>
    </row>
    <row r="70" spans="1:9" ht="15">
      <c r="A70" s="43" t="str">
        <f>HLOOKUP(INDICE!$F$2,Nombres!$C$3:$D$636,39,FALSE)</f>
        <v>  Gastos de administración</v>
      </c>
      <c r="B70" s="44">
        <v>-71.98098284389656</v>
      </c>
      <c r="C70" s="44">
        <v>-76.82626949666417</v>
      </c>
      <c r="D70" s="44">
        <v>-84.62753549649291</v>
      </c>
      <c r="E70" s="45">
        <v>-113.21263042003378</v>
      </c>
      <c r="F70" s="44">
        <v>-102.47020191035448</v>
      </c>
      <c r="G70" s="44">
        <v>-92.19917378964551</v>
      </c>
      <c r="H70" s="44">
        <v>0</v>
      </c>
      <c r="I70" s="44">
        <v>0</v>
      </c>
    </row>
    <row r="71" spans="1:9" ht="15">
      <c r="A71" s="46" t="str">
        <f>HLOOKUP(INDICE!$F$2,Nombres!$C$3:$D$636,40,FALSE)</f>
        <v>  Gastos de personal</v>
      </c>
      <c r="B71" s="44">
        <v>-36.295672221296876</v>
      </c>
      <c r="C71" s="44">
        <v>-38.639368118614726</v>
      </c>
      <c r="D71" s="44">
        <v>-39.37428026520074</v>
      </c>
      <c r="E71" s="45">
        <v>-58.11638997942839</v>
      </c>
      <c r="F71" s="44">
        <v>-47.77247311735351</v>
      </c>
      <c r="G71" s="44">
        <v>-40.572526882646486</v>
      </c>
      <c r="H71" s="44">
        <v>0</v>
      </c>
      <c r="I71" s="44">
        <v>0</v>
      </c>
    </row>
    <row r="72" spans="1:9" ht="15">
      <c r="A72" s="46" t="str">
        <f>HLOOKUP(INDICE!$F$2,Nombres!$C$3:$D$636,41,FALSE)</f>
        <v>  Otros gastos de administración</v>
      </c>
      <c r="B72" s="44">
        <v>-35.68531062259969</v>
      </c>
      <c r="C72" s="44">
        <v>-38.18690137804943</v>
      </c>
      <c r="D72" s="44">
        <v>-45.25325523129218</v>
      </c>
      <c r="E72" s="45">
        <v>-55.09624044060537</v>
      </c>
      <c r="F72" s="44">
        <v>-54.69772879300098</v>
      </c>
      <c r="G72" s="44">
        <v>-51.62664690699903</v>
      </c>
      <c r="H72" s="44">
        <v>0</v>
      </c>
      <c r="I72" s="44">
        <v>0</v>
      </c>
    </row>
    <row r="73" spans="1:9" ht="15">
      <c r="A73" s="43" t="str">
        <f>HLOOKUP(INDICE!$F$2,Nombres!$C$3:$D$636,42,FALSE)</f>
        <v>  Amortización</v>
      </c>
      <c r="B73" s="44">
        <v>-6.385873727884575</v>
      </c>
      <c r="C73" s="44">
        <v>-6.366916548175097</v>
      </c>
      <c r="D73" s="44">
        <v>-6.387605954367092</v>
      </c>
      <c r="E73" s="45">
        <v>-6.721929829011599</v>
      </c>
      <c r="F73" s="44">
        <v>-6.997794259430986</v>
      </c>
      <c r="G73" s="44">
        <v>-6.7742057405690135</v>
      </c>
      <c r="H73" s="44">
        <v>0</v>
      </c>
      <c r="I73" s="44">
        <v>0</v>
      </c>
    </row>
    <row r="74" spans="1:9" ht="15">
      <c r="A74" s="41" t="str">
        <f>HLOOKUP(INDICE!$F$2,Nombres!$C$3:$D$636,43,FALSE)</f>
        <v>Margen neto</v>
      </c>
      <c r="B74" s="41">
        <f aca="true" t="shared" si="10" ref="B74:I74">+B68+B69</f>
        <v>153.33472236714283</v>
      </c>
      <c r="C74" s="41">
        <f t="shared" si="10"/>
        <v>154.47986171341947</v>
      </c>
      <c r="D74" s="41">
        <f t="shared" si="10"/>
        <v>146.45179470725446</v>
      </c>
      <c r="E74" s="42">
        <f t="shared" si="10"/>
        <v>95.35119816830958</v>
      </c>
      <c r="F74" s="50">
        <f t="shared" si="10"/>
        <v>126.85478284253196</v>
      </c>
      <c r="G74" s="50">
        <f t="shared" si="10"/>
        <v>127.43214011746822</v>
      </c>
      <c r="H74" s="50">
        <f t="shared" si="10"/>
        <v>0</v>
      </c>
      <c r="I74" s="50">
        <f t="shared" si="10"/>
        <v>0</v>
      </c>
    </row>
    <row r="75" spans="1:9" ht="15">
      <c r="A75" s="43" t="str">
        <f>HLOOKUP(INDICE!$F$2,Nombres!$C$3:$D$636,44,FALSE)</f>
        <v>Deterioro de activos financieros no valorados a valor razonable con cambios en resultados</v>
      </c>
      <c r="B75" s="44">
        <v>-49.02320842168049</v>
      </c>
      <c r="C75" s="44">
        <v>-46.06774329591353</v>
      </c>
      <c r="D75" s="44">
        <v>-49.278589815659004</v>
      </c>
      <c r="E75" s="45">
        <v>-60.727545169471846</v>
      </c>
      <c r="F75" s="44">
        <v>-62.16214415369264</v>
      </c>
      <c r="G75" s="44">
        <v>-73.1158558463074</v>
      </c>
      <c r="H75" s="44">
        <v>0</v>
      </c>
      <c r="I75" s="44">
        <v>0</v>
      </c>
    </row>
    <row r="76" spans="1:9" ht="15">
      <c r="A76" s="43" t="str">
        <f>HLOOKUP(INDICE!$F$2,Nombres!$C$3:$D$636,45,FALSE)</f>
        <v>Provisiones o reversión de provisiones y otros resultados</v>
      </c>
      <c r="B76" s="44">
        <v>-1.4395184753525454</v>
      </c>
      <c r="C76" s="44">
        <v>-2.8709194633602584</v>
      </c>
      <c r="D76" s="44">
        <v>-4.809884651903744</v>
      </c>
      <c r="E76" s="45">
        <v>2.4454188307935296</v>
      </c>
      <c r="F76" s="44">
        <v>-1.4466841242111403</v>
      </c>
      <c r="G76" s="44">
        <v>8.056684124211142</v>
      </c>
      <c r="H76" s="44">
        <v>0</v>
      </c>
      <c r="I76" s="44">
        <v>0</v>
      </c>
    </row>
    <row r="77" spans="1:9" ht="15">
      <c r="A77" s="41" t="str">
        <f>HLOOKUP(INDICE!$F$2,Nombres!$C$3:$D$636,46,FALSE)</f>
        <v>Resultado antes de impuestos</v>
      </c>
      <c r="B77" s="41">
        <f aca="true" t="shared" si="11" ref="B77:I77">+B74+B75+B76</f>
        <v>102.8719954701098</v>
      </c>
      <c r="C77" s="41">
        <f t="shared" si="11"/>
        <v>105.54119895414568</v>
      </c>
      <c r="D77" s="41">
        <f t="shared" si="11"/>
        <v>92.36332023969172</v>
      </c>
      <c r="E77" s="42">
        <f t="shared" si="11"/>
        <v>37.06907182963126</v>
      </c>
      <c r="F77" s="50">
        <f t="shared" si="11"/>
        <v>63.245954564628185</v>
      </c>
      <c r="G77" s="50">
        <f t="shared" si="11"/>
        <v>62.37296839537197</v>
      </c>
      <c r="H77" s="50">
        <f t="shared" si="11"/>
        <v>0</v>
      </c>
      <c r="I77" s="50">
        <f t="shared" si="11"/>
        <v>0</v>
      </c>
    </row>
    <row r="78" spans="1:9" ht="15">
      <c r="A78" s="43" t="str">
        <f>HLOOKUP(INDICE!$F$2,Nombres!$C$3:$D$636,47,FALSE)</f>
        <v>Impuesto sobre beneficios</v>
      </c>
      <c r="B78" s="44">
        <v>-37.211797306004115</v>
      </c>
      <c r="C78" s="44">
        <v>-34.841762205457925</v>
      </c>
      <c r="D78" s="44">
        <v>-32.78896568754993</v>
      </c>
      <c r="E78" s="45">
        <v>-10.332203559845222</v>
      </c>
      <c r="F78" s="44">
        <v>-22.763548878456128</v>
      </c>
      <c r="G78" s="44">
        <v>-10.565754901543878</v>
      </c>
      <c r="H78" s="44">
        <v>0</v>
      </c>
      <c r="I78" s="44">
        <v>0</v>
      </c>
    </row>
    <row r="79" spans="1:9" ht="15">
      <c r="A79" s="41" t="str">
        <f>HLOOKUP(INDICE!$F$2,Nombres!$C$3:$D$636,48,FALSE)</f>
        <v>Resultado del ejercicio</v>
      </c>
      <c r="B79" s="41">
        <f aca="true" t="shared" si="12" ref="B79:I79">+B77+B78</f>
        <v>65.66019816410568</v>
      </c>
      <c r="C79" s="41">
        <f t="shared" si="12"/>
        <v>70.69943674868776</v>
      </c>
      <c r="D79" s="41">
        <f t="shared" si="12"/>
        <v>59.574354552141784</v>
      </c>
      <c r="E79" s="42">
        <f t="shared" si="12"/>
        <v>26.73686826978604</v>
      </c>
      <c r="F79" s="50">
        <f t="shared" si="12"/>
        <v>40.48240568617206</v>
      </c>
      <c r="G79" s="50">
        <f t="shared" si="12"/>
        <v>51.807213493828094</v>
      </c>
      <c r="H79" s="50">
        <f t="shared" si="12"/>
        <v>0</v>
      </c>
      <c r="I79" s="50">
        <f t="shared" si="12"/>
        <v>0</v>
      </c>
    </row>
    <row r="80" spans="1:9" ht="15">
      <c r="A80" s="43" t="str">
        <f>HLOOKUP(INDICE!$F$2,Nombres!$C$3:$D$636,49,FALSE)</f>
        <v>Minoritarios</v>
      </c>
      <c r="B80" s="44">
        <v>-2.3287575284827198</v>
      </c>
      <c r="C80" s="44">
        <v>-2.07151953574726</v>
      </c>
      <c r="D80" s="44">
        <v>-1.5805201070696522</v>
      </c>
      <c r="E80" s="45">
        <v>0.3866512165602556</v>
      </c>
      <c r="F80" s="44">
        <v>1.3354652712437138</v>
      </c>
      <c r="G80" s="44">
        <v>1.6435856087562875</v>
      </c>
      <c r="H80" s="44">
        <v>0</v>
      </c>
      <c r="I80" s="44">
        <v>0</v>
      </c>
    </row>
    <row r="81" spans="1:9" ht="15">
      <c r="A81" s="47" t="str">
        <f>HLOOKUP(INDICE!$F$2,Nombres!$C$3:$D$636,50,FALSE)</f>
        <v>Resultado atribuido</v>
      </c>
      <c r="B81" s="47">
        <f aca="true" t="shared" si="13" ref="B81:I81">+B79+B80</f>
        <v>63.33144063562296</v>
      </c>
      <c r="C81" s="47">
        <f t="shared" si="13"/>
        <v>68.6279172129405</v>
      </c>
      <c r="D81" s="47">
        <f t="shared" si="13"/>
        <v>57.99383444507213</v>
      </c>
      <c r="E81" s="47">
        <f t="shared" si="13"/>
        <v>27.123519486346297</v>
      </c>
      <c r="F81" s="51">
        <f t="shared" si="13"/>
        <v>41.81787095741577</v>
      </c>
      <c r="G81" s="51">
        <f t="shared" si="13"/>
        <v>53.450799102584384</v>
      </c>
      <c r="H81" s="51">
        <f t="shared" si="13"/>
        <v>0</v>
      </c>
      <c r="I81" s="51">
        <f t="shared" si="13"/>
        <v>0</v>
      </c>
    </row>
    <row r="82" spans="1:9" ht="15">
      <c r="A82" s="62"/>
      <c r="B82" s="63">
        <v>0</v>
      </c>
      <c r="C82" s="63">
        <v>0</v>
      </c>
      <c r="D82" s="63">
        <v>0</v>
      </c>
      <c r="E82" s="63">
        <v>0</v>
      </c>
      <c r="F82" s="63">
        <v>8.526512829121202E-14</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43" t="str">
        <f>HLOOKUP(INDICE!$F$2,Nombres!$C$3:$D$636,52,FALSE)</f>
        <v>Efectivo, saldos en efectivo en bancos centrales y otros depósitos a la vista</v>
      </c>
      <c r="B87" s="44">
        <v>1785.4308481674943</v>
      </c>
      <c r="C87" s="44">
        <v>2155.4086850122385</v>
      </c>
      <c r="D87" s="44">
        <v>2399.1910142968813</v>
      </c>
      <c r="E87" s="45">
        <v>2096.2176146243783</v>
      </c>
      <c r="F87" s="44">
        <v>1675.6333741935155</v>
      </c>
      <c r="G87" s="44">
        <v>2132.142</v>
      </c>
      <c r="H87" s="44">
        <v>0</v>
      </c>
      <c r="I87" s="44">
        <v>0</v>
      </c>
    </row>
    <row r="88" spans="1:9" ht="15">
      <c r="A88" s="43" t="str">
        <f>HLOOKUP(INDICE!$F$2,Nombres!$C$3:$D$636,53,FALSE)</f>
        <v>Activos financieros a valor razonable</v>
      </c>
      <c r="B88" s="58">
        <v>2756.3803996355205</v>
      </c>
      <c r="C88" s="58">
        <v>3415.6741422692658</v>
      </c>
      <c r="D88" s="58">
        <v>3465.034553900406</v>
      </c>
      <c r="E88" s="64">
        <v>3697.3989212134074</v>
      </c>
      <c r="F88" s="44">
        <v>3523.4270679876704</v>
      </c>
      <c r="G88" s="44">
        <v>4185.136</v>
      </c>
      <c r="H88" s="44">
        <v>0</v>
      </c>
      <c r="I88" s="44">
        <v>0</v>
      </c>
    </row>
    <row r="89" spans="1:9" ht="15">
      <c r="A89" s="43" t="str">
        <f>HLOOKUP(INDICE!$F$2,Nombres!$C$3:$D$636,54,FALSE)</f>
        <v>Activos financieros a coste amortizado</v>
      </c>
      <c r="B89" s="44">
        <v>13552.190231870996</v>
      </c>
      <c r="C89" s="44">
        <v>14687.275493046272</v>
      </c>
      <c r="D89" s="44">
        <v>14970.071663726872</v>
      </c>
      <c r="E89" s="45">
        <v>15740.217840278601</v>
      </c>
      <c r="F89" s="44">
        <v>15956.628560798636</v>
      </c>
      <c r="G89" s="44">
        <v>16359.426</v>
      </c>
      <c r="H89" s="44">
        <v>0</v>
      </c>
      <c r="I89" s="44">
        <v>0</v>
      </c>
    </row>
    <row r="90" spans="1:9" ht="15">
      <c r="A90" s="43" t="str">
        <f>HLOOKUP(INDICE!$F$2,Nombres!$C$3:$D$636,55,FALSE)</f>
        <v>    de los que préstamos y anticipos a la clientela</v>
      </c>
      <c r="B90" s="44">
        <v>12857.77881276592</v>
      </c>
      <c r="C90" s="44">
        <v>13737.34580960473</v>
      </c>
      <c r="D90" s="44">
        <v>14188.684716829639</v>
      </c>
      <c r="E90" s="45">
        <v>14923.523797118576</v>
      </c>
      <c r="F90" s="44">
        <v>15144.42874585143</v>
      </c>
      <c r="G90" s="44">
        <v>15534.097000000002</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96.69689357715441</v>
      </c>
      <c r="C92" s="44">
        <v>95.62660059423465</v>
      </c>
      <c r="D92" s="44">
        <v>95.25344827137502</v>
      </c>
      <c r="E92" s="45">
        <v>96.09086329416398</v>
      </c>
      <c r="F92" s="44">
        <v>95.49201784767396</v>
      </c>
      <c r="G92" s="44">
        <v>93.98500000000001</v>
      </c>
      <c r="H92" s="44">
        <v>0</v>
      </c>
      <c r="I92" s="44">
        <v>0</v>
      </c>
    </row>
    <row r="93" spans="1:9" ht="15">
      <c r="A93" s="43" t="str">
        <f>HLOOKUP(INDICE!$F$2,Nombres!$C$3:$D$636,57,FALSE)</f>
        <v>Otros activos</v>
      </c>
      <c r="B93" s="58">
        <f aca="true" t="shared" si="15" ref="B93:I93">+B94-B92-B89-B88-B87</f>
        <v>559.6290414175851</v>
      </c>
      <c r="C93" s="58">
        <f t="shared" si="15"/>
        <v>628.673476879595</v>
      </c>
      <c r="D93" s="58">
        <f t="shared" si="15"/>
        <v>718.0141948798919</v>
      </c>
      <c r="E93" s="64">
        <f t="shared" si="15"/>
        <v>708.6078729934397</v>
      </c>
      <c r="F93" s="44">
        <f t="shared" si="15"/>
        <v>626.6133991815786</v>
      </c>
      <c r="G93" s="44">
        <f t="shared" si="15"/>
        <v>661.7587628099991</v>
      </c>
      <c r="H93" s="44">
        <f t="shared" si="15"/>
        <v>0</v>
      </c>
      <c r="I93" s="44">
        <f t="shared" si="15"/>
        <v>0</v>
      </c>
    </row>
    <row r="94" spans="1:9" ht="15">
      <c r="A94" s="47" t="str">
        <f>HLOOKUP(INDICE!$F$2,Nombres!$C$3:$D$636,58,FALSE)</f>
        <v>Total activo / pasivo</v>
      </c>
      <c r="B94" s="47">
        <v>18750.32741466875</v>
      </c>
      <c r="C94" s="47">
        <v>20982.658397801606</v>
      </c>
      <c r="D94" s="47">
        <v>21647.564875075426</v>
      </c>
      <c r="E94" s="47">
        <v>22338.53311240399</v>
      </c>
      <c r="F94" s="51">
        <v>21877.794420009075</v>
      </c>
      <c r="G94" s="51">
        <v>23432.44776281</v>
      </c>
      <c r="H94" s="51">
        <v>0</v>
      </c>
      <c r="I94" s="51">
        <v>0</v>
      </c>
    </row>
    <row r="95" spans="1:9" ht="15">
      <c r="A95" s="43" t="str">
        <f>HLOOKUP(INDICE!$F$2,Nombres!$C$3:$D$636,59,FALSE)</f>
        <v>Pasivos financieros mantenidos para negociar y designados a valor razonable con cambios en resultados</v>
      </c>
      <c r="B95" s="58">
        <v>1973.3877190928004</v>
      </c>
      <c r="C95" s="58">
        <v>2535.286798513489</v>
      </c>
      <c r="D95" s="58">
        <v>3004.2949613456967</v>
      </c>
      <c r="E95" s="64">
        <v>2742.9487676938506</v>
      </c>
      <c r="F95" s="44">
        <v>2233.326293719808</v>
      </c>
      <c r="G95" s="44">
        <v>3505.1269999999995</v>
      </c>
      <c r="H95" s="44">
        <v>0</v>
      </c>
      <c r="I95" s="44">
        <v>0</v>
      </c>
    </row>
    <row r="96" spans="1:9" ht="15">
      <c r="A96" s="43" t="str">
        <f>HLOOKUP(INDICE!$F$2,Nombres!$C$3:$D$636,60,FALSE)</f>
        <v>Depósitos de bancos centrales y entidades de crédito</v>
      </c>
      <c r="B96" s="58">
        <v>1384.2237059227346</v>
      </c>
      <c r="C96" s="58">
        <v>815.5998346877906</v>
      </c>
      <c r="D96" s="58">
        <v>1158.3342750749644</v>
      </c>
      <c r="E96" s="64">
        <v>1487.2459789575548</v>
      </c>
      <c r="F96" s="44">
        <v>1243.4469961117888</v>
      </c>
      <c r="G96" s="44">
        <v>1302.347</v>
      </c>
      <c r="H96" s="44">
        <v>0</v>
      </c>
      <c r="I96" s="44">
        <v>0</v>
      </c>
    </row>
    <row r="97" spans="1:9" ht="15">
      <c r="A97" s="43" t="str">
        <f>HLOOKUP(INDICE!$F$2,Nombres!$C$3:$D$636,61,FALSE)</f>
        <v>Depósitos de la clientela</v>
      </c>
      <c r="B97" s="58">
        <v>12285.819976257902</v>
      </c>
      <c r="C97" s="58">
        <v>14395.06003892792</v>
      </c>
      <c r="D97" s="58">
        <v>14077.426353359479</v>
      </c>
      <c r="E97" s="64">
        <v>14703.479246259118</v>
      </c>
      <c r="F97" s="44">
        <v>15054.37191581016</v>
      </c>
      <c r="G97" s="44">
        <v>15157.057</v>
      </c>
      <c r="H97" s="44">
        <v>0</v>
      </c>
      <c r="I97" s="44">
        <v>0</v>
      </c>
    </row>
    <row r="98" spans="1:9" ht="15">
      <c r="A98" s="43" t="str">
        <f>HLOOKUP(INDICE!$F$2,Nombres!$C$3:$D$636,62,FALSE)</f>
        <v>Valores representativos de deuda emitidos</v>
      </c>
      <c r="B98" s="44">
        <v>802.2371910175812</v>
      </c>
      <c r="C98" s="44">
        <v>872.3510154209404</v>
      </c>
      <c r="D98" s="44">
        <v>938.903570659374</v>
      </c>
      <c r="E98" s="45">
        <v>981.3605043960059</v>
      </c>
      <c r="F98" s="44">
        <v>903.030310526262</v>
      </c>
      <c r="G98" s="44">
        <v>925.3335739300001</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 aca="true" t="shared" si="16" ref="B100:I100">+B94-B95-B96-B97-B98-B101</f>
        <v>638.3702683523111</v>
      </c>
      <c r="C100" s="58">
        <f t="shared" si="16"/>
        <v>471.4716379800079</v>
      </c>
      <c r="D100" s="58">
        <f t="shared" si="16"/>
        <v>498.91654121565125</v>
      </c>
      <c r="E100" s="64">
        <f t="shared" si="16"/>
        <v>350.20637030880516</v>
      </c>
      <c r="F100" s="44">
        <f t="shared" si="16"/>
        <v>434.493537915715</v>
      </c>
      <c r="G100" s="44">
        <f t="shared" si="16"/>
        <v>476.6502850999964</v>
      </c>
      <c r="H100" s="44">
        <f t="shared" si="16"/>
        <v>0</v>
      </c>
      <c r="I100" s="44">
        <f t="shared" si="16"/>
        <v>0</v>
      </c>
    </row>
    <row r="101" spans="1:9" ht="15">
      <c r="A101" s="43" t="str">
        <f>HLOOKUP(INDICE!$F$2,Nombres!$C$3:$D$636,282,FALSE)</f>
        <v>Dotación de capital regulatorio</v>
      </c>
      <c r="B101" s="58">
        <v>1666.2885540254229</v>
      </c>
      <c r="C101" s="58">
        <v>1892.8890722714605</v>
      </c>
      <c r="D101" s="58">
        <v>1969.6891734202623</v>
      </c>
      <c r="E101" s="64">
        <v>2073.292244788656</v>
      </c>
      <c r="F101" s="44">
        <v>2009.1253659253398</v>
      </c>
      <c r="G101" s="44">
        <v>2065.9329037800003</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43" t="str">
        <f>HLOOKUP(INDICE!$F$2,Nombres!$C$3:$D$636,66,FALSE)</f>
        <v>Préstamos y anticipos a la clientela bruto (*)</v>
      </c>
      <c r="B107" s="44">
        <v>13563.711816573394</v>
      </c>
      <c r="C107" s="44">
        <v>14438.264890723165</v>
      </c>
      <c r="D107" s="44">
        <v>14892.293731990205</v>
      </c>
      <c r="E107" s="45">
        <v>15638.546075701166</v>
      </c>
      <c r="F107" s="44">
        <v>15870.99479576835</v>
      </c>
      <c r="G107" s="44">
        <v>16266.401</v>
      </c>
      <c r="H107" s="44">
        <v>0</v>
      </c>
      <c r="I107" s="44">
        <v>0</v>
      </c>
    </row>
    <row r="108" spans="1:9" ht="15">
      <c r="A108" s="43" t="str">
        <f>HLOOKUP(INDICE!$F$2,Nombres!$C$3:$D$636,67,FALSE)</f>
        <v>Depósitos de clientes en gestión (**)</v>
      </c>
      <c r="B108" s="44">
        <v>12285.819976257899</v>
      </c>
      <c r="C108" s="44">
        <v>14395.060038927919</v>
      </c>
      <c r="D108" s="44">
        <v>14077.42635335948</v>
      </c>
      <c r="E108" s="45">
        <v>14703.479246259121</v>
      </c>
      <c r="F108" s="44">
        <v>15054.371915810156</v>
      </c>
      <c r="G108" s="44">
        <v>15157.057</v>
      </c>
      <c r="H108" s="44">
        <v>0</v>
      </c>
      <c r="I108" s="44">
        <v>0</v>
      </c>
    </row>
    <row r="109" spans="1:9" ht="15">
      <c r="A109" s="43" t="str">
        <f>HLOOKUP(INDICE!$F$2,Nombres!$C$3:$D$636,68,FALSE)</f>
        <v>Fondos de inversión y carteras gestionadas</v>
      </c>
      <c r="B109" s="44">
        <v>2350.360556346213</v>
      </c>
      <c r="C109" s="44">
        <v>2173.701738235942</v>
      </c>
      <c r="D109" s="44">
        <v>2218.424833010262</v>
      </c>
      <c r="E109" s="45">
        <v>2304.47387688355</v>
      </c>
      <c r="F109" s="44">
        <v>2671.0104899654057</v>
      </c>
      <c r="G109" s="44">
        <v>2188.0191006200002</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HLOOKUP(INDICE!$F$2,Nombres!$C$3:$D$636,75,FALSE)</f>
        <v>(Millones de pesos colombianos)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 aca="true" t="shared" si="18" ref="B119:I119">+B$7</f>
        <v>1er Trim.</v>
      </c>
      <c r="C119" s="39" t="str">
        <f t="shared" si="18"/>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932917.8569309828</v>
      </c>
      <c r="C120" s="41">
        <v>959333.7962451973</v>
      </c>
      <c r="D120" s="41">
        <v>926706.0450946838</v>
      </c>
      <c r="E120" s="42">
        <v>960850.5935336673</v>
      </c>
      <c r="F120" s="50">
        <v>874129.2583347482</v>
      </c>
      <c r="G120" s="50">
        <v>860719.3428155909</v>
      </c>
      <c r="H120" s="50">
        <v>0</v>
      </c>
      <c r="I120" s="50">
        <v>0</v>
      </c>
    </row>
    <row r="121" spans="1:9" ht="15">
      <c r="A121" s="43" t="str">
        <f>HLOOKUP(INDICE!$F$2,Nombres!$C$3:$D$636,34,FALSE)</f>
        <v>Comisiones netas</v>
      </c>
      <c r="B121" s="44">
        <v>110171.3163779217</v>
      </c>
      <c r="C121" s="44">
        <v>112150.77615138014</v>
      </c>
      <c r="D121" s="44">
        <v>116067.88588951658</v>
      </c>
      <c r="E121" s="45">
        <v>112775.73993391077</v>
      </c>
      <c r="F121" s="44">
        <v>122925.25402147009</v>
      </c>
      <c r="G121" s="44">
        <v>149941.10880242466</v>
      </c>
      <c r="H121" s="44">
        <v>0</v>
      </c>
      <c r="I121" s="44">
        <v>0</v>
      </c>
    </row>
    <row r="122" spans="1:9" ht="15">
      <c r="A122" s="43" t="str">
        <f>HLOOKUP(INDICE!$F$2,Nombres!$C$3:$D$636,35,FALSE)</f>
        <v>Resultados de operaciones financieras</v>
      </c>
      <c r="B122" s="44">
        <v>105696.0232971246</v>
      </c>
      <c r="C122" s="44">
        <v>114180.62471824465</v>
      </c>
      <c r="D122" s="44">
        <v>124474.2783597889</v>
      </c>
      <c r="E122" s="45">
        <v>116994.55437014902</v>
      </c>
      <c r="F122" s="44">
        <v>167377.7211183007</v>
      </c>
      <c r="G122" s="44">
        <v>127889.03036338506</v>
      </c>
      <c r="H122" s="44">
        <v>0</v>
      </c>
      <c r="I122" s="44">
        <v>0</v>
      </c>
    </row>
    <row r="123" spans="1:9" ht="15">
      <c r="A123" s="43" t="str">
        <f>HLOOKUP(INDICE!$F$2,Nombres!$C$3:$D$636,36,FALSE)</f>
        <v>Otros ingresos y cargas de explotación</v>
      </c>
      <c r="B123" s="44">
        <v>1365.0508052596997</v>
      </c>
      <c r="C123" s="44">
        <v>-5873.000902757281</v>
      </c>
      <c r="D123" s="44">
        <v>11520.863465180286</v>
      </c>
      <c r="E123" s="45">
        <v>-121957.6122494445</v>
      </c>
      <c r="F123" s="44">
        <v>8657.324199956736</v>
      </c>
      <c r="G123" s="44">
        <v>-14688.498251528832</v>
      </c>
      <c r="H123" s="44">
        <v>0</v>
      </c>
      <c r="I123" s="44">
        <v>0</v>
      </c>
    </row>
    <row r="124" spans="1:9" ht="15">
      <c r="A124" s="41" t="str">
        <f>HLOOKUP(INDICE!$F$2,Nombres!$C$3:$D$636,37,FALSE)</f>
        <v>Margen bruto</v>
      </c>
      <c r="B124" s="41">
        <f aca="true" t="shared" si="19" ref="B124:I124">+SUM(B120:B123)</f>
        <v>1150150.2474112888</v>
      </c>
      <c r="C124" s="41">
        <f t="shared" si="19"/>
        <v>1179792.1962120647</v>
      </c>
      <c r="D124" s="41">
        <f t="shared" si="19"/>
        <v>1178769.0728091695</v>
      </c>
      <c r="E124" s="42">
        <f t="shared" si="19"/>
        <v>1068663.2755882826</v>
      </c>
      <c r="F124" s="50">
        <f t="shared" si="19"/>
        <v>1173089.557674476</v>
      </c>
      <c r="G124" s="50">
        <f t="shared" si="19"/>
        <v>1123860.9837298717</v>
      </c>
      <c r="H124" s="50">
        <f t="shared" si="19"/>
        <v>0</v>
      </c>
      <c r="I124" s="50">
        <f t="shared" si="19"/>
        <v>0</v>
      </c>
    </row>
    <row r="125" spans="1:9" ht="15">
      <c r="A125" s="43" t="str">
        <f>HLOOKUP(INDICE!$F$2,Nombres!$C$3:$D$636,38,FALSE)</f>
        <v>Gastos de explotación</v>
      </c>
      <c r="B125" s="44">
        <v>-389007.5323942357</v>
      </c>
      <c r="C125" s="44">
        <v>-412965.09048661886</v>
      </c>
      <c r="D125" s="44">
        <v>-451792.7238013071</v>
      </c>
      <c r="E125" s="45">
        <v>-595346.6729718101</v>
      </c>
      <c r="F125" s="44">
        <v>-543391.3892813174</v>
      </c>
      <c r="G125" s="44">
        <v>-491296.8546658633</v>
      </c>
      <c r="H125" s="44">
        <v>0</v>
      </c>
      <c r="I125" s="44">
        <v>0</v>
      </c>
    </row>
    <row r="126" spans="1:9" ht="15">
      <c r="A126" s="43" t="str">
        <f>HLOOKUP(INDICE!$F$2,Nombres!$C$3:$D$636,39,FALSE)</f>
        <v>  Gastos de administración</v>
      </c>
      <c r="B126" s="44">
        <v>-357308.5069421919</v>
      </c>
      <c r="C126" s="44">
        <v>-381360.16713363247</v>
      </c>
      <c r="D126" s="44">
        <v>-420085.09969954076</v>
      </c>
      <c r="E126" s="45">
        <v>-561979.4888061944</v>
      </c>
      <c r="F126" s="44">
        <v>-508654.8335975971</v>
      </c>
      <c r="G126" s="44">
        <v>-457670.17657324567</v>
      </c>
      <c r="H126" s="44">
        <v>0</v>
      </c>
      <c r="I126" s="44">
        <v>0</v>
      </c>
    </row>
    <row r="127" spans="1:9" ht="15">
      <c r="A127" s="46" t="str">
        <f>HLOOKUP(INDICE!$F$2,Nombres!$C$3:$D$636,40,FALSE)</f>
        <v>  Gastos de personal</v>
      </c>
      <c r="B127" s="44">
        <v>-180169.14937074142</v>
      </c>
      <c r="C127" s="44">
        <v>-191803.09001327585</v>
      </c>
      <c r="D127" s="44">
        <v>-195451.14192165</v>
      </c>
      <c r="E127" s="45">
        <v>-288485.64873660204</v>
      </c>
      <c r="F127" s="44">
        <v>-237139.1771562195</v>
      </c>
      <c r="G127" s="44">
        <v>-201399.15336734787</v>
      </c>
      <c r="H127" s="44">
        <v>0</v>
      </c>
      <c r="I127" s="44">
        <v>0</v>
      </c>
    </row>
    <row r="128" spans="1:9" ht="15">
      <c r="A128" s="46" t="str">
        <f>HLOOKUP(INDICE!$F$2,Nombres!$C$3:$D$636,41,FALSE)</f>
        <v>  Otros gastos de administración</v>
      </c>
      <c r="B128" s="44">
        <v>-177139.35757145053</v>
      </c>
      <c r="C128" s="44">
        <v>-189557.07712035667</v>
      </c>
      <c r="D128" s="44">
        <v>-224633.95777789076</v>
      </c>
      <c r="E128" s="45">
        <v>-273493.84006959235</v>
      </c>
      <c r="F128" s="44">
        <v>-271515.65644137765</v>
      </c>
      <c r="G128" s="44">
        <v>-256271.0232058979</v>
      </c>
      <c r="H128" s="44">
        <v>0</v>
      </c>
      <c r="I128" s="44">
        <v>0</v>
      </c>
    </row>
    <row r="129" spans="1:9" ht="15">
      <c r="A129" s="43" t="str">
        <f>HLOOKUP(INDICE!$F$2,Nombres!$C$3:$D$636,42,FALSE)</f>
        <v>  Amortización</v>
      </c>
      <c r="B129" s="44">
        <v>-31699.02545204381</v>
      </c>
      <c r="C129" s="44">
        <v>-31604.923352986385</v>
      </c>
      <c r="D129" s="44">
        <v>-31707.624101766276</v>
      </c>
      <c r="E129" s="45">
        <v>-33367.18416561567</v>
      </c>
      <c r="F129" s="44">
        <v>-34736.555683720275</v>
      </c>
      <c r="G129" s="44">
        <v>-33626.6780926176</v>
      </c>
      <c r="H129" s="44">
        <v>0</v>
      </c>
      <c r="I129" s="44">
        <v>0</v>
      </c>
    </row>
    <row r="130" spans="1:9" ht="15">
      <c r="A130" s="41" t="str">
        <f>HLOOKUP(INDICE!$F$2,Nombres!$C$3:$D$636,43,FALSE)</f>
        <v>Margen neto</v>
      </c>
      <c r="B130" s="41">
        <f aca="true" t="shared" si="20" ref="B130:I130">+B124+B125</f>
        <v>761142.7150170531</v>
      </c>
      <c r="C130" s="41">
        <f t="shared" si="20"/>
        <v>766827.1057254458</v>
      </c>
      <c r="D130" s="41">
        <f t="shared" si="20"/>
        <v>726976.3490078624</v>
      </c>
      <c r="E130" s="42">
        <f t="shared" si="20"/>
        <v>473316.6026164725</v>
      </c>
      <c r="F130" s="50">
        <f t="shared" si="20"/>
        <v>629698.1683931586</v>
      </c>
      <c r="G130" s="50">
        <f t="shared" si="20"/>
        <v>632564.1290640084</v>
      </c>
      <c r="H130" s="50">
        <f t="shared" si="20"/>
        <v>0</v>
      </c>
      <c r="I130" s="50">
        <f t="shared" si="20"/>
        <v>0</v>
      </c>
    </row>
    <row r="131" spans="1:9" ht="15">
      <c r="A131" s="43" t="str">
        <f>HLOOKUP(INDICE!$F$2,Nombres!$C$3:$D$636,44,FALSE)</f>
        <v>Deterioro de activos financieros no valorados a valor razonable con cambios en resultados</v>
      </c>
      <c r="B131" s="44">
        <v>-243347.73873057513</v>
      </c>
      <c r="C131" s="44">
        <v>-228677.0189142361</v>
      </c>
      <c r="D131" s="44">
        <v>-244615.4339047458</v>
      </c>
      <c r="E131" s="45">
        <v>-301447.238388304</v>
      </c>
      <c r="F131" s="44">
        <v>-308568.4862632373</v>
      </c>
      <c r="G131" s="44">
        <v>-362941.9362458708</v>
      </c>
      <c r="H131" s="44">
        <v>0</v>
      </c>
      <c r="I131" s="44">
        <v>0</v>
      </c>
    </row>
    <row r="132" spans="1:9" ht="15">
      <c r="A132" s="43" t="str">
        <f>HLOOKUP(INDICE!$F$2,Nombres!$C$3:$D$636,45,FALSE)</f>
        <v>Provisiones o reversión de provisiones y otros resultados</v>
      </c>
      <c r="B132" s="44">
        <v>-7145.667880909347</v>
      </c>
      <c r="C132" s="44">
        <v>-14251.041128865512</v>
      </c>
      <c r="D132" s="44">
        <v>-23875.927163470456</v>
      </c>
      <c r="E132" s="45">
        <v>12138.886088483678</v>
      </c>
      <c r="F132" s="44">
        <v>-7181.237654949377</v>
      </c>
      <c r="G132" s="44">
        <v>39992.810067205646</v>
      </c>
      <c r="H132" s="44">
        <v>0</v>
      </c>
      <c r="I132" s="44">
        <v>0</v>
      </c>
    </row>
    <row r="133" spans="1:9" ht="15">
      <c r="A133" s="41" t="str">
        <f>HLOOKUP(INDICE!$F$2,Nombres!$C$3:$D$636,46,FALSE)</f>
        <v>Resultado antes de impuestos</v>
      </c>
      <c r="B133" s="41">
        <f aca="true" t="shared" si="21" ref="B133:I133">+B130+B131+B132</f>
        <v>510649.3084055686</v>
      </c>
      <c r="C133" s="41">
        <f t="shared" si="21"/>
        <v>523899.0456823442</v>
      </c>
      <c r="D133" s="41">
        <f t="shared" si="21"/>
        <v>458484.9879396461</v>
      </c>
      <c r="E133" s="42">
        <f t="shared" si="21"/>
        <v>184008.25031665218</v>
      </c>
      <c r="F133" s="50">
        <f t="shared" si="21"/>
        <v>313948.4444749719</v>
      </c>
      <c r="G133" s="50">
        <f t="shared" si="21"/>
        <v>309615.0028853432</v>
      </c>
      <c r="H133" s="50">
        <f t="shared" si="21"/>
        <v>0</v>
      </c>
      <c r="I133" s="50">
        <f t="shared" si="21"/>
        <v>0</v>
      </c>
    </row>
    <row r="134" spans="1:9" ht="15">
      <c r="A134" s="43" t="str">
        <f>HLOOKUP(INDICE!$F$2,Nombres!$C$3:$D$636,47,FALSE)</f>
        <v>Impuesto sobre beneficios</v>
      </c>
      <c r="B134" s="44">
        <v>-184716.72948504647</v>
      </c>
      <c r="C134" s="44">
        <v>-172952.04290090714</v>
      </c>
      <c r="D134" s="44">
        <v>-162762.10619970202</v>
      </c>
      <c r="E134" s="45">
        <v>-51288.32757670712</v>
      </c>
      <c r="F134" s="44">
        <v>-112996.6463518</v>
      </c>
      <c r="G134" s="44">
        <v>-52447.65991560644</v>
      </c>
      <c r="H134" s="44">
        <v>0</v>
      </c>
      <c r="I134" s="44">
        <v>0</v>
      </c>
    </row>
    <row r="135" spans="1:9" ht="15">
      <c r="A135" s="41" t="str">
        <f>HLOOKUP(INDICE!$F$2,Nombres!$C$3:$D$636,48,FALSE)</f>
        <v>Resultado del ejercicio</v>
      </c>
      <c r="B135" s="41">
        <f aca="true" t="shared" si="22" ref="B135:I135">+B133+B134</f>
        <v>325932.5789205221</v>
      </c>
      <c r="C135" s="41">
        <f t="shared" si="22"/>
        <v>350947.002781437</v>
      </c>
      <c r="D135" s="41">
        <f t="shared" si="22"/>
        <v>295722.8817399441</v>
      </c>
      <c r="E135" s="42">
        <f t="shared" si="22"/>
        <v>132719.92273994506</v>
      </c>
      <c r="F135" s="50">
        <f t="shared" si="22"/>
        <v>200951.7981231719</v>
      </c>
      <c r="G135" s="50">
        <f t="shared" si="22"/>
        <v>257167.34296973678</v>
      </c>
      <c r="H135" s="50">
        <f t="shared" si="22"/>
        <v>0</v>
      </c>
      <c r="I135" s="50">
        <f t="shared" si="22"/>
        <v>0</v>
      </c>
    </row>
    <row r="136" spans="1:9" ht="15">
      <c r="A136" s="43" t="str">
        <f>HLOOKUP(INDICE!$F$2,Nombres!$C$3:$D$636,49,FALSE)</f>
        <v>Minoritarios</v>
      </c>
      <c r="B136" s="44">
        <v>-11559.787636368794</v>
      </c>
      <c r="C136" s="44">
        <v>-10282.876437303286</v>
      </c>
      <c r="D136" s="44">
        <v>-7845.590006375629</v>
      </c>
      <c r="E136" s="45">
        <v>1919.3092875119273</v>
      </c>
      <c r="F136" s="44">
        <v>6629.155136379208</v>
      </c>
      <c r="G136" s="44">
        <v>8158.642695529378</v>
      </c>
      <c r="H136" s="44">
        <v>0</v>
      </c>
      <c r="I136" s="44">
        <v>0</v>
      </c>
    </row>
    <row r="137" spans="1:9" ht="15">
      <c r="A137" s="47" t="str">
        <f>HLOOKUP(INDICE!$F$2,Nombres!$C$3:$D$636,50,FALSE)</f>
        <v>Resultado atribuido</v>
      </c>
      <c r="B137" s="47">
        <f aca="true" t="shared" si="23" ref="B137:I137">+B135+B136</f>
        <v>314372.79128415335</v>
      </c>
      <c r="C137" s="47">
        <f t="shared" si="23"/>
        <v>340664.12634413375</v>
      </c>
      <c r="D137" s="47">
        <f t="shared" si="23"/>
        <v>287877.2917335685</v>
      </c>
      <c r="E137" s="47">
        <f t="shared" si="23"/>
        <v>134639.23202745698</v>
      </c>
      <c r="F137" s="51">
        <f t="shared" si="23"/>
        <v>207580.9532595511</v>
      </c>
      <c r="G137" s="51">
        <f t="shared" si="23"/>
        <v>265325.98566526617</v>
      </c>
      <c r="H137" s="51">
        <f t="shared" si="23"/>
        <v>0</v>
      </c>
      <c r="I137" s="51">
        <f t="shared" si="23"/>
        <v>0</v>
      </c>
    </row>
    <row r="138" spans="1:9" ht="15">
      <c r="A138" s="62"/>
      <c r="B138" s="63">
        <v>0</v>
      </c>
      <c r="C138" s="63">
        <v>0</v>
      </c>
      <c r="D138" s="63">
        <v>0</v>
      </c>
      <c r="E138" s="63">
        <v>0</v>
      </c>
      <c r="F138" s="63">
        <v>2.3283064365386963E-10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HLOOKUP(INDICE!$F$2,Nombres!$C$3:$D$636,75,FALSE)</f>
        <v>(Millones de pesos colombianos)</v>
      </c>
      <c r="B141" s="30"/>
      <c r="C141" s="52"/>
      <c r="D141" s="52"/>
      <c r="E141" s="52"/>
      <c r="F141" s="69"/>
      <c r="G141" s="44"/>
      <c r="H141" s="44"/>
      <c r="I141" s="44"/>
    </row>
    <row r="142" spans="1:9" ht="15.75">
      <c r="A142" s="30"/>
      <c r="B142" s="53">
        <f aca="true" t="shared" si="24" ref="B142:G142">+B$30</f>
        <v>44651</v>
      </c>
      <c r="C142" s="53">
        <f t="shared" si="24"/>
        <v>44742</v>
      </c>
      <c r="D142" s="53">
        <f t="shared" si="24"/>
        <v>44834</v>
      </c>
      <c r="E142" s="67">
        <f t="shared" si="24"/>
        <v>44926</v>
      </c>
      <c r="F142" s="53">
        <f t="shared" si="24"/>
        <v>45016</v>
      </c>
      <c r="G142" s="53">
        <f t="shared" si="24"/>
        <v>45107</v>
      </c>
      <c r="H142" s="53">
        <f>+H$30</f>
        <v>45199</v>
      </c>
      <c r="I142" s="53">
        <f>+I$30</f>
        <v>45291</v>
      </c>
    </row>
    <row r="143" spans="1:9" ht="15">
      <c r="A143" s="43" t="str">
        <f>HLOOKUP(INDICE!$F$2,Nombres!$C$3:$D$636,52,FALSE)</f>
        <v>Efectivo, saldos en efectivo en bancos centrales y otros depósitos a la vista</v>
      </c>
      <c r="B143" s="44">
        <v>8131289.224452658</v>
      </c>
      <c r="C143" s="44">
        <v>9816258.878197405</v>
      </c>
      <c r="D143" s="44">
        <v>10926503.293016782</v>
      </c>
      <c r="E143" s="45">
        <v>9546688.25140857</v>
      </c>
      <c r="F143" s="44">
        <v>7631244.645345563</v>
      </c>
      <c r="G143" s="44">
        <v>9710296.698075486</v>
      </c>
      <c r="H143" s="44">
        <v>0</v>
      </c>
      <c r="I143" s="44">
        <v>0</v>
      </c>
    </row>
    <row r="144" spans="1:9" ht="15">
      <c r="A144" s="43" t="str">
        <f>HLOOKUP(INDICE!$F$2,Nombres!$C$3:$D$636,53,FALSE)</f>
        <v>Activos financieros a valor razonable</v>
      </c>
      <c r="B144" s="58">
        <v>12553231.207499681</v>
      </c>
      <c r="C144" s="58">
        <v>15555816.331829248</v>
      </c>
      <c r="D144" s="58">
        <v>15780615.731717955</v>
      </c>
      <c r="E144" s="64">
        <v>16838859.952163793</v>
      </c>
      <c r="F144" s="44">
        <v>16046549.537596684</v>
      </c>
      <c r="G144" s="44">
        <v>19060134.025687244</v>
      </c>
      <c r="H144" s="44">
        <v>0</v>
      </c>
      <c r="I144" s="44">
        <v>0</v>
      </c>
    </row>
    <row r="145" spans="1:9" ht="15">
      <c r="A145" s="43" t="str">
        <f>HLOOKUP(INDICE!$F$2,Nombres!$C$3:$D$636,54,FALSE)</f>
        <v>Activos financieros a coste amortizado</v>
      </c>
      <c r="B145" s="44">
        <v>61719992.41149409</v>
      </c>
      <c r="C145" s="44">
        <v>66889448.6032601</v>
      </c>
      <c r="D145" s="44">
        <v>68177371.60388027</v>
      </c>
      <c r="E145" s="45">
        <v>71684805.85319655</v>
      </c>
      <c r="F145" s="44">
        <v>72670393.26008303</v>
      </c>
      <c r="G145" s="44">
        <v>74504831.4184563</v>
      </c>
      <c r="H145" s="44">
        <v>0</v>
      </c>
      <c r="I145" s="44">
        <v>0</v>
      </c>
    </row>
    <row r="146" spans="1:9" ht="15">
      <c r="A146" s="43" t="str">
        <f>HLOOKUP(INDICE!$F$2,Nombres!$C$3:$D$636,55,FALSE)</f>
        <v>    de los que préstamos y anticipos a la clientela</v>
      </c>
      <c r="B146" s="44">
        <v>58557472.790361</v>
      </c>
      <c r="C146" s="44">
        <v>62563236.24567498</v>
      </c>
      <c r="D146" s="44">
        <v>64618744.134239174</v>
      </c>
      <c r="E146" s="45">
        <v>67965381.2226444</v>
      </c>
      <c r="F146" s="44">
        <v>68971436.44517139</v>
      </c>
      <c r="G146" s="44">
        <v>70746081.08028655</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440381.3284557966</v>
      </c>
      <c r="C148" s="44">
        <v>435506.95216283906</v>
      </c>
      <c r="D148" s="44">
        <v>433807.5251225468</v>
      </c>
      <c r="E148" s="45">
        <v>437621.31816761894</v>
      </c>
      <c r="F148" s="44">
        <v>434894.02938398754</v>
      </c>
      <c r="G148" s="44">
        <v>428030.701129955</v>
      </c>
      <c r="H148" s="44">
        <v>0</v>
      </c>
      <c r="I148" s="44">
        <v>0</v>
      </c>
    </row>
    <row r="149" spans="1:9" ht="15">
      <c r="A149" s="43" t="str">
        <f>HLOOKUP(INDICE!$F$2,Nombres!$C$3:$D$636,57,FALSE)</f>
        <v>Otros activos</v>
      </c>
      <c r="B149" s="58">
        <f aca="true" t="shared" si="25" ref="B149:I149">+B150-B148-B145-B144-B143</f>
        <v>2548687.6732527055</v>
      </c>
      <c r="C149" s="58">
        <f t="shared" si="25"/>
        <v>2863132.9370705765</v>
      </c>
      <c r="D149" s="58">
        <f t="shared" si="25"/>
        <v>3270012.4408756327</v>
      </c>
      <c r="E149" s="64">
        <f t="shared" si="25"/>
        <v>3227173.747976646</v>
      </c>
      <c r="F149" s="44">
        <f t="shared" si="25"/>
        <v>2853750.83884784</v>
      </c>
      <c r="G149" s="44">
        <f t="shared" si="25"/>
        <v>3013811.429743668</v>
      </c>
      <c r="H149" s="44">
        <f t="shared" si="25"/>
        <v>0</v>
      </c>
      <c r="I149" s="44">
        <f t="shared" si="25"/>
        <v>0</v>
      </c>
    </row>
    <row r="150" spans="1:9" ht="15">
      <c r="A150" s="47" t="str">
        <f>HLOOKUP(INDICE!$F$2,Nombres!$C$3:$D$636,58,FALSE)</f>
        <v>Total activo / pasivo</v>
      </c>
      <c r="B150" s="47">
        <v>85393581.84515493</v>
      </c>
      <c r="C150" s="47">
        <v>95560163.70252016</v>
      </c>
      <c r="D150" s="47">
        <v>98588310.5946132</v>
      </c>
      <c r="E150" s="47">
        <v>101735149.12291317</v>
      </c>
      <c r="F150" s="51">
        <v>99636832.31125711</v>
      </c>
      <c r="G150" s="51">
        <v>106717104.27309266</v>
      </c>
      <c r="H150" s="51">
        <v>0</v>
      </c>
      <c r="I150" s="51">
        <v>0</v>
      </c>
    </row>
    <row r="151" spans="1:9" ht="15">
      <c r="A151" s="43" t="str">
        <f>HLOOKUP(INDICE!$F$2,Nombres!$C$3:$D$636,59,FALSE)</f>
        <v>Pasivos financieros mantenidos para negociar y designados a valor razonable con cambios en resultados</v>
      </c>
      <c r="B151" s="58">
        <v>8987290.83369191</v>
      </c>
      <c r="C151" s="58">
        <v>11546316.81580303</v>
      </c>
      <c r="D151" s="58">
        <v>13682294.820513805</v>
      </c>
      <c r="E151" s="64">
        <v>12492060.267059054</v>
      </c>
      <c r="F151" s="44">
        <v>10171114.745468462</v>
      </c>
      <c r="G151" s="44">
        <v>15963206.547422845</v>
      </c>
      <c r="H151" s="44">
        <v>0</v>
      </c>
      <c r="I151" s="44">
        <v>0</v>
      </c>
    </row>
    <row r="152" spans="1:9" ht="15">
      <c r="A152" s="43" t="str">
        <f>HLOOKUP(INDICE!$F$2,Nombres!$C$3:$D$636,60,FALSE)</f>
        <v>Depósitos de bancos centrales y entidades de crédito</v>
      </c>
      <c r="B152" s="58">
        <v>6304093.667785421</v>
      </c>
      <c r="C152" s="58">
        <v>3714441.337265419</v>
      </c>
      <c r="D152" s="58">
        <v>5275337.893314839</v>
      </c>
      <c r="E152" s="64">
        <v>6773282.322986738</v>
      </c>
      <c r="F152" s="44">
        <v>5662962.063772575</v>
      </c>
      <c r="G152" s="44">
        <v>5931207.102457771</v>
      </c>
      <c r="H152" s="44">
        <v>0</v>
      </c>
      <c r="I152" s="44">
        <v>0</v>
      </c>
    </row>
    <row r="153" spans="1:9" ht="15">
      <c r="A153" s="43" t="str">
        <f>HLOOKUP(INDICE!$F$2,Nombres!$C$3:$D$636,61,FALSE)</f>
        <v>Depósitos de la clientela</v>
      </c>
      <c r="B153" s="58">
        <v>55952632.21146009</v>
      </c>
      <c r="C153" s="58">
        <v>65558627.87966287</v>
      </c>
      <c r="D153" s="58">
        <v>64112046.30668473</v>
      </c>
      <c r="E153" s="64">
        <v>66963244.462691225</v>
      </c>
      <c r="F153" s="44">
        <v>68561295.59180003</v>
      </c>
      <c r="G153" s="44">
        <v>69028948.60644458</v>
      </c>
      <c r="H153" s="44">
        <v>0</v>
      </c>
      <c r="I153" s="44">
        <v>0</v>
      </c>
    </row>
    <row r="154" spans="1:9" ht="15">
      <c r="A154" s="43" t="str">
        <f>HLOOKUP(INDICE!$F$2,Nombres!$C$3:$D$636,62,FALSE)</f>
        <v>Valores representativos de deuda emitidos</v>
      </c>
      <c r="B154" s="44">
        <v>3653584.586303995</v>
      </c>
      <c r="C154" s="44">
        <v>3972900.1091882037</v>
      </c>
      <c r="D154" s="44">
        <v>4275996.740360166</v>
      </c>
      <c r="E154" s="45">
        <v>4469356.011681318</v>
      </c>
      <c r="F154" s="44">
        <v>4112621.1305650575</v>
      </c>
      <c r="G154" s="44">
        <v>4214195.65279933</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 aca="true" t="shared" si="26" ref="B156:I156">+B150-B151-B152-B153-B154-B157</f>
        <v>2907294.4995835554</v>
      </c>
      <c r="C156" s="58">
        <f t="shared" si="26"/>
        <v>2147197.27368694</v>
      </c>
      <c r="D156" s="58">
        <f t="shared" si="26"/>
        <v>2272188.082586214</v>
      </c>
      <c r="E156" s="64">
        <f t="shared" si="26"/>
        <v>1594925.554327283</v>
      </c>
      <c r="F156" s="44">
        <f t="shared" si="26"/>
        <v>1978789.9523380995</v>
      </c>
      <c r="G156" s="44">
        <f t="shared" si="26"/>
        <v>2170782.1006027237</v>
      </c>
      <c r="H156" s="44">
        <f t="shared" si="26"/>
        <v>0</v>
      </c>
      <c r="I156" s="44">
        <f t="shared" si="26"/>
        <v>0</v>
      </c>
    </row>
    <row r="157" spans="1:9" ht="15.75" customHeight="1">
      <c r="A157" s="43" t="str">
        <f>HLOOKUP(INDICE!$F$2,Nombres!$C$3:$D$636,282,FALSE)</f>
        <v>Dotación de capital regulatorio</v>
      </c>
      <c r="B157" s="58">
        <v>7588686.046329955</v>
      </c>
      <c r="C157" s="58">
        <v>8620680.286913695</v>
      </c>
      <c r="D157" s="58">
        <v>8970446.751153443</v>
      </c>
      <c r="E157" s="64">
        <v>9442280.504167546</v>
      </c>
      <c r="F157" s="44">
        <v>9150048.827312876</v>
      </c>
      <c r="G157" s="44">
        <v>9408764.263365403</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HLOOKUP(INDICE!$F$2,Nombres!$C$3:$D$636,75,FALSE)</f>
        <v>(Millones de pesos colombianos)</v>
      </c>
      <c r="B161" s="30"/>
      <c r="C161" s="30"/>
      <c r="D161" s="30"/>
      <c r="E161" s="30"/>
      <c r="F161" s="69"/>
      <c r="G161" s="44"/>
      <c r="H161" s="44"/>
      <c r="I161" s="44"/>
    </row>
    <row r="162" spans="1:9" ht="15.75">
      <c r="A162" s="30"/>
      <c r="B162" s="53">
        <f aca="true" t="shared" si="27" ref="B162:G162">+B$30</f>
        <v>44651</v>
      </c>
      <c r="C162" s="53">
        <f t="shared" si="27"/>
        <v>44742</v>
      </c>
      <c r="D162" s="53">
        <f t="shared" si="27"/>
        <v>44834</v>
      </c>
      <c r="E162" s="67">
        <f t="shared" si="27"/>
        <v>44926</v>
      </c>
      <c r="F162" s="53">
        <f t="shared" si="27"/>
        <v>45016</v>
      </c>
      <c r="G162" s="53">
        <f t="shared" si="27"/>
        <v>45107</v>
      </c>
      <c r="H162" s="53">
        <f>+H$30</f>
        <v>45199</v>
      </c>
      <c r="I162" s="53">
        <f>+I$30</f>
        <v>45291</v>
      </c>
    </row>
    <row r="163" spans="1:9" ht="15">
      <c r="A163" s="43" t="str">
        <f>HLOOKUP(INDICE!$F$2,Nombres!$C$3:$D$636,66,FALSE)</f>
        <v>Préstamos y anticipos a la clientela bruto (*)</v>
      </c>
      <c r="B163" s="44">
        <v>61772464.529154286</v>
      </c>
      <c r="C163" s="44">
        <v>65755393.35294196</v>
      </c>
      <c r="D163" s="44">
        <v>67823151.85973297</v>
      </c>
      <c r="E163" s="45">
        <v>71221767.74416637</v>
      </c>
      <c r="F163" s="44">
        <v>72280396.12770756</v>
      </c>
      <c r="G163" s="44">
        <v>74081172.79237114</v>
      </c>
      <c r="H163" s="44">
        <v>0</v>
      </c>
      <c r="I163" s="44">
        <v>0</v>
      </c>
    </row>
    <row r="164" spans="1:9" ht="15">
      <c r="A164" s="43" t="str">
        <f>HLOOKUP(INDICE!$F$2,Nombres!$C$3:$D$636,67,FALSE)</f>
        <v>Depósitos de clientes en gestión (**)</v>
      </c>
      <c r="B164" s="44">
        <v>55952632.2114601</v>
      </c>
      <c r="C164" s="44">
        <v>65558627.87966288</v>
      </c>
      <c r="D164" s="44">
        <v>64112046.30668473</v>
      </c>
      <c r="E164" s="45">
        <v>66963244.4626912</v>
      </c>
      <c r="F164" s="44">
        <v>68561295.59180003</v>
      </c>
      <c r="G164" s="44">
        <v>69028948.60644457</v>
      </c>
      <c r="H164" s="44">
        <v>0</v>
      </c>
      <c r="I164" s="44">
        <v>0</v>
      </c>
    </row>
    <row r="165" spans="1:9" ht="15">
      <c r="A165" s="43" t="str">
        <f>HLOOKUP(INDICE!$F$2,Nombres!$C$3:$D$636,68,FALSE)</f>
        <v>Fondos de inversión y carteras gestionadas</v>
      </c>
      <c r="B165" s="44">
        <v>10704117.431941915</v>
      </c>
      <c r="C165" s="44">
        <v>9899569.921418654</v>
      </c>
      <c r="D165" s="44">
        <v>10103249.844948512</v>
      </c>
      <c r="E165" s="45">
        <v>10495138.258851217</v>
      </c>
      <c r="F165" s="44">
        <v>12164435.737036308</v>
      </c>
      <c r="G165" s="44">
        <v>9964774.695154676</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H26:I26">
    <cfRule type="cellIs" priority="6" dxfId="196" operator="notBetween">
      <formula>0.5</formula>
      <formula>-0.5</formula>
    </cfRule>
  </conditionalFormatting>
  <conditionalFormatting sqref="H82:I82">
    <cfRule type="cellIs" priority="5" dxfId="196" operator="notBetween">
      <formula>0.5</formula>
      <formula>-0.5</formula>
    </cfRule>
  </conditionalFormatting>
  <conditionalFormatting sqref="H138:I138">
    <cfRule type="cellIs" priority="4" dxfId="196" operator="notBetween">
      <formula>0.5</formula>
      <formula>-0.5</formula>
    </cfRule>
  </conditionalFormatting>
  <conditionalFormatting sqref="B26:G26">
    <cfRule type="cellIs" priority="3" dxfId="196" operator="notBetween">
      <formula>0.5</formula>
      <formula>-0.5</formula>
    </cfRule>
  </conditionalFormatting>
  <conditionalFormatting sqref="B82:G82">
    <cfRule type="cellIs" priority="2" dxfId="196" operator="notBetween">
      <formula>0.5</formula>
      <formula>-0.5</formula>
    </cfRule>
  </conditionalFormatting>
  <conditionalFormatting sqref="B138:G138">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82"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218.20399999999995</v>
      </c>
      <c r="C8" s="41">
        <v>262.255</v>
      </c>
      <c r="D8" s="41">
        <v>292.43999999999994</v>
      </c>
      <c r="E8" s="42">
        <v>306.841</v>
      </c>
      <c r="F8" s="50">
        <v>303.92299999999994</v>
      </c>
      <c r="G8" s="50">
        <v>319.695</v>
      </c>
      <c r="H8" s="237">
        <v>0</v>
      </c>
      <c r="I8" s="237">
        <v>0</v>
      </c>
      <c r="J8" s="86"/>
      <c r="K8" s="86"/>
      <c r="L8" s="86"/>
      <c r="M8" s="86"/>
      <c r="N8" s="86"/>
      <c r="O8" s="86"/>
    </row>
    <row r="9" spans="1:9" ht="15">
      <c r="A9" s="87" t="str">
        <f>HLOOKUP(INDICE!$F$2,Nombres!$C$3:$D$636,34,FALSE)</f>
        <v>Comisiones netas</v>
      </c>
      <c r="B9" s="44">
        <v>63.51501187999999</v>
      </c>
      <c r="C9" s="44">
        <v>75.50539903</v>
      </c>
      <c r="D9" s="44">
        <v>71.98586402999999</v>
      </c>
      <c r="E9" s="45">
        <v>67.69021174</v>
      </c>
      <c r="F9" s="44">
        <v>73.36634266</v>
      </c>
      <c r="G9" s="44">
        <v>74.38973984</v>
      </c>
      <c r="H9" s="44">
        <v>0</v>
      </c>
      <c r="I9" s="44">
        <v>0</v>
      </c>
    </row>
    <row r="10" spans="1:9" ht="15">
      <c r="A10" s="87" t="str">
        <f>HLOOKUP(INDICE!$F$2,Nombres!$C$3:$D$636,35,FALSE)</f>
        <v>Resultados de operaciones financieras</v>
      </c>
      <c r="B10" s="44">
        <v>33.20376918000001</v>
      </c>
      <c r="C10" s="44">
        <v>41.37323429</v>
      </c>
      <c r="D10" s="44">
        <v>45.19068422</v>
      </c>
      <c r="E10" s="45">
        <v>42.070255339999996</v>
      </c>
      <c r="F10" s="44">
        <v>47.37591041</v>
      </c>
      <c r="G10" s="44">
        <v>45.67422670000002</v>
      </c>
      <c r="H10" s="44">
        <v>0</v>
      </c>
      <c r="I10" s="44">
        <v>0</v>
      </c>
    </row>
    <row r="11" spans="1:9" ht="15">
      <c r="A11" s="87" t="str">
        <f>HLOOKUP(INDICE!$F$2,Nombres!$C$3:$D$636,36,FALSE)</f>
        <v>Otros ingresos y cargas de explotación</v>
      </c>
      <c r="B11" s="44">
        <v>-8.483000000000002</v>
      </c>
      <c r="C11" s="44">
        <v>-8.852</v>
      </c>
      <c r="D11" s="44">
        <v>-8.345999999999997</v>
      </c>
      <c r="E11" s="45">
        <v>-10.532</v>
      </c>
      <c r="F11" s="44">
        <v>-12.957</v>
      </c>
      <c r="G11" s="44">
        <v>-9.087000000000002</v>
      </c>
      <c r="H11" s="44">
        <v>0</v>
      </c>
      <c r="I11" s="44">
        <v>0</v>
      </c>
    </row>
    <row r="12" spans="1:9" ht="15">
      <c r="A12" s="41" t="str">
        <f>HLOOKUP(INDICE!$F$2,Nombres!$C$3:$D$636,37,FALSE)</f>
        <v>Margen bruto</v>
      </c>
      <c r="B12" s="41">
        <f aca="true" t="shared" si="0" ref="B12:G12">+SUM(B8:B11)</f>
        <v>306.4397810599999</v>
      </c>
      <c r="C12" s="41">
        <f t="shared" si="0"/>
        <v>370.2816333200001</v>
      </c>
      <c r="D12" s="41">
        <f t="shared" si="0"/>
        <v>401.27054824999993</v>
      </c>
      <c r="E12" s="42">
        <f t="shared" si="0"/>
        <v>406.06946708000004</v>
      </c>
      <c r="F12" s="50">
        <f t="shared" si="0"/>
        <v>411.70825306999996</v>
      </c>
      <c r="G12" s="50">
        <f t="shared" si="0"/>
        <v>430.67196654</v>
      </c>
      <c r="H12" s="50">
        <f>+SUM(H8:H11)</f>
        <v>0</v>
      </c>
      <c r="I12" s="50">
        <f>+SUM(I8:I11)</f>
        <v>0</v>
      </c>
    </row>
    <row r="13" spans="1:9" ht="15">
      <c r="A13" s="87" t="str">
        <f>HLOOKUP(INDICE!$F$2,Nombres!$C$3:$D$636,38,FALSE)</f>
        <v>Gastos de explotación</v>
      </c>
      <c r="B13" s="44">
        <v>-119.00970702000001</v>
      </c>
      <c r="C13" s="44">
        <v>-130.94358369</v>
      </c>
      <c r="D13" s="44">
        <v>-148.16788755000005</v>
      </c>
      <c r="E13" s="45">
        <v>-153.96008085999998</v>
      </c>
      <c r="F13" s="44">
        <v>-153.68057466000002</v>
      </c>
      <c r="G13" s="44">
        <v>-154.94963961999997</v>
      </c>
      <c r="H13" s="44">
        <v>0</v>
      </c>
      <c r="I13" s="44">
        <v>0</v>
      </c>
    </row>
    <row r="14" spans="1:9" ht="15">
      <c r="A14" s="87" t="str">
        <f>HLOOKUP(INDICE!$F$2,Nombres!$C$3:$D$636,39,FALSE)</f>
        <v>  Gastos de administración</v>
      </c>
      <c r="B14" s="44">
        <v>-102.51670702000001</v>
      </c>
      <c r="C14" s="44">
        <v>-113.09858369</v>
      </c>
      <c r="D14" s="44">
        <v>-130.19688755</v>
      </c>
      <c r="E14" s="45">
        <v>-136.28008085999997</v>
      </c>
      <c r="F14" s="44">
        <v>-134.34757466</v>
      </c>
      <c r="G14" s="44">
        <v>-135.40063961999996</v>
      </c>
      <c r="H14" s="44">
        <v>0</v>
      </c>
      <c r="I14" s="44">
        <v>0</v>
      </c>
    </row>
    <row r="15" spans="1:9" ht="15">
      <c r="A15" s="88" t="str">
        <f>HLOOKUP(INDICE!$F$2,Nombres!$C$3:$D$636,40,FALSE)</f>
        <v>  Gastos de personal</v>
      </c>
      <c r="B15" s="44">
        <v>-53.595</v>
      </c>
      <c r="C15" s="44">
        <v>-59.07700000000001</v>
      </c>
      <c r="D15" s="44">
        <v>-67.195</v>
      </c>
      <c r="E15" s="45">
        <v>-72.404</v>
      </c>
      <c r="F15" s="44">
        <v>-68.283</v>
      </c>
      <c r="G15" s="44">
        <v>-69.95498248999999</v>
      </c>
      <c r="H15" s="44">
        <v>0</v>
      </c>
      <c r="I15" s="44">
        <v>0</v>
      </c>
    </row>
    <row r="16" spans="1:9" ht="15">
      <c r="A16" s="88" t="str">
        <f>HLOOKUP(INDICE!$F$2,Nombres!$C$3:$D$636,41,FALSE)</f>
        <v>  Otros gastos de administración</v>
      </c>
      <c r="B16" s="44">
        <v>-48.92170701999999</v>
      </c>
      <c r="C16" s="44">
        <v>-54.021583690000014</v>
      </c>
      <c r="D16" s="44">
        <v>-63.001887550000006</v>
      </c>
      <c r="E16" s="45">
        <v>-63.87608085999997</v>
      </c>
      <c r="F16" s="44">
        <v>-66.06457466</v>
      </c>
      <c r="G16" s="44">
        <v>-65.44565712999997</v>
      </c>
      <c r="H16" s="44">
        <v>0</v>
      </c>
      <c r="I16" s="44">
        <v>0</v>
      </c>
    </row>
    <row r="17" spans="1:9" ht="15">
      <c r="A17" s="87" t="str">
        <f>HLOOKUP(INDICE!$F$2,Nombres!$C$3:$D$636,42,FALSE)</f>
        <v>  Amortización</v>
      </c>
      <c r="B17" s="44">
        <v>-16.493000000000002</v>
      </c>
      <c r="C17" s="44">
        <v>-17.845</v>
      </c>
      <c r="D17" s="44">
        <v>-17.971000000000004</v>
      </c>
      <c r="E17" s="45">
        <v>-17.679999999999996</v>
      </c>
      <c r="F17" s="44">
        <v>-19.333</v>
      </c>
      <c r="G17" s="44">
        <v>-19.549</v>
      </c>
      <c r="H17" s="44">
        <v>0</v>
      </c>
      <c r="I17" s="44">
        <v>0</v>
      </c>
    </row>
    <row r="18" spans="1:9" ht="15">
      <c r="A18" s="41" t="str">
        <f>HLOOKUP(INDICE!$F$2,Nombres!$C$3:$D$636,43,FALSE)</f>
        <v>Margen neto</v>
      </c>
      <c r="B18" s="41">
        <f aca="true" t="shared" si="1" ref="B18:G18">+B12+B13</f>
        <v>187.4300740399999</v>
      </c>
      <c r="C18" s="41">
        <f t="shared" si="1"/>
        <v>239.33804963000009</v>
      </c>
      <c r="D18" s="41">
        <f t="shared" si="1"/>
        <v>253.1026606999999</v>
      </c>
      <c r="E18" s="42">
        <f t="shared" si="1"/>
        <v>252.10938622000006</v>
      </c>
      <c r="F18" s="50">
        <f t="shared" si="1"/>
        <v>258.0276784099999</v>
      </c>
      <c r="G18" s="50">
        <f t="shared" si="1"/>
        <v>275.72232692000006</v>
      </c>
      <c r="H18" s="50">
        <f>+H12+H13</f>
        <v>0</v>
      </c>
      <c r="I18" s="50">
        <f>+I12+I13</f>
        <v>0</v>
      </c>
    </row>
    <row r="19" spans="1:9" ht="15">
      <c r="A19" s="87" t="str">
        <f>HLOOKUP(INDICE!$F$2,Nombres!$C$3:$D$636,44,FALSE)</f>
        <v>Deterioro de activos financieros no valorados a valor razonable con cambios en resultados</v>
      </c>
      <c r="B19" s="44">
        <v>-30.826999999999998</v>
      </c>
      <c r="C19" s="44">
        <v>-43.44600000000002</v>
      </c>
      <c r="D19" s="44">
        <v>-88.217</v>
      </c>
      <c r="E19" s="45">
        <v>-123.83900000000001</v>
      </c>
      <c r="F19" s="44">
        <v>-92.02100000000002</v>
      </c>
      <c r="G19" s="44">
        <v>-115.18900000000001</v>
      </c>
      <c r="H19" s="44">
        <v>0</v>
      </c>
      <c r="I19" s="44">
        <v>0</v>
      </c>
    </row>
    <row r="20" spans="1:9" ht="15">
      <c r="A20" s="87" t="str">
        <f>HLOOKUP(INDICE!$F$2,Nombres!$C$3:$D$636,45,FALSE)</f>
        <v>Provisiones o reversión de provisiones y otros resultados</v>
      </c>
      <c r="B20" s="44">
        <v>-9.047</v>
      </c>
      <c r="C20" s="44">
        <v>-8.422999999999977</v>
      </c>
      <c r="D20" s="44">
        <v>-11.660000000000002</v>
      </c>
      <c r="E20" s="45">
        <v>-9.266000000000002</v>
      </c>
      <c r="F20" s="44">
        <v>2.087</v>
      </c>
      <c r="G20" s="44">
        <v>-1.1689999999999992</v>
      </c>
      <c r="H20" s="44">
        <v>0</v>
      </c>
      <c r="I20" s="44">
        <v>0</v>
      </c>
    </row>
    <row r="21" spans="1:9" ht="15">
      <c r="A21" s="89" t="str">
        <f>HLOOKUP(INDICE!$F$2,Nombres!$C$3:$D$636,46,FALSE)</f>
        <v>Resultado antes de impuestos</v>
      </c>
      <c r="B21" s="41">
        <f aca="true" t="shared" si="2" ref="B21:G21">+B18+B19+B20</f>
        <v>147.5560740399999</v>
      </c>
      <c r="C21" s="41">
        <f t="shared" si="2"/>
        <v>187.4690496300001</v>
      </c>
      <c r="D21" s="41">
        <f t="shared" si="2"/>
        <v>153.2256606999999</v>
      </c>
      <c r="E21" s="42">
        <f t="shared" si="2"/>
        <v>119.00438622000003</v>
      </c>
      <c r="F21" s="50">
        <f t="shared" si="2"/>
        <v>168.09367840999988</v>
      </c>
      <c r="G21" s="50">
        <f t="shared" si="2"/>
        <v>159.36432692000002</v>
      </c>
      <c r="H21" s="50">
        <f>+H18+H19+H20</f>
        <v>0</v>
      </c>
      <c r="I21" s="50">
        <f>+I18+I19+I20</f>
        <v>0</v>
      </c>
    </row>
    <row r="22" spans="1:9" ht="15">
      <c r="A22" s="43" t="str">
        <f>HLOOKUP(INDICE!$F$2,Nombres!$C$3:$D$636,47,FALSE)</f>
        <v>Impuesto sobre beneficios</v>
      </c>
      <c r="B22" s="44">
        <v>-37.535995320000005</v>
      </c>
      <c r="C22" s="44">
        <v>-50.323949490000004</v>
      </c>
      <c r="D22" s="44">
        <v>-39.59375947000001</v>
      </c>
      <c r="E22" s="45">
        <v>-38.45487958999999</v>
      </c>
      <c r="F22" s="44">
        <v>-46.36123809</v>
      </c>
      <c r="G22" s="44">
        <v>-41.19416211000001</v>
      </c>
      <c r="H22" s="44">
        <v>0</v>
      </c>
      <c r="I22" s="44">
        <v>0</v>
      </c>
    </row>
    <row r="23" spans="1:9" ht="15">
      <c r="A23" s="89" t="str">
        <f>HLOOKUP(INDICE!$F$2,Nombres!$C$3:$D$636,48,FALSE)</f>
        <v>Resultado del ejercicio</v>
      </c>
      <c r="B23" s="41">
        <f aca="true" t="shared" si="3" ref="B23:G23">+B21+B22</f>
        <v>110.0200787199999</v>
      </c>
      <c r="C23" s="41">
        <f t="shared" si="3"/>
        <v>137.14510014000007</v>
      </c>
      <c r="D23" s="41">
        <f t="shared" si="3"/>
        <v>113.6319012299999</v>
      </c>
      <c r="E23" s="42">
        <f t="shared" si="3"/>
        <v>80.54950663000004</v>
      </c>
      <c r="F23" s="50">
        <f t="shared" si="3"/>
        <v>121.73244031999988</v>
      </c>
      <c r="G23" s="50">
        <f t="shared" si="3"/>
        <v>118.17016481000002</v>
      </c>
      <c r="H23" s="50">
        <f>+H21+H22</f>
        <v>0</v>
      </c>
      <c r="I23" s="50">
        <f>+I21+I22</f>
        <v>0</v>
      </c>
    </row>
    <row r="24" spans="1:9" ht="15">
      <c r="A24" s="87" t="str">
        <f>HLOOKUP(INDICE!$F$2,Nombres!$C$3:$D$636,49,FALSE)</f>
        <v>Minoritarios</v>
      </c>
      <c r="B24" s="44">
        <v>-59.35333915</v>
      </c>
      <c r="C24" s="44">
        <v>-70.39765243</v>
      </c>
      <c r="D24" s="44">
        <v>-62.723915610000006</v>
      </c>
      <c r="E24" s="45">
        <v>-43.35294272999999</v>
      </c>
      <c r="F24" s="44">
        <v>-64.55076044</v>
      </c>
      <c r="G24" s="44">
        <v>-64.24584562</v>
      </c>
      <c r="H24" s="44">
        <v>0</v>
      </c>
      <c r="I24" s="44">
        <v>0</v>
      </c>
    </row>
    <row r="25" spans="1:9" ht="15">
      <c r="A25" s="90" t="str">
        <f>HLOOKUP(INDICE!$F$2,Nombres!$C$3:$D$636,50,FALSE)</f>
        <v>Resultado atribuido</v>
      </c>
      <c r="B25" s="47">
        <f aca="true" t="shared" si="4" ref="B25:G25">+B23+B24</f>
        <v>50.666739569999905</v>
      </c>
      <c r="C25" s="47">
        <f t="shared" si="4"/>
        <v>66.74744771000007</v>
      </c>
      <c r="D25" s="47">
        <f t="shared" si="4"/>
        <v>50.90798561999989</v>
      </c>
      <c r="E25" s="47">
        <f t="shared" si="4"/>
        <v>37.19656390000005</v>
      </c>
      <c r="F25" s="51">
        <f t="shared" si="4"/>
        <v>57.18167987999988</v>
      </c>
      <c r="G25" s="51">
        <f t="shared" si="4"/>
        <v>53.92431919000002</v>
      </c>
      <c r="H25" s="51">
        <f>+H23+H24</f>
        <v>0</v>
      </c>
      <c r="I25" s="51">
        <f>+I23+I24</f>
        <v>0</v>
      </c>
    </row>
    <row r="26" spans="1:9" ht="15">
      <c r="A26" s="91"/>
      <c r="B26" s="63">
        <v>-1.2789769243681803E-13</v>
      </c>
      <c r="C26" s="63">
        <v>0</v>
      </c>
      <c r="D26" s="63">
        <v>-8.526512829121202E-14</v>
      </c>
      <c r="E26" s="63">
        <v>0</v>
      </c>
      <c r="F26" s="63">
        <v>-1.1368683772161603E-13</v>
      </c>
      <c r="G26" s="63">
        <v>0</v>
      </c>
      <c r="H26" s="63">
        <v>0</v>
      </c>
      <c r="I26" s="63">
        <v>0</v>
      </c>
    </row>
    <row r="27" spans="1:9" ht="15">
      <c r="A27" s="89"/>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87" t="str">
        <f>HLOOKUP(INDICE!$F$2,Nombres!$C$3:$D$636,52,FALSE)</f>
        <v>Efectivo, saldos en efectivo en bancos centrales y otros depósitos a la vista</v>
      </c>
      <c r="B31" s="44">
        <v>3470.1679999999997</v>
      </c>
      <c r="C31" s="44">
        <v>3729.0200000000004</v>
      </c>
      <c r="D31" s="44">
        <v>4383.277</v>
      </c>
      <c r="E31" s="45">
        <v>2912.387</v>
      </c>
      <c r="F31" s="44">
        <v>3306.83</v>
      </c>
      <c r="G31" s="44">
        <v>3590.5790000000006</v>
      </c>
      <c r="H31" s="44">
        <v>0</v>
      </c>
      <c r="I31" s="44">
        <v>0</v>
      </c>
    </row>
    <row r="32" spans="1:9" ht="15">
      <c r="A32" s="87" t="str">
        <f>HLOOKUP(INDICE!$F$2,Nombres!$C$3:$D$636,53,FALSE)</f>
        <v>Activos financieros a valor razonable</v>
      </c>
      <c r="B32" s="58">
        <v>2913.6949999999997</v>
      </c>
      <c r="C32" s="58">
        <v>2986.973</v>
      </c>
      <c r="D32" s="58">
        <v>3344.2919999999995</v>
      </c>
      <c r="E32" s="64">
        <v>3185.991</v>
      </c>
      <c r="F32" s="44">
        <v>3207.4750000000004</v>
      </c>
      <c r="G32" s="44">
        <v>3033.783</v>
      </c>
      <c r="H32" s="44">
        <v>0</v>
      </c>
      <c r="I32" s="44">
        <v>0</v>
      </c>
    </row>
    <row r="33" spans="1:9" ht="15">
      <c r="A33" s="43" t="str">
        <f>HLOOKUP(INDICE!$F$2,Nombres!$C$3:$D$636,54,FALSE)</f>
        <v>Activos financieros a coste amortizado</v>
      </c>
      <c r="B33" s="44">
        <v>17268.314000000002</v>
      </c>
      <c r="C33" s="44">
        <v>18041.945</v>
      </c>
      <c r="D33" s="44">
        <v>19025.966000000004</v>
      </c>
      <c r="E33" s="45">
        <v>17303.597999999998</v>
      </c>
      <c r="F33" s="44">
        <v>17628.758999999995</v>
      </c>
      <c r="G33" s="44">
        <v>17872.498</v>
      </c>
      <c r="H33" s="44">
        <v>0</v>
      </c>
      <c r="I33" s="44">
        <v>0</v>
      </c>
    </row>
    <row r="34" spans="1:9" ht="15">
      <c r="A34" s="87" t="str">
        <f>HLOOKUP(INDICE!$F$2,Nombres!$C$3:$D$636,55,FALSE)</f>
        <v>    de los que préstamos y anticipos a la clientela</v>
      </c>
      <c r="B34" s="44">
        <v>16947.196</v>
      </c>
      <c r="C34" s="44">
        <v>17677.086</v>
      </c>
      <c r="D34" s="44">
        <v>18066.41</v>
      </c>
      <c r="E34" s="45">
        <v>16998.711</v>
      </c>
      <c r="F34" s="44">
        <v>17099.629999999997</v>
      </c>
      <c r="G34" s="44">
        <v>17526.069</v>
      </c>
      <c r="H34" s="44">
        <v>0</v>
      </c>
      <c r="I34" s="44">
        <v>0</v>
      </c>
    </row>
    <row r="35" spans="1:9" ht="15" customHeight="1" hidden="1">
      <c r="A35" s="87"/>
      <c r="B35" s="44"/>
      <c r="C35" s="44"/>
      <c r="D35" s="44"/>
      <c r="E35" s="45"/>
      <c r="F35" s="44"/>
      <c r="G35" s="44"/>
      <c r="H35" s="44"/>
      <c r="I35" s="44"/>
    </row>
    <row r="36" spans="1:9" ht="15">
      <c r="A36" s="43" t="str">
        <f>HLOOKUP(INDICE!$F$2,Nombres!$C$3:$D$636,56,FALSE)</f>
        <v>Activos tangibles</v>
      </c>
      <c r="B36" s="44">
        <v>288.717</v>
      </c>
      <c r="C36" s="44">
        <v>298.78</v>
      </c>
      <c r="D36" s="44">
        <v>315.13899999999995</v>
      </c>
      <c r="E36" s="45">
        <v>310.281</v>
      </c>
      <c r="F36" s="44">
        <v>306.857</v>
      </c>
      <c r="G36" s="44">
        <v>320.765</v>
      </c>
      <c r="H36" s="44">
        <v>0</v>
      </c>
      <c r="I36" s="44">
        <v>0</v>
      </c>
    </row>
    <row r="37" spans="1:9" ht="15">
      <c r="A37" s="87" t="str">
        <f>HLOOKUP(INDICE!$F$2,Nombres!$C$3:$D$636,57,FALSE)</f>
        <v>Otros activos</v>
      </c>
      <c r="B37" s="58">
        <f aca="true" t="shared" si="5" ref="B37:G37">+B38-B36-B33-B32-B31</f>
        <v>443.0927348899986</v>
      </c>
      <c r="C37" s="58">
        <f t="shared" si="5"/>
        <v>470.6485883399964</v>
      </c>
      <c r="D37" s="58">
        <f t="shared" si="5"/>
        <v>469.59934287000215</v>
      </c>
      <c r="E37" s="64">
        <f t="shared" si="5"/>
        <v>507.7397496300041</v>
      </c>
      <c r="F37" s="44">
        <f t="shared" si="5"/>
        <v>539.4309179800039</v>
      </c>
      <c r="G37" s="44">
        <f t="shared" si="5"/>
        <v>555.8143992700034</v>
      </c>
      <c r="H37" s="44">
        <f>+H38-H36-H33-H32-H31</f>
        <v>0</v>
      </c>
      <c r="I37" s="44">
        <f>+I38-I36-I33-I32-I31</f>
        <v>0</v>
      </c>
    </row>
    <row r="38" spans="1:9" ht="15">
      <c r="A38" s="90" t="str">
        <f>HLOOKUP(INDICE!$F$2,Nombres!$C$3:$D$636,58,FALSE)</f>
        <v>Total activo / pasivo</v>
      </c>
      <c r="B38" s="47">
        <v>24383.98673489</v>
      </c>
      <c r="C38" s="47">
        <v>25527.366588339995</v>
      </c>
      <c r="D38" s="47">
        <v>27538.273342870005</v>
      </c>
      <c r="E38" s="47">
        <v>24219.99674963</v>
      </c>
      <c r="F38" s="51">
        <v>24989.35191798</v>
      </c>
      <c r="G38" s="51">
        <v>25373.439399270002</v>
      </c>
      <c r="H38" s="51">
        <v>0</v>
      </c>
      <c r="I38" s="51">
        <v>0</v>
      </c>
    </row>
    <row r="39" spans="1:9" ht="15">
      <c r="A39" s="87" t="str">
        <f>HLOOKUP(INDICE!$F$2,Nombres!$C$3:$D$636,59,FALSE)</f>
        <v>Pasivos financieros mantenidos para negociar y designados a valor razonable con cambios en resultados</v>
      </c>
      <c r="B39" s="58">
        <v>421.15200000000004</v>
      </c>
      <c r="C39" s="58">
        <v>410.173</v>
      </c>
      <c r="D39" s="58">
        <v>459.85699999999997</v>
      </c>
      <c r="E39" s="64">
        <v>376.86699999999996</v>
      </c>
      <c r="F39" s="44">
        <v>366.334</v>
      </c>
      <c r="G39" s="44">
        <v>363.961</v>
      </c>
      <c r="H39" s="44">
        <v>0</v>
      </c>
      <c r="I39" s="44">
        <v>0</v>
      </c>
    </row>
    <row r="40" spans="1:9" ht="15.75" customHeight="1">
      <c r="A40" s="87" t="str">
        <f>HLOOKUP(INDICE!$F$2,Nombres!$C$3:$D$636,60,FALSE)</f>
        <v>Depósitos de bancos centrales y entidades de crédito</v>
      </c>
      <c r="B40" s="58">
        <v>4168.018</v>
      </c>
      <c r="C40" s="58">
        <v>4008.562</v>
      </c>
      <c r="D40" s="58">
        <v>3885.9220000000005</v>
      </c>
      <c r="E40" s="64">
        <v>3097.4950000000003</v>
      </c>
      <c r="F40" s="44">
        <v>3043.391</v>
      </c>
      <c r="G40" s="44">
        <v>3286.7799999999997</v>
      </c>
      <c r="H40" s="44">
        <v>0</v>
      </c>
      <c r="I40" s="44">
        <v>0</v>
      </c>
    </row>
    <row r="41" spans="1:9" ht="15">
      <c r="A41" s="87" t="str">
        <f>HLOOKUP(INDICE!$F$2,Nombres!$C$3:$D$636,61,FALSE)</f>
        <v>Depósitos de la clientela</v>
      </c>
      <c r="B41" s="58">
        <v>14966.210000000001</v>
      </c>
      <c r="C41" s="58">
        <v>16149.865000000002</v>
      </c>
      <c r="D41" s="58">
        <v>18199.582000000002</v>
      </c>
      <c r="E41" s="64">
        <v>16220.615999999998</v>
      </c>
      <c r="F41" s="44">
        <v>16431.888</v>
      </c>
      <c r="G41" s="44">
        <v>16847.688000000002</v>
      </c>
      <c r="H41" s="44">
        <v>0</v>
      </c>
      <c r="I41" s="44">
        <v>0</v>
      </c>
    </row>
    <row r="42" spans="1:9" ht="15">
      <c r="A42" s="43" t="str">
        <f>HLOOKUP(INDICE!$F$2,Nombres!$C$3:$D$636,62,FALSE)</f>
        <v>Valores representativos de deuda emitidos</v>
      </c>
      <c r="B42" s="44">
        <v>1371.86706993</v>
      </c>
      <c r="C42" s="44">
        <v>1657.98805191</v>
      </c>
      <c r="D42" s="44">
        <v>1109.12309372</v>
      </c>
      <c r="E42" s="45">
        <v>947.3668865199999</v>
      </c>
      <c r="F42" s="44">
        <v>937.72618743</v>
      </c>
      <c r="G42" s="44">
        <v>1023.74412112</v>
      </c>
      <c r="H42" s="44">
        <v>0</v>
      </c>
      <c r="I42" s="44">
        <v>0</v>
      </c>
    </row>
    <row r="43" spans="1:9" ht="15" customHeight="1" hidden="1">
      <c r="A43" s="43"/>
      <c r="B43" s="44"/>
      <c r="C43" s="44"/>
      <c r="D43" s="44"/>
      <c r="E43" s="45"/>
      <c r="F43" s="44"/>
      <c r="G43" s="44"/>
      <c r="H43" s="44"/>
      <c r="I43" s="44"/>
    </row>
    <row r="44" spans="1:9" ht="15">
      <c r="A44" s="87" t="str">
        <f>HLOOKUP(INDICE!$F$2,Nombres!$C$3:$D$636,63,FALSE)</f>
        <v>Otros pasivos</v>
      </c>
      <c r="B44" s="58">
        <f aca="true" t="shared" si="6" ref="B44:G44">+B38-B39-B40-B41-B42-B45</f>
        <v>1103.4058635199976</v>
      </c>
      <c r="C44" s="58">
        <f t="shared" si="6"/>
        <v>826.3090805699935</v>
      </c>
      <c r="D44" s="58">
        <f t="shared" si="6"/>
        <v>1301.7892427900042</v>
      </c>
      <c r="E44" s="64">
        <f t="shared" si="6"/>
        <v>1148.868887300006</v>
      </c>
      <c r="F44" s="44">
        <f t="shared" si="6"/>
        <v>1919.808729630001</v>
      </c>
      <c r="G44" s="44">
        <f t="shared" si="6"/>
        <v>1423.7388248200018</v>
      </c>
      <c r="H44" s="44">
        <f>+H38-H39-H40-H41-H42-H45</f>
        <v>0</v>
      </c>
      <c r="I44" s="44">
        <f>+I38-I39-I40-I41-I42-I45</f>
        <v>0</v>
      </c>
    </row>
    <row r="45" spans="1:9" ht="15">
      <c r="A45" s="43" t="str">
        <f>HLOOKUP(INDICE!$F$2,Nombres!$C$3:$D$636,282,FALSE)</f>
        <v>Dotación de capital regulatorio</v>
      </c>
      <c r="B45" s="58">
        <v>2353.33380144</v>
      </c>
      <c r="C45" s="58">
        <v>2474.46945586</v>
      </c>
      <c r="D45" s="58">
        <v>2582.00000636</v>
      </c>
      <c r="E45" s="64">
        <v>2428.78297581</v>
      </c>
      <c r="F45" s="44">
        <v>2290.20400092</v>
      </c>
      <c r="G45" s="44">
        <v>2427.5274533300003</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G50">+B$30</f>
        <v>44651</v>
      </c>
      <c r="C50" s="53">
        <f t="shared" si="7"/>
        <v>44742</v>
      </c>
      <c r="D50" s="53">
        <f t="shared" si="7"/>
        <v>44834</v>
      </c>
      <c r="E50" s="67">
        <f t="shared" si="7"/>
        <v>44926</v>
      </c>
      <c r="F50" s="53">
        <f t="shared" si="7"/>
        <v>45016</v>
      </c>
      <c r="G50" s="53">
        <f t="shared" si="7"/>
        <v>45107</v>
      </c>
      <c r="H50" s="53">
        <f>+H$30</f>
        <v>45199</v>
      </c>
      <c r="I50" s="53">
        <f>+I$30</f>
        <v>45291</v>
      </c>
    </row>
    <row r="51" spans="1:9" ht="15">
      <c r="A51" s="87" t="str">
        <f>HLOOKUP(INDICE!$F$2,Nombres!$C$3:$D$636,66,FALSE)</f>
        <v>Préstamos y anticipos a la clientela bruto (*)</v>
      </c>
      <c r="B51" s="44">
        <v>17794.426000000003</v>
      </c>
      <c r="C51" s="44">
        <v>18602.682999999997</v>
      </c>
      <c r="D51" s="44">
        <v>19009.434</v>
      </c>
      <c r="E51" s="45">
        <v>17879.666</v>
      </c>
      <c r="F51" s="44">
        <v>17990.935999999998</v>
      </c>
      <c r="G51" s="44">
        <v>18397.748000000003</v>
      </c>
      <c r="H51" s="44">
        <v>0</v>
      </c>
      <c r="I51" s="44">
        <v>0</v>
      </c>
    </row>
    <row r="52" spans="1:9" ht="15">
      <c r="A52" s="87" t="str">
        <f>HLOOKUP(INDICE!$F$2,Nombres!$C$3:$D$636,67,FALSE)</f>
        <v>Depósitos de clientes en gestión (**)</v>
      </c>
      <c r="B52" s="44">
        <v>14966.21</v>
      </c>
      <c r="C52" s="44">
        <v>16149.865</v>
      </c>
      <c r="D52" s="44">
        <v>18199.582</v>
      </c>
      <c r="E52" s="45">
        <v>16220.616</v>
      </c>
      <c r="F52" s="44">
        <v>16431.888</v>
      </c>
      <c r="G52" s="44">
        <v>16847.688</v>
      </c>
      <c r="H52" s="44">
        <v>0</v>
      </c>
      <c r="I52" s="44">
        <v>0</v>
      </c>
    </row>
    <row r="53" spans="1:9" ht="15">
      <c r="A53" s="43" t="str">
        <f>HLOOKUP(INDICE!$F$2,Nombres!$C$3:$D$636,68,FALSE)</f>
        <v>Fondos de inversión y carteras gestionadas</v>
      </c>
      <c r="B53" s="44">
        <v>1538.61888528</v>
      </c>
      <c r="C53" s="44">
        <v>1445.36195728</v>
      </c>
      <c r="D53" s="44">
        <v>1516.4828849299997</v>
      </c>
      <c r="E53" s="45">
        <v>1452.6608816399998</v>
      </c>
      <c r="F53" s="44">
        <v>1447.26335048</v>
      </c>
      <c r="G53" s="44">
        <v>1468.0727990799999</v>
      </c>
      <c r="H53" s="44">
        <v>0</v>
      </c>
      <c r="I53" s="44">
        <v>0</v>
      </c>
    </row>
    <row r="54" spans="1:9" ht="15">
      <c r="A54" s="87" t="str">
        <f>HLOOKUP(INDICE!$F$2,Nombres!$C$3:$D$636,69,FALSE)</f>
        <v>Fondos de pensiones</v>
      </c>
      <c r="B54" s="44">
        <v>0</v>
      </c>
      <c r="C54" s="44">
        <v>0</v>
      </c>
      <c r="D54" s="44">
        <v>0</v>
      </c>
      <c r="E54" s="45">
        <v>0</v>
      </c>
      <c r="F54" s="44">
        <v>0</v>
      </c>
      <c r="G54" s="44">
        <v>0</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58"/>
      <c r="G56" s="58"/>
      <c r="H56" s="58"/>
      <c r="I56" s="58"/>
    </row>
    <row r="57" spans="1:9" ht="15">
      <c r="A57" s="91"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Cuenta de resultados  </v>
      </c>
      <c r="B59" s="34"/>
      <c r="C59" s="34"/>
      <c r="D59" s="34"/>
      <c r="E59" s="34"/>
      <c r="F59" s="34"/>
      <c r="G59" s="34"/>
      <c r="H59" s="34"/>
      <c r="I59" s="34"/>
    </row>
    <row r="60" spans="1:9" ht="15">
      <c r="A60" s="83"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84" t="str">
        <f aca="true" t="shared" si="8" ref="B63:G63">+B$7</f>
        <v>1er Trim.</v>
      </c>
      <c r="C63" s="84" t="str">
        <f t="shared" si="8"/>
        <v>2º Trim.</v>
      </c>
      <c r="D63" s="84" t="str">
        <f t="shared" si="8"/>
        <v>3er Trim.</v>
      </c>
      <c r="E63" s="85" t="str">
        <f t="shared" si="8"/>
        <v>4º Trim.</v>
      </c>
      <c r="F63" s="84" t="str">
        <f t="shared" si="8"/>
        <v>1er Trim.</v>
      </c>
      <c r="G63" s="84" t="str">
        <f t="shared" si="8"/>
        <v>2º Trim.</v>
      </c>
      <c r="H63" s="84" t="str">
        <f>+H$7</f>
        <v>3er Trim.</v>
      </c>
      <c r="I63" s="84" t="str">
        <f>+I$7</f>
        <v>4º Trim.</v>
      </c>
    </row>
    <row r="64" spans="1:9" ht="15">
      <c r="A64" s="41" t="str">
        <f>HLOOKUP(INDICE!$F$2,Nombres!$C$3:$D$636,33,FALSE)</f>
        <v>Margen de intereses</v>
      </c>
      <c r="B64" s="41">
        <v>229.42913431232395</v>
      </c>
      <c r="C64" s="41">
        <v>259.1181621586015</v>
      </c>
      <c r="D64" s="41">
        <v>283.47123254223675</v>
      </c>
      <c r="E64" s="42">
        <v>300.93281462341236</v>
      </c>
      <c r="F64" s="50">
        <v>306.45100455720444</v>
      </c>
      <c r="G64" s="50">
        <v>317.1669954427956</v>
      </c>
      <c r="H64" s="50">
        <v>0</v>
      </c>
      <c r="I64" s="50">
        <v>0</v>
      </c>
    </row>
    <row r="65" spans="1:9" ht="15">
      <c r="A65" s="87" t="str">
        <f>HLOOKUP(INDICE!$F$2,Nombres!$C$3:$D$636,34,FALSE)</f>
        <v>Comisiones netas</v>
      </c>
      <c r="B65" s="44">
        <v>66.78243383011021</v>
      </c>
      <c r="C65" s="44">
        <v>74.57831891748663</v>
      </c>
      <c r="D65" s="44">
        <v>69.40514809032072</v>
      </c>
      <c r="E65" s="45">
        <v>66.17833559872338</v>
      </c>
      <c r="F65" s="44">
        <v>73.97659739093481</v>
      </c>
      <c r="G65" s="44">
        <v>73.77948510906519</v>
      </c>
      <c r="H65" s="44">
        <v>0</v>
      </c>
      <c r="I65" s="44">
        <v>0</v>
      </c>
    </row>
    <row r="66" spans="1:9" ht="15">
      <c r="A66" s="87" t="str">
        <f>HLOOKUP(INDICE!$F$2,Nombres!$C$3:$D$636,35,FALSE)</f>
        <v>Resultados de operaciones financieras</v>
      </c>
      <c r="B66" s="44">
        <v>34.911880711965054</v>
      </c>
      <c r="C66" s="44">
        <v>40.92059078752049</v>
      </c>
      <c r="D66" s="44">
        <v>43.79877925092508</v>
      </c>
      <c r="E66" s="45">
        <v>41.18916752196781</v>
      </c>
      <c r="F66" s="44">
        <v>47.769979030730205</v>
      </c>
      <c r="G66" s="44">
        <v>45.2801580792698</v>
      </c>
      <c r="H66" s="44">
        <v>0</v>
      </c>
      <c r="I66" s="44">
        <v>0</v>
      </c>
    </row>
    <row r="67" spans="1:9" ht="15">
      <c r="A67" s="87" t="str">
        <f>HLOOKUP(INDICE!$F$2,Nombres!$C$3:$D$636,36,FALSE)</f>
        <v>Otros ingresos y cargas de explotación</v>
      </c>
      <c r="B67" s="44">
        <v>-8.919393532526644</v>
      </c>
      <c r="C67" s="44">
        <v>-8.707432865404277</v>
      </c>
      <c r="D67" s="44">
        <v>-8.024918323678257</v>
      </c>
      <c r="E67" s="45">
        <v>-10.333573046660288</v>
      </c>
      <c r="F67" s="44">
        <v>-13.064775176764172</v>
      </c>
      <c r="G67" s="44">
        <v>-8.979224823235826</v>
      </c>
      <c r="H67" s="44">
        <v>0</v>
      </c>
      <c r="I67" s="44">
        <v>0</v>
      </c>
    </row>
    <row r="68" spans="1:9" ht="15">
      <c r="A68" s="41" t="str">
        <f>HLOOKUP(INDICE!$F$2,Nombres!$C$3:$D$636,37,FALSE)</f>
        <v>Margen bruto</v>
      </c>
      <c r="B68" s="41">
        <f aca="true" t="shared" si="9" ref="B68:G68">+SUM(B64:B67)</f>
        <v>322.20405532187254</v>
      </c>
      <c r="C68" s="41">
        <f t="shared" si="9"/>
        <v>365.90963899820434</v>
      </c>
      <c r="D68" s="41">
        <f t="shared" si="9"/>
        <v>388.6502415598043</v>
      </c>
      <c r="E68" s="42">
        <f t="shared" si="9"/>
        <v>397.9667446974433</v>
      </c>
      <c r="F68" s="50">
        <f t="shared" si="9"/>
        <v>415.1328058021053</v>
      </c>
      <c r="G68" s="50">
        <f t="shared" si="9"/>
        <v>427.2474138078948</v>
      </c>
      <c r="H68" s="50">
        <f>+SUM(H64:H67)</f>
        <v>0</v>
      </c>
      <c r="I68" s="50">
        <f>+SUM(I64:I67)</f>
        <v>0</v>
      </c>
    </row>
    <row r="69" spans="1:9" ht="15">
      <c r="A69" s="87" t="str">
        <f>HLOOKUP(INDICE!$F$2,Nombres!$C$3:$D$636,38,FALSE)</f>
        <v>Gastos de explotación</v>
      </c>
      <c r="B69" s="44">
        <v>-125.13195934245888</v>
      </c>
      <c r="C69" s="44">
        <v>-129.02917494867057</v>
      </c>
      <c r="D69" s="44">
        <v>-143.5065123344608</v>
      </c>
      <c r="E69" s="45">
        <v>-150.942508383371</v>
      </c>
      <c r="F69" s="44">
        <v>-154.95887604914884</v>
      </c>
      <c r="G69" s="44">
        <v>-153.67133823085118</v>
      </c>
      <c r="H69" s="44">
        <v>0</v>
      </c>
      <c r="I69" s="44">
        <v>0</v>
      </c>
    </row>
    <row r="70" spans="1:9" ht="15">
      <c r="A70" s="87" t="str">
        <f>HLOOKUP(INDICE!$F$2,Nombres!$C$3:$D$636,39,FALSE)</f>
        <v>  Gastos de administración</v>
      </c>
      <c r="B70" s="44">
        <v>-107.79050495934418</v>
      </c>
      <c r="C70" s="44">
        <v>-111.45456559644339</v>
      </c>
      <c r="D70" s="44">
        <v>-126.17316542992673</v>
      </c>
      <c r="E70" s="45">
        <v>-133.64296132067022</v>
      </c>
      <c r="F70" s="44">
        <v>-135.4650658699112</v>
      </c>
      <c r="G70" s="44">
        <v>-134.28314841008876</v>
      </c>
      <c r="H70" s="44">
        <v>0</v>
      </c>
      <c r="I70" s="44">
        <v>0</v>
      </c>
    </row>
    <row r="71" spans="1:9" ht="15">
      <c r="A71" s="88" t="str">
        <f>HLOOKUP(INDICE!$F$2,Nombres!$C$3:$D$636,40,FALSE)</f>
        <v>  Gastos de personal</v>
      </c>
      <c r="B71" s="44">
        <v>-56.35210378118184</v>
      </c>
      <c r="C71" s="44">
        <v>-58.21667521551113</v>
      </c>
      <c r="D71" s="44">
        <v>-65.09332013658373</v>
      </c>
      <c r="E71" s="45">
        <v>-71.02279575858827</v>
      </c>
      <c r="F71" s="44">
        <v>-68.85097193756178</v>
      </c>
      <c r="G71" s="44">
        <v>-69.38701055243823</v>
      </c>
      <c r="H71" s="44">
        <v>0</v>
      </c>
      <c r="I71" s="44">
        <v>0</v>
      </c>
    </row>
    <row r="72" spans="1:9" ht="15">
      <c r="A72" s="88" t="str">
        <f>HLOOKUP(INDICE!$F$2,Nombres!$C$3:$D$636,41,FALSE)</f>
        <v>  Otros gastos de administración</v>
      </c>
      <c r="B72" s="44">
        <v>-51.43840117816236</v>
      </c>
      <c r="C72" s="44">
        <v>-53.23789038093224</v>
      </c>
      <c r="D72" s="44">
        <v>-61.079845293343</v>
      </c>
      <c r="E72" s="45">
        <v>-62.62016556208195</v>
      </c>
      <c r="F72" s="44">
        <v>-66.61409393234943</v>
      </c>
      <c r="G72" s="44">
        <v>-64.89613785765056</v>
      </c>
      <c r="H72" s="44">
        <v>0</v>
      </c>
      <c r="I72" s="44">
        <v>0</v>
      </c>
    </row>
    <row r="73" spans="1:9" ht="15">
      <c r="A73" s="87" t="str">
        <f>HLOOKUP(INDICE!$F$2,Nombres!$C$3:$D$636,42,FALSE)</f>
        <v>  Amortización</v>
      </c>
      <c r="B73" s="44">
        <v>-17.341454383114694</v>
      </c>
      <c r="C73" s="44">
        <v>-17.57460935222721</v>
      </c>
      <c r="D73" s="44">
        <v>-17.333346904534068</v>
      </c>
      <c r="E73" s="45">
        <v>-17.29954706270077</v>
      </c>
      <c r="F73" s="44">
        <v>-19.493810179237613</v>
      </c>
      <c r="G73" s="44">
        <v>-19.38818982076239</v>
      </c>
      <c r="H73" s="44">
        <v>0</v>
      </c>
      <c r="I73" s="44">
        <v>0</v>
      </c>
    </row>
    <row r="74" spans="1:9" ht="15">
      <c r="A74" s="41" t="str">
        <f>HLOOKUP(INDICE!$F$2,Nombres!$C$3:$D$636,43,FALSE)</f>
        <v>Margen neto</v>
      </c>
      <c r="B74" s="41">
        <f aca="true" t="shared" si="10" ref="B74:G74">+B68+B69</f>
        <v>197.07209597941366</v>
      </c>
      <c r="C74" s="41">
        <f t="shared" si="10"/>
        <v>236.88046404953377</v>
      </c>
      <c r="D74" s="41">
        <f t="shared" si="10"/>
        <v>245.14372922534346</v>
      </c>
      <c r="E74" s="42">
        <f t="shared" si="10"/>
        <v>247.02423631407228</v>
      </c>
      <c r="F74" s="50">
        <f t="shared" si="10"/>
        <v>260.17392975295644</v>
      </c>
      <c r="G74" s="50">
        <f t="shared" si="10"/>
        <v>273.57607557704364</v>
      </c>
      <c r="H74" s="50">
        <f>+H68+H69</f>
        <v>0</v>
      </c>
      <c r="I74" s="50">
        <f>+I68+I69</f>
        <v>0</v>
      </c>
    </row>
    <row r="75" spans="1:9" ht="15">
      <c r="A75" s="87" t="str">
        <f>HLOOKUP(INDICE!$F$2,Nombres!$C$3:$D$636,44,FALSE)</f>
        <v>Deterioro de activos financieros no valorados a valor razonable con cambios en resultados</v>
      </c>
      <c r="B75" s="44">
        <v>-32.41284267678874</v>
      </c>
      <c r="C75" s="44">
        <v>-43.11050760031094</v>
      </c>
      <c r="D75" s="44">
        <v>-86.78154438487906</v>
      </c>
      <c r="E75" s="45">
        <v>-122.22386714374925</v>
      </c>
      <c r="F75" s="44">
        <v>-92.78642251609293</v>
      </c>
      <c r="G75" s="44">
        <v>-114.4235774839071</v>
      </c>
      <c r="H75" s="44">
        <v>0</v>
      </c>
      <c r="I75" s="44">
        <v>0</v>
      </c>
    </row>
    <row r="76" spans="1:9" ht="15">
      <c r="A76" s="87" t="str">
        <f>HLOOKUP(INDICE!$F$2,Nombres!$C$3:$D$636,45,FALSE)</f>
        <v>Provisiones o reversión de provisiones y otros resultados</v>
      </c>
      <c r="B76" s="44">
        <v>-9.512407554965053</v>
      </c>
      <c r="C76" s="44">
        <v>-8.25169150311705</v>
      </c>
      <c r="D76" s="44">
        <v>-11.332716632135396</v>
      </c>
      <c r="E76" s="45">
        <v>-9.057776887875299</v>
      </c>
      <c r="F76" s="44">
        <v>2.1043594808911656</v>
      </c>
      <c r="G76" s="44">
        <v>-1.1863594808911655</v>
      </c>
      <c r="H76" s="44">
        <v>0</v>
      </c>
      <c r="I76" s="44">
        <v>0</v>
      </c>
    </row>
    <row r="77" spans="1:9" ht="15">
      <c r="A77" s="89" t="str">
        <f>HLOOKUP(INDICE!$F$2,Nombres!$C$3:$D$636,46,FALSE)</f>
        <v>Resultado antes de impuestos</v>
      </c>
      <c r="B77" s="41">
        <f aca="true" t="shared" si="11" ref="B77:G77">+B74+B75+B76</f>
        <v>155.14684574765985</v>
      </c>
      <c r="C77" s="41">
        <f t="shared" si="11"/>
        <v>185.51826494610577</v>
      </c>
      <c r="D77" s="41">
        <f t="shared" si="11"/>
        <v>147.029468208329</v>
      </c>
      <c r="E77" s="42">
        <f t="shared" si="11"/>
        <v>115.74259228244773</v>
      </c>
      <c r="F77" s="50">
        <f t="shared" si="11"/>
        <v>169.49186671775468</v>
      </c>
      <c r="G77" s="50">
        <f t="shared" si="11"/>
        <v>157.9661386122454</v>
      </c>
      <c r="H77" s="50">
        <f>+H74+H75+H76</f>
        <v>0</v>
      </c>
      <c r="I77" s="50">
        <f>+I74+I75+I76</f>
        <v>0</v>
      </c>
    </row>
    <row r="78" spans="1:9" ht="15">
      <c r="A78" s="43" t="str">
        <f>HLOOKUP(INDICE!$F$2,Nombres!$C$3:$D$636,47,FALSE)</f>
        <v>Impuesto sobre beneficios</v>
      </c>
      <c r="B78" s="44">
        <v>-39.46697087046546</v>
      </c>
      <c r="C78" s="44">
        <v>-49.87205390586347</v>
      </c>
      <c r="D78" s="44">
        <v>-37.96948680865718</v>
      </c>
      <c r="E78" s="45">
        <v>-37.55695416061731</v>
      </c>
      <c r="F78" s="44">
        <v>-46.74686675636997</v>
      </c>
      <c r="G78" s="44">
        <v>-40.80853344363003</v>
      </c>
      <c r="H78" s="44">
        <v>0</v>
      </c>
      <c r="I78" s="44">
        <v>0</v>
      </c>
    </row>
    <row r="79" spans="1:9" ht="15">
      <c r="A79" s="89" t="str">
        <f>HLOOKUP(INDICE!$F$2,Nombres!$C$3:$D$636,48,FALSE)</f>
        <v>Resultado del ejercicio</v>
      </c>
      <c r="B79" s="41">
        <f aca="true" t="shared" si="12" ref="B79:G79">+B77+B78</f>
        <v>115.6798748771944</v>
      </c>
      <c r="C79" s="41">
        <f t="shared" si="12"/>
        <v>135.6462110402423</v>
      </c>
      <c r="D79" s="41">
        <f t="shared" si="12"/>
        <v>109.05998139967183</v>
      </c>
      <c r="E79" s="42">
        <f t="shared" si="12"/>
        <v>78.18563812183042</v>
      </c>
      <c r="F79" s="50">
        <f t="shared" si="12"/>
        <v>122.7449999613847</v>
      </c>
      <c r="G79" s="50">
        <f t="shared" si="12"/>
        <v>117.15760516861536</v>
      </c>
      <c r="H79" s="50">
        <f>+H77+H78</f>
        <v>0</v>
      </c>
      <c r="I79" s="50">
        <f>+I77+I78</f>
        <v>0</v>
      </c>
    </row>
    <row r="80" spans="1:9" ht="15">
      <c r="A80" s="87" t="str">
        <f>HLOOKUP(INDICE!$F$2,Nombres!$C$3:$D$636,49,FALSE)</f>
        <v>Minoritarios</v>
      </c>
      <c r="B80" s="44">
        <v>-62.406670912220974</v>
      </c>
      <c r="C80" s="44">
        <v>-69.52861628362885</v>
      </c>
      <c r="D80" s="44">
        <v>-60.3203564532799</v>
      </c>
      <c r="E80" s="45">
        <v>-42.089484287770325</v>
      </c>
      <c r="F80" s="44">
        <v>-65.08768793993693</v>
      </c>
      <c r="G80" s="44">
        <v>-63.708918120063075</v>
      </c>
      <c r="H80" s="44">
        <v>0</v>
      </c>
      <c r="I80" s="44">
        <v>0</v>
      </c>
    </row>
    <row r="81" spans="1:9" ht="15">
      <c r="A81" s="90" t="str">
        <f>HLOOKUP(INDICE!$F$2,Nombres!$C$3:$D$636,50,FALSE)</f>
        <v>Resultado atribuido</v>
      </c>
      <c r="B81" s="47">
        <f aca="true" t="shared" si="13" ref="B81:G81">+B79+B80</f>
        <v>53.27320396497342</v>
      </c>
      <c r="C81" s="47">
        <f t="shared" si="13"/>
        <v>66.11759475661344</v>
      </c>
      <c r="D81" s="47">
        <f t="shared" si="13"/>
        <v>48.73962494639193</v>
      </c>
      <c r="E81" s="47">
        <f t="shared" si="13"/>
        <v>36.0961538340601</v>
      </c>
      <c r="F81" s="51">
        <f t="shared" si="13"/>
        <v>57.65731202144778</v>
      </c>
      <c r="G81" s="51">
        <f t="shared" si="13"/>
        <v>53.44868704855229</v>
      </c>
      <c r="H81" s="51">
        <f>+H79+H80</f>
        <v>0</v>
      </c>
      <c r="I81" s="51">
        <f>+I79+I80</f>
        <v>0</v>
      </c>
    </row>
    <row r="82" spans="1:9" ht="15">
      <c r="A82" s="91"/>
      <c r="B82" s="63">
        <v>0</v>
      </c>
      <c r="C82" s="63">
        <v>0</v>
      </c>
      <c r="D82" s="63">
        <v>0</v>
      </c>
      <c r="E82" s="63">
        <v>0</v>
      </c>
      <c r="F82" s="63">
        <v>0</v>
      </c>
      <c r="G82" s="63">
        <v>0</v>
      </c>
      <c r="H82" s="63">
        <v>0</v>
      </c>
      <c r="I82" s="63">
        <v>0</v>
      </c>
    </row>
    <row r="83" spans="1:9" ht="15">
      <c r="A83" s="89"/>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87" t="str">
        <f>HLOOKUP(INDICE!$F$2,Nombres!$C$3:$D$636,52,FALSE)</f>
        <v>Efectivo, saldos en efectivo en bancos centrales y otros depósitos a la vista</v>
      </c>
      <c r="B87" s="44">
        <v>3627.146105745509</v>
      </c>
      <c r="C87" s="44">
        <v>3713.956202595438</v>
      </c>
      <c r="D87" s="44">
        <v>4305.53620203036</v>
      </c>
      <c r="E87" s="45">
        <v>2998.874692778836</v>
      </c>
      <c r="F87" s="44">
        <v>3432.689531151588</v>
      </c>
      <c r="G87" s="44">
        <v>3590.5790000000006</v>
      </c>
      <c r="H87" s="44">
        <v>0</v>
      </c>
      <c r="I87" s="44">
        <v>0</v>
      </c>
    </row>
    <row r="88" spans="1:9" ht="15">
      <c r="A88" s="87" t="str">
        <f>HLOOKUP(INDICE!$F$2,Nombres!$C$3:$D$636,53,FALSE)</f>
        <v>Activos financieros a valor razonable</v>
      </c>
      <c r="B88" s="58">
        <v>3045.5002387723475</v>
      </c>
      <c r="C88" s="58">
        <v>2974.906785250576</v>
      </c>
      <c r="D88" s="58">
        <v>3284.978402268557</v>
      </c>
      <c r="E88" s="64">
        <v>3280.603773235197</v>
      </c>
      <c r="F88" s="44">
        <v>3329.5530323392613</v>
      </c>
      <c r="G88" s="44">
        <v>3033.783</v>
      </c>
      <c r="H88" s="44">
        <v>0</v>
      </c>
      <c r="I88" s="44">
        <v>0</v>
      </c>
    </row>
    <row r="89" spans="1:9" ht="15">
      <c r="A89" s="43" t="str">
        <f>HLOOKUP(INDICE!$F$2,Nombres!$C$3:$D$636,54,FALSE)</f>
        <v>Activos financieros a coste amortizado</v>
      </c>
      <c r="B89" s="44">
        <v>18049.471344871672</v>
      </c>
      <c r="C89" s="44">
        <v>17969.06252571339</v>
      </c>
      <c r="D89" s="44">
        <v>18688.52582020227</v>
      </c>
      <c r="E89" s="45">
        <v>17817.454251862302</v>
      </c>
      <c r="F89" s="44">
        <v>18299.717997748394</v>
      </c>
      <c r="G89" s="44">
        <v>17872.498</v>
      </c>
      <c r="H89" s="44">
        <v>0</v>
      </c>
      <c r="I89" s="44">
        <v>0</v>
      </c>
    </row>
    <row r="90" spans="1:9" ht="15">
      <c r="A90" s="87" t="str">
        <f>HLOOKUP(INDICE!$F$2,Nombres!$C$3:$D$636,55,FALSE)</f>
        <v>    de los que préstamos y anticipos a la clientela</v>
      </c>
      <c r="B90" s="44">
        <v>17713.8271042514</v>
      </c>
      <c r="C90" s="44">
        <v>17605.677414847054</v>
      </c>
      <c r="D90" s="44">
        <v>17745.988285869982</v>
      </c>
      <c r="E90" s="45">
        <v>17503.51317587986</v>
      </c>
      <c r="F90" s="44">
        <v>17750.45009497483</v>
      </c>
      <c r="G90" s="44">
        <v>17526.069</v>
      </c>
      <c r="H90" s="44">
        <v>0</v>
      </c>
      <c r="I90" s="44">
        <v>0</v>
      </c>
    </row>
    <row r="91" spans="1:9" ht="15" customHeight="1" hidden="1">
      <c r="A91" s="87"/>
      <c r="B91" s="44"/>
      <c r="C91" s="44"/>
      <c r="D91" s="44"/>
      <c r="E91" s="45"/>
      <c r="F91" s="44"/>
      <c r="G91" s="44"/>
      <c r="H91" s="44"/>
      <c r="I91" s="44"/>
    </row>
    <row r="92" spans="1:9" ht="15">
      <c r="A92" s="43" t="str">
        <f>HLOOKUP(INDICE!$F$2,Nombres!$C$3:$D$636,56,FALSE)</f>
        <v>Activos tangibles</v>
      </c>
      <c r="B92" s="44">
        <v>301.7775341748659</v>
      </c>
      <c r="C92" s="44">
        <v>297.5730444490684</v>
      </c>
      <c r="D92" s="44">
        <v>309.54976680042023</v>
      </c>
      <c r="E92" s="45">
        <v>319.49525888905214</v>
      </c>
      <c r="F92" s="44">
        <v>318.536124161382</v>
      </c>
      <c r="G92" s="44">
        <v>320.765</v>
      </c>
      <c r="H92" s="44">
        <v>0</v>
      </c>
      <c r="I92" s="44">
        <v>0</v>
      </c>
    </row>
    <row r="93" spans="1:9" ht="15">
      <c r="A93" s="87" t="str">
        <f>HLOOKUP(INDICE!$F$2,Nombres!$C$3:$D$636,57,FALSE)</f>
        <v>Otros activos</v>
      </c>
      <c r="B93" s="58">
        <f aca="true" t="shared" si="15" ref="B93:G93">+B94-B92-B89-B88-B87</f>
        <v>463.1366803683263</v>
      </c>
      <c r="C93" s="58">
        <f t="shared" si="15"/>
        <v>468.74735021752576</v>
      </c>
      <c r="D93" s="58">
        <f t="shared" si="15"/>
        <v>461.2706363701118</v>
      </c>
      <c r="E93" s="64">
        <f t="shared" si="15"/>
        <v>522.8178417508525</v>
      </c>
      <c r="F93" s="44">
        <f t="shared" si="15"/>
        <v>559.9619166783459</v>
      </c>
      <c r="G93" s="44">
        <f t="shared" si="15"/>
        <v>555.8143992700034</v>
      </c>
      <c r="H93" s="44">
        <f>+H94-H92-H89-H88-H87</f>
        <v>0</v>
      </c>
      <c r="I93" s="44">
        <f>+I94-I92-I89-I88-I87</f>
        <v>0</v>
      </c>
    </row>
    <row r="94" spans="1:9" ht="15">
      <c r="A94" s="90" t="str">
        <f>HLOOKUP(INDICE!$F$2,Nombres!$C$3:$D$636,58,FALSE)</f>
        <v>Total activo / pasivo</v>
      </c>
      <c r="B94" s="47">
        <v>25487.031903932722</v>
      </c>
      <c r="C94" s="47">
        <v>25424.245908226</v>
      </c>
      <c r="D94" s="47">
        <v>27049.86082767172</v>
      </c>
      <c r="E94" s="47">
        <v>24939.24581851624</v>
      </c>
      <c r="F94" s="51">
        <v>25940.458602078972</v>
      </c>
      <c r="G94" s="51">
        <v>25373.439399270002</v>
      </c>
      <c r="H94" s="51">
        <v>0</v>
      </c>
      <c r="I94" s="51">
        <v>0</v>
      </c>
    </row>
    <row r="95" spans="1:9" ht="15">
      <c r="A95" s="87" t="str">
        <f>HLOOKUP(INDICE!$F$2,Nombres!$C$3:$D$636,59,FALSE)</f>
        <v>Pasivos financieros mantenidos para negociar y designados a valor razonable con cambios en resultados</v>
      </c>
      <c r="B95" s="58">
        <v>440.20342436646655</v>
      </c>
      <c r="C95" s="58">
        <v>408.5160598460664</v>
      </c>
      <c r="D95" s="58">
        <v>451.7010814641819</v>
      </c>
      <c r="E95" s="64">
        <v>388.05862986048265</v>
      </c>
      <c r="F95" s="44">
        <v>380.2768472237417</v>
      </c>
      <c r="G95" s="44">
        <v>363.961</v>
      </c>
      <c r="H95" s="44">
        <v>0</v>
      </c>
      <c r="I95" s="44">
        <v>0</v>
      </c>
    </row>
    <row r="96" spans="1:9" ht="15">
      <c r="A96" s="87" t="str">
        <f>HLOOKUP(INDICE!$F$2,Nombres!$C$3:$D$636,60,FALSE)</f>
        <v>Depósitos de bancos centrales y entidades de crédito</v>
      </c>
      <c r="B96" s="58">
        <v>4356.564367309359</v>
      </c>
      <c r="C96" s="58">
        <v>3992.368961118035</v>
      </c>
      <c r="D96" s="58">
        <v>3817.002176514562</v>
      </c>
      <c r="E96" s="64">
        <v>3189.479752007195</v>
      </c>
      <c r="F96" s="44">
        <v>3159.223916833028</v>
      </c>
      <c r="G96" s="44">
        <v>3286.7799999999997</v>
      </c>
      <c r="H96" s="44">
        <v>0</v>
      </c>
      <c r="I96" s="44">
        <v>0</v>
      </c>
    </row>
    <row r="97" spans="1:9" ht="15">
      <c r="A97" s="87" t="str">
        <f>HLOOKUP(INDICE!$F$2,Nombres!$C$3:$D$636,61,FALSE)</f>
        <v>Depósitos de la clientela</v>
      </c>
      <c r="B97" s="58">
        <v>15643.228316113076</v>
      </c>
      <c r="C97" s="58">
        <v>16084.625796544125</v>
      </c>
      <c r="D97" s="58">
        <v>17876.798377747997</v>
      </c>
      <c r="E97" s="64">
        <v>16702.31147978736</v>
      </c>
      <c r="F97" s="44">
        <v>17057.293515135465</v>
      </c>
      <c r="G97" s="44">
        <v>16847.688000000002</v>
      </c>
      <c r="H97" s="44">
        <v>0</v>
      </c>
      <c r="I97" s="44">
        <v>0</v>
      </c>
    </row>
    <row r="98" spans="1:9" ht="15">
      <c r="A98" s="43" t="str">
        <f>HLOOKUP(INDICE!$F$2,Nombres!$C$3:$D$636,62,FALSE)</f>
        <v>Valores representativos de deuda emitidos</v>
      </c>
      <c r="B98" s="44">
        <v>1433.9254757398203</v>
      </c>
      <c r="C98" s="44">
        <v>1651.290421939349</v>
      </c>
      <c r="D98" s="44">
        <v>1089.4519402993176</v>
      </c>
      <c r="E98" s="45">
        <v>975.5003647391322</v>
      </c>
      <c r="F98" s="44">
        <v>973.4164945514744</v>
      </c>
      <c r="G98" s="44">
        <v>1023.74412112</v>
      </c>
      <c r="H98" s="44">
        <v>0</v>
      </c>
      <c r="I98" s="44">
        <v>0</v>
      </c>
    </row>
    <row r="99" spans="1:9" ht="15" customHeight="1" hidden="1">
      <c r="A99" s="43"/>
      <c r="B99" s="44"/>
      <c r="C99" s="44"/>
      <c r="D99" s="44"/>
      <c r="E99" s="45"/>
      <c r="F99" s="44"/>
      <c r="G99" s="44"/>
      <c r="H99" s="44"/>
      <c r="I99" s="44"/>
    </row>
    <row r="100" spans="1:9" ht="15">
      <c r="A100" s="87" t="str">
        <f>HLOOKUP(INDICE!$F$2,Nombres!$C$3:$D$636,63,FALSE)</f>
        <v>Otros pasivos</v>
      </c>
      <c r="B100" s="58">
        <f aca="true" t="shared" si="16" ref="B100:G100">+B94-B95-B96-B97-B98-B101</f>
        <v>1153.320035492039</v>
      </c>
      <c r="C100" s="58">
        <f t="shared" si="16"/>
        <v>822.9711117247721</v>
      </c>
      <c r="D100" s="58">
        <f t="shared" si="16"/>
        <v>1278.7010066318053</v>
      </c>
      <c r="E100" s="64">
        <f t="shared" si="16"/>
        <v>1182.9862691479302</v>
      </c>
      <c r="F100" s="44">
        <f t="shared" si="16"/>
        <v>1992.8775679470482</v>
      </c>
      <c r="G100" s="44">
        <f t="shared" si="16"/>
        <v>1423.7388248200018</v>
      </c>
      <c r="H100" s="44">
        <f>+H94-H95-H96-H97-H98-H101</f>
        <v>0</v>
      </c>
      <c r="I100" s="44">
        <f>+I94-I95-I96-I97-I98-I101</f>
        <v>0</v>
      </c>
    </row>
    <row r="101" spans="1:9" ht="15">
      <c r="A101" s="43" t="str">
        <f>HLOOKUP(INDICE!$F$2,Nombres!$C$3:$D$636,282,FALSE)</f>
        <v>Dotación de capital regulatorio</v>
      </c>
      <c r="B101" s="58">
        <v>2459.790284911961</v>
      </c>
      <c r="C101" s="58">
        <v>2464.4735570536504</v>
      </c>
      <c r="D101" s="58">
        <v>2536.2062450138565</v>
      </c>
      <c r="E101" s="64">
        <v>2500.9093229741384</v>
      </c>
      <c r="F101" s="44">
        <v>2377.3702603882166</v>
      </c>
      <c r="G101" s="44">
        <v>2427.5274533300003</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87" t="str">
        <f>HLOOKUP(INDICE!$F$2,Nombres!$C$3:$D$636,66,FALSE)</f>
        <v>Préstamos y anticipos a la clientela bruto (*)</v>
      </c>
      <c r="B107" s="44">
        <v>18599.38278777184</v>
      </c>
      <c r="C107" s="44">
        <v>18527.5353612388</v>
      </c>
      <c r="D107" s="44">
        <v>18672.28702797172</v>
      </c>
      <c r="E107" s="45">
        <v>18410.62945368806</v>
      </c>
      <c r="F107" s="44">
        <v>18675.679627564226</v>
      </c>
      <c r="G107" s="44">
        <v>18397.748000000003</v>
      </c>
      <c r="H107" s="44">
        <v>0</v>
      </c>
      <c r="I107" s="44">
        <v>0</v>
      </c>
    </row>
    <row r="108" spans="1:9" ht="15">
      <c r="A108" s="87" t="str">
        <f>HLOOKUP(INDICE!$F$2,Nombres!$C$3:$D$636,67,FALSE)</f>
        <v>Depósitos de clientes en gestión (**)</v>
      </c>
      <c r="B108" s="44">
        <v>15643.228316113074</v>
      </c>
      <c r="C108" s="44">
        <v>16084.625796544124</v>
      </c>
      <c r="D108" s="44">
        <v>17876.798377747997</v>
      </c>
      <c r="E108" s="45">
        <v>16702.31147978736</v>
      </c>
      <c r="F108" s="44">
        <v>17057.293515135465</v>
      </c>
      <c r="G108" s="44">
        <v>16847.688</v>
      </c>
      <c r="H108" s="44">
        <v>0</v>
      </c>
      <c r="I108" s="44">
        <v>0</v>
      </c>
    </row>
    <row r="109" spans="1:9" ht="15">
      <c r="A109" s="43" t="str">
        <f>HLOOKUP(INDICE!$F$2,Nombres!$C$3:$D$636,68,FALSE)</f>
        <v>Fondos de inversión y carteras gestionadas</v>
      </c>
      <c r="B109" s="44">
        <v>1608.2205524256601</v>
      </c>
      <c r="C109" s="44">
        <v>1439.5232544302628</v>
      </c>
      <c r="D109" s="44">
        <v>1489.5868914571347</v>
      </c>
      <c r="E109" s="45">
        <v>1495.7998216377111</v>
      </c>
      <c r="F109" s="44">
        <v>1502.3468856917552</v>
      </c>
      <c r="G109" s="44">
        <v>1468.0727990799999</v>
      </c>
      <c r="H109" s="44">
        <v>0</v>
      </c>
      <c r="I109" s="44">
        <v>0</v>
      </c>
    </row>
    <row r="110" spans="1:9" ht="15">
      <c r="A110" s="87" t="str">
        <f>HLOOKUP(INDICE!$F$2,Nombres!$C$3:$D$636,69,FALSE)</f>
        <v>Fondos de pensiones</v>
      </c>
      <c r="B110" s="44">
        <v>0</v>
      </c>
      <c r="C110" s="44">
        <v>0</v>
      </c>
      <c r="D110" s="44">
        <v>0</v>
      </c>
      <c r="E110" s="45">
        <v>0</v>
      </c>
      <c r="F110" s="44">
        <v>0</v>
      </c>
      <c r="G110" s="44">
        <v>0</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Cuenta de resultados  </v>
      </c>
      <c r="B115" s="34"/>
      <c r="C115" s="34"/>
      <c r="D115" s="34"/>
      <c r="E115" s="34"/>
      <c r="F115" s="34"/>
      <c r="G115" s="34"/>
      <c r="H115" s="34"/>
      <c r="I115" s="34"/>
    </row>
    <row r="116" spans="1:9" ht="15">
      <c r="A116" s="83" t="str">
        <f>HLOOKUP(INDICE!$F$2,Nombres!$C$3:$D$636,79,FALSE)</f>
        <v>(Millones de soles peruanos)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84" t="str">
        <f aca="true" t="shared" si="18" ref="B119:G119">+B$7</f>
        <v>1er Trim.</v>
      </c>
      <c r="C119" s="84" t="str">
        <f t="shared" si="18"/>
        <v>2º Trim.</v>
      </c>
      <c r="D119" s="84" t="str">
        <f t="shared" si="18"/>
        <v>3er Trim.</v>
      </c>
      <c r="E119" s="85" t="str">
        <f t="shared" si="18"/>
        <v>4º Trim.</v>
      </c>
      <c r="F119" s="84" t="str">
        <f t="shared" si="18"/>
        <v>1er Trim.</v>
      </c>
      <c r="G119" s="84" t="str">
        <f t="shared" si="18"/>
        <v>2º Trim.</v>
      </c>
      <c r="H119" s="84" t="str">
        <f>+H$7</f>
        <v>3er Trim.</v>
      </c>
      <c r="I119" s="84" t="str">
        <f>+I$7</f>
        <v>4º Trim.</v>
      </c>
    </row>
    <row r="120" spans="1:9" ht="15">
      <c r="A120" s="41" t="str">
        <f>HLOOKUP(INDICE!$F$2,Nombres!$C$3:$D$636,33,FALSE)</f>
        <v>Margen de intereses</v>
      </c>
      <c r="B120" s="41">
        <v>930.6625350120972</v>
      </c>
      <c r="C120" s="41">
        <v>1051.0939091716139</v>
      </c>
      <c r="D120" s="41">
        <v>1149.880361408794</v>
      </c>
      <c r="E120" s="42">
        <v>1220.711994425664</v>
      </c>
      <c r="F120" s="50">
        <v>1243.0961290642495</v>
      </c>
      <c r="G120" s="50">
        <v>1286.56476382436</v>
      </c>
      <c r="H120" s="50">
        <v>0</v>
      </c>
      <c r="I120" s="50">
        <v>0</v>
      </c>
    </row>
    <row r="121" spans="1:9" ht="15">
      <c r="A121" s="87" t="str">
        <f>HLOOKUP(INDICE!$F$2,Nombres!$C$3:$D$636,34,FALSE)</f>
        <v>Comisiones netas</v>
      </c>
      <c r="B121" s="44">
        <v>270.89806771445194</v>
      </c>
      <c r="C121" s="44">
        <v>302.5215064718157</v>
      </c>
      <c r="D121" s="44">
        <v>281.5369166528658</v>
      </c>
      <c r="E121" s="45">
        <v>268.4475873379996</v>
      </c>
      <c r="F121" s="44">
        <v>300.0806670250271</v>
      </c>
      <c r="G121" s="44">
        <v>299.2810954428187</v>
      </c>
      <c r="H121" s="44">
        <v>0</v>
      </c>
      <c r="I121" s="44">
        <v>0</v>
      </c>
    </row>
    <row r="122" spans="1:9" ht="15">
      <c r="A122" s="87" t="str">
        <f>HLOOKUP(INDICE!$F$2,Nombres!$C$3:$D$636,35,FALSE)</f>
        <v>Resultados de operaciones financieras</v>
      </c>
      <c r="B122" s="44">
        <v>141.61749554094038</v>
      </c>
      <c r="C122" s="44">
        <v>165.99138932662055</v>
      </c>
      <c r="D122" s="44">
        <v>177.66655072067545</v>
      </c>
      <c r="E122" s="45">
        <v>167.0808512438058</v>
      </c>
      <c r="F122" s="44">
        <v>193.77543272988777</v>
      </c>
      <c r="G122" s="44">
        <v>183.6756557972076</v>
      </c>
      <c r="H122" s="44">
        <v>0</v>
      </c>
      <c r="I122" s="44">
        <v>0</v>
      </c>
    </row>
    <row r="123" spans="1:9" ht="15">
      <c r="A123" s="87" t="str">
        <f>HLOOKUP(INDICE!$F$2,Nombres!$C$3:$D$636,36,FALSE)</f>
        <v>Otros ingresos y cargas de explotación</v>
      </c>
      <c r="B123" s="44">
        <v>-36.18086874900378</v>
      </c>
      <c r="C123" s="44">
        <v>-35.321065775949705</v>
      </c>
      <c r="D123" s="44">
        <v>-32.552495360996815</v>
      </c>
      <c r="E123" s="45">
        <v>-41.917384712988294</v>
      </c>
      <c r="F123" s="44">
        <v>-52.99630677601063</v>
      </c>
      <c r="G123" s="44">
        <v>-36.42357001208161</v>
      </c>
      <c r="H123" s="44">
        <v>0</v>
      </c>
      <c r="I123" s="44">
        <v>0</v>
      </c>
    </row>
    <row r="124" spans="1:9" ht="15">
      <c r="A124" s="41" t="str">
        <f>HLOOKUP(INDICE!$F$2,Nombres!$C$3:$D$636,37,FALSE)</f>
        <v>Margen bruto</v>
      </c>
      <c r="B124" s="41">
        <f aca="true" t="shared" si="19" ref="B124:G124">+SUM(B120:B123)</f>
        <v>1306.9972295184857</v>
      </c>
      <c r="C124" s="41">
        <f t="shared" si="19"/>
        <v>1484.2857391941002</v>
      </c>
      <c r="D124" s="41">
        <f t="shared" si="19"/>
        <v>1576.5313334213386</v>
      </c>
      <c r="E124" s="42">
        <f t="shared" si="19"/>
        <v>1614.323048294481</v>
      </c>
      <c r="F124" s="50">
        <f t="shared" si="19"/>
        <v>1683.9559220431538</v>
      </c>
      <c r="G124" s="50">
        <f t="shared" si="19"/>
        <v>1733.0979450523046</v>
      </c>
      <c r="H124" s="50">
        <f>+SUM(H120:H123)</f>
        <v>0</v>
      </c>
      <c r="I124" s="50">
        <f>+SUM(I120:I123)</f>
        <v>0</v>
      </c>
    </row>
    <row r="125" spans="1:9" ht="15">
      <c r="A125" s="87" t="str">
        <f>HLOOKUP(INDICE!$F$2,Nombres!$C$3:$D$636,38,FALSE)</f>
        <v>Gastos de explotación</v>
      </c>
      <c r="B125" s="44">
        <v>-507.58865844017606</v>
      </c>
      <c r="C125" s="44">
        <v>-523.397429050051</v>
      </c>
      <c r="D125" s="44">
        <v>-582.1236913099403</v>
      </c>
      <c r="E125" s="45">
        <v>-612.2872664546642</v>
      </c>
      <c r="F125" s="44">
        <v>-628.5793686960691</v>
      </c>
      <c r="G125" s="44">
        <v>-623.3565655263999</v>
      </c>
      <c r="H125" s="44">
        <v>0</v>
      </c>
      <c r="I125" s="44">
        <v>0</v>
      </c>
    </row>
    <row r="126" spans="1:9" ht="15">
      <c r="A126" s="87" t="str">
        <f>HLOOKUP(INDICE!$F$2,Nombres!$C$3:$D$636,39,FALSE)</f>
        <v>  Gastos de administración</v>
      </c>
      <c r="B126" s="44">
        <v>-437.24431466116874</v>
      </c>
      <c r="C126" s="44">
        <v>-452.10730915915036</v>
      </c>
      <c r="D126" s="44">
        <v>-511.8122349259495</v>
      </c>
      <c r="E126" s="45">
        <v>-542.1129166616817</v>
      </c>
      <c r="F126" s="44">
        <v>-549.5041507520532</v>
      </c>
      <c r="G126" s="44">
        <v>-544.7097888562531</v>
      </c>
      <c r="H126" s="44">
        <v>0</v>
      </c>
      <c r="I126" s="44">
        <v>0</v>
      </c>
    </row>
    <row r="127" spans="1:9" ht="15">
      <c r="A127" s="88" t="str">
        <f>HLOOKUP(INDICE!$F$2,Nombres!$C$3:$D$636,40,FALSE)</f>
        <v>  Gastos de personal</v>
      </c>
      <c r="B127" s="44">
        <v>-228.58819528502391</v>
      </c>
      <c r="C127" s="44">
        <v>-236.15169319467384</v>
      </c>
      <c r="D127" s="44">
        <v>-264.0463013219543</v>
      </c>
      <c r="E127" s="45">
        <v>-288.09878633092023</v>
      </c>
      <c r="F127" s="44">
        <v>-279.28894154405606</v>
      </c>
      <c r="G127" s="44">
        <v>-281.4633430544857</v>
      </c>
      <c r="H127" s="44">
        <v>0</v>
      </c>
      <c r="I127" s="44">
        <v>0</v>
      </c>
    </row>
    <row r="128" spans="1:9" ht="15">
      <c r="A128" s="88" t="str">
        <f>HLOOKUP(INDICE!$F$2,Nombres!$C$3:$D$636,41,FALSE)</f>
        <v>  Otros gastos de administración</v>
      </c>
      <c r="B128" s="44">
        <v>-208.6561193761449</v>
      </c>
      <c r="C128" s="44">
        <v>-215.9556159644765</v>
      </c>
      <c r="D128" s="44">
        <v>-247.76593360399517</v>
      </c>
      <c r="E128" s="45">
        <v>-254.01413033076142</v>
      </c>
      <c r="F128" s="44">
        <v>-270.21520920799713</v>
      </c>
      <c r="G128" s="44">
        <v>-263.2464458017675</v>
      </c>
      <c r="H128" s="44">
        <v>0</v>
      </c>
      <c r="I128" s="44">
        <v>0</v>
      </c>
    </row>
    <row r="129" spans="1:9" ht="15">
      <c r="A129" s="87" t="str">
        <f>HLOOKUP(INDICE!$F$2,Nombres!$C$3:$D$636,42,FALSE)</f>
        <v>  Amortización</v>
      </c>
      <c r="B129" s="44">
        <v>-70.34434377900736</v>
      </c>
      <c r="C129" s="44">
        <v>-71.2901198909005</v>
      </c>
      <c r="D129" s="44">
        <v>-70.31145638399093</v>
      </c>
      <c r="E129" s="45">
        <v>-70.17434979298251</v>
      </c>
      <c r="F129" s="44">
        <v>-79.07521794401588</v>
      </c>
      <c r="G129" s="44">
        <v>-78.64677667014683</v>
      </c>
      <c r="H129" s="44">
        <v>0</v>
      </c>
      <c r="I129" s="44">
        <v>0</v>
      </c>
    </row>
    <row r="130" spans="1:9" ht="15">
      <c r="A130" s="41" t="str">
        <f>HLOOKUP(INDICE!$F$2,Nombres!$C$3:$D$636,43,FALSE)</f>
        <v>Margen neto</v>
      </c>
      <c r="B130" s="41">
        <f aca="true" t="shared" si="20" ref="B130:G130">+B124+B125</f>
        <v>799.4085710783097</v>
      </c>
      <c r="C130" s="41">
        <f t="shared" si="20"/>
        <v>960.8883101440492</v>
      </c>
      <c r="D130" s="41">
        <f t="shared" si="20"/>
        <v>994.4076421113982</v>
      </c>
      <c r="E130" s="42">
        <f t="shared" si="20"/>
        <v>1002.0357818398168</v>
      </c>
      <c r="F130" s="50">
        <f t="shared" si="20"/>
        <v>1055.3765533470846</v>
      </c>
      <c r="G130" s="50">
        <f t="shared" si="20"/>
        <v>1109.7413795259047</v>
      </c>
      <c r="H130" s="50">
        <f>+H124+H125</f>
        <v>0</v>
      </c>
      <c r="I130" s="50">
        <f>+I124+I125</f>
        <v>0</v>
      </c>
    </row>
    <row r="131" spans="1:9" ht="15">
      <c r="A131" s="87" t="str">
        <f>HLOOKUP(INDICE!$F$2,Nombres!$C$3:$D$636,44,FALSE)</f>
        <v>Deterioro de activos financieros no valorados a valor razonable con cambios en resultados</v>
      </c>
      <c r="B131" s="44">
        <v>-131.48033018101378</v>
      </c>
      <c r="C131" s="44">
        <v>-174.87462701378718</v>
      </c>
      <c r="D131" s="44">
        <v>-352.02299974488494</v>
      </c>
      <c r="E131" s="45">
        <v>-495.79219472682894</v>
      </c>
      <c r="F131" s="44">
        <v>-376.3813495280754</v>
      </c>
      <c r="G131" s="44">
        <v>-464.1508891427916</v>
      </c>
      <c r="H131" s="44">
        <v>0</v>
      </c>
      <c r="I131" s="44">
        <v>0</v>
      </c>
    </row>
    <row r="132" spans="1:9" ht="15">
      <c r="A132" s="87" t="str">
        <f>HLOOKUP(INDICE!$F$2,Nombres!$C$3:$D$636,45,FALSE)</f>
        <v>Provisiones o reversión de provisiones y otros resultados</v>
      </c>
      <c r="B132" s="44">
        <v>-38.58638684100403</v>
      </c>
      <c r="C132" s="44">
        <v>-33.47238420894908</v>
      </c>
      <c r="D132" s="44">
        <v>-45.97033772999054</v>
      </c>
      <c r="E132" s="45">
        <v>-36.74221072799123</v>
      </c>
      <c r="F132" s="44">
        <v>8.536180616001715</v>
      </c>
      <c r="G132" s="44">
        <v>-4.8123806299978735</v>
      </c>
      <c r="H132" s="44">
        <v>0</v>
      </c>
      <c r="I132" s="44">
        <v>0</v>
      </c>
    </row>
    <row r="133" spans="1:9" ht="15">
      <c r="A133" s="89" t="str">
        <f>HLOOKUP(INDICE!$F$2,Nombres!$C$3:$D$636,46,FALSE)</f>
        <v>Resultado antes de impuestos</v>
      </c>
      <c r="B133" s="41">
        <f aca="true" t="shared" si="21" ref="B133:G133">+B130+B131+B132</f>
        <v>629.3418540562919</v>
      </c>
      <c r="C133" s="41">
        <f t="shared" si="21"/>
        <v>752.541298921313</v>
      </c>
      <c r="D133" s="41">
        <f t="shared" si="21"/>
        <v>596.4143046365227</v>
      </c>
      <c r="E133" s="42">
        <f t="shared" si="21"/>
        <v>469.5013763849966</v>
      </c>
      <c r="F133" s="50">
        <f t="shared" si="21"/>
        <v>687.531384435011</v>
      </c>
      <c r="G133" s="50">
        <f t="shared" si="21"/>
        <v>640.7781097531152</v>
      </c>
      <c r="H133" s="50">
        <f>+H130+H131+H132</f>
        <v>0</v>
      </c>
      <c r="I133" s="50">
        <f>+I130+I131+I132</f>
        <v>0</v>
      </c>
    </row>
    <row r="134" spans="1:9" ht="15">
      <c r="A134" s="43" t="str">
        <f>HLOOKUP(INDICE!$F$2,Nombres!$C$3:$D$636,47,FALSE)</f>
        <v>Impuesto sobre beneficios</v>
      </c>
      <c r="B134" s="44">
        <v>-160.0948862473347</v>
      </c>
      <c r="C134" s="44">
        <v>-202.3023460094087</v>
      </c>
      <c r="D134" s="44">
        <v>-154.02045146693968</v>
      </c>
      <c r="E134" s="45">
        <v>-152.34704289504754</v>
      </c>
      <c r="F134" s="44">
        <v>-189.62525247613715</v>
      </c>
      <c r="G134" s="44">
        <v>-165.5368368913146</v>
      </c>
      <c r="H134" s="44">
        <v>0</v>
      </c>
      <c r="I134" s="44">
        <v>0</v>
      </c>
    </row>
    <row r="135" spans="1:9" ht="15">
      <c r="A135" s="89" t="str">
        <f>HLOOKUP(INDICE!$F$2,Nombres!$C$3:$D$636,48,FALSE)</f>
        <v>Resultado del ejercicio</v>
      </c>
      <c r="B135" s="41">
        <f aca="true" t="shared" si="22" ref="B135:G135">+B133+B134</f>
        <v>469.24696780895727</v>
      </c>
      <c r="C135" s="41">
        <f t="shared" si="22"/>
        <v>550.2389529119043</v>
      </c>
      <c r="D135" s="41">
        <f t="shared" si="22"/>
        <v>442.39385316958305</v>
      </c>
      <c r="E135" s="42">
        <f t="shared" si="22"/>
        <v>317.15433348994907</v>
      </c>
      <c r="F135" s="50">
        <f t="shared" si="22"/>
        <v>497.90613195887386</v>
      </c>
      <c r="G135" s="50">
        <f t="shared" si="22"/>
        <v>475.24127286180067</v>
      </c>
      <c r="H135" s="50">
        <f>+H133+H134</f>
        <v>0</v>
      </c>
      <c r="I135" s="50">
        <f>+I133+I134</f>
        <v>0</v>
      </c>
    </row>
    <row r="136" spans="1:9" ht="15">
      <c r="A136" s="87" t="str">
        <f>HLOOKUP(INDICE!$F$2,Nombres!$C$3:$D$636,49,FALSE)</f>
        <v>Minoritarios</v>
      </c>
      <c r="B136" s="44">
        <v>-253.14810486870897</v>
      </c>
      <c r="C136" s="44">
        <v>-282.03775636584254</v>
      </c>
      <c r="D136" s="44">
        <v>-244.68512256696124</v>
      </c>
      <c r="E136" s="45">
        <v>-170.73292048116338</v>
      </c>
      <c r="F136" s="44">
        <v>-264.02345472740683</v>
      </c>
      <c r="G136" s="44">
        <v>-258.4305756032797</v>
      </c>
      <c r="H136" s="44">
        <v>0</v>
      </c>
      <c r="I136" s="44">
        <v>0</v>
      </c>
    </row>
    <row r="137" spans="1:9" ht="15">
      <c r="A137" s="90" t="str">
        <f>HLOOKUP(INDICE!$F$2,Nombres!$C$3:$D$636,50,FALSE)</f>
        <v>Resultado atribuido</v>
      </c>
      <c r="B137" s="47">
        <f aca="true" t="shared" si="23" ref="B137:G137">+B135+B136</f>
        <v>216.0988629402483</v>
      </c>
      <c r="C137" s="47">
        <f t="shared" si="23"/>
        <v>268.2011965460618</v>
      </c>
      <c r="D137" s="47">
        <f t="shared" si="23"/>
        <v>197.7087306026218</v>
      </c>
      <c r="E137" s="47">
        <f t="shared" si="23"/>
        <v>146.4214130087857</v>
      </c>
      <c r="F137" s="51">
        <f t="shared" si="23"/>
        <v>233.88267723146703</v>
      </c>
      <c r="G137" s="51">
        <f t="shared" si="23"/>
        <v>216.81069725852097</v>
      </c>
      <c r="H137" s="51">
        <f>+H135+H136</f>
        <v>0</v>
      </c>
      <c r="I137" s="51">
        <f>+I135+I136</f>
        <v>0</v>
      </c>
    </row>
    <row r="138" spans="1:9" ht="15">
      <c r="A138" s="91"/>
      <c r="B138" s="63">
        <v>0</v>
      </c>
      <c r="C138" s="63">
        <v>0</v>
      </c>
      <c r="D138" s="63">
        <v>2.8421709430404007E-13</v>
      </c>
      <c r="E138" s="63">
        <v>0</v>
      </c>
      <c r="F138" s="63">
        <v>0</v>
      </c>
      <c r="G138" s="63">
        <v>0</v>
      </c>
      <c r="H138" s="63">
        <v>0</v>
      </c>
      <c r="I138" s="63">
        <v>0</v>
      </c>
    </row>
    <row r="139" spans="1:9" ht="15">
      <c r="A139" s="89"/>
      <c r="B139" s="41"/>
      <c r="C139" s="41"/>
      <c r="D139" s="41"/>
      <c r="E139" s="41"/>
      <c r="F139" s="50"/>
      <c r="G139" s="50"/>
      <c r="H139" s="50"/>
      <c r="I139" s="50"/>
    </row>
    <row r="140" spans="1:9" ht="18">
      <c r="A140" s="92" t="str">
        <f>HLOOKUP(INDICE!$F$2,Nombres!$C$3:$D$636,51,FALSE)</f>
        <v>Balances</v>
      </c>
      <c r="B140" s="34"/>
      <c r="C140" s="34"/>
      <c r="D140" s="34"/>
      <c r="E140" s="34"/>
      <c r="F140" s="68"/>
      <c r="G140" s="68"/>
      <c r="H140" s="68"/>
      <c r="I140" s="68"/>
    </row>
    <row r="141" spans="1:9" ht="15">
      <c r="A141" s="83" t="str">
        <f>HLOOKUP(INDICE!$F$2,Nombres!$C$3:$D$636,79,FALSE)</f>
        <v>(Millones de soles peruanos)</v>
      </c>
      <c r="B141" s="30"/>
      <c r="C141" s="52"/>
      <c r="D141" s="52"/>
      <c r="E141" s="52"/>
      <c r="F141" s="69"/>
      <c r="G141" s="44"/>
      <c r="H141" s="44"/>
      <c r="I141" s="44"/>
    </row>
    <row r="142" spans="1:9" ht="15.75">
      <c r="A142" s="30"/>
      <c r="B142" s="53">
        <f aca="true" t="shared" si="24" ref="B142:G142">+B$30</f>
        <v>44651</v>
      </c>
      <c r="C142" s="53">
        <f t="shared" si="24"/>
        <v>44742</v>
      </c>
      <c r="D142" s="53">
        <f t="shared" si="24"/>
        <v>44834</v>
      </c>
      <c r="E142" s="67">
        <f t="shared" si="24"/>
        <v>44926</v>
      </c>
      <c r="F142" s="53">
        <f t="shared" si="24"/>
        <v>45016</v>
      </c>
      <c r="G142" s="53">
        <f t="shared" si="24"/>
        <v>45107</v>
      </c>
      <c r="H142" s="53">
        <f>+H$30</f>
        <v>45199</v>
      </c>
      <c r="I142" s="53">
        <f>+I$30</f>
        <v>45291</v>
      </c>
    </row>
    <row r="143" spans="1:9" ht="15">
      <c r="A143" s="87" t="str">
        <f>HLOOKUP(INDICE!$F$2,Nombres!$C$3:$D$636,52,FALSE)</f>
        <v>Efectivo, saldos en efectivo en bancos centrales y otros depósitos a la vista</v>
      </c>
      <c r="B143" s="44">
        <v>14291.78627312295</v>
      </c>
      <c r="C143" s="44">
        <v>14633.837934224506</v>
      </c>
      <c r="D143" s="44">
        <v>16964.798603822444</v>
      </c>
      <c r="E143" s="45">
        <v>11816.253031875938</v>
      </c>
      <c r="F143" s="44">
        <v>13525.58283866585</v>
      </c>
      <c r="G143" s="44">
        <v>14147.703502618155</v>
      </c>
      <c r="H143" s="44">
        <v>0</v>
      </c>
      <c r="I143" s="44">
        <v>0</v>
      </c>
    </row>
    <row r="144" spans="1:9" ht="15">
      <c r="A144" s="87" t="str">
        <f>HLOOKUP(INDICE!$F$2,Nombres!$C$3:$D$636,53,FALSE)</f>
        <v>Activos financieros a valor razonable</v>
      </c>
      <c r="B144" s="58">
        <v>11999.96836034076</v>
      </c>
      <c r="C144" s="58">
        <v>11721.81398756359</v>
      </c>
      <c r="D144" s="58">
        <v>12943.567165017079</v>
      </c>
      <c r="E144" s="64">
        <v>12926.330124835556</v>
      </c>
      <c r="F144" s="44">
        <v>13119.201415086274</v>
      </c>
      <c r="G144" s="44">
        <v>11953.799756329943</v>
      </c>
      <c r="H144" s="44">
        <v>0</v>
      </c>
      <c r="I144" s="44">
        <v>0</v>
      </c>
    </row>
    <row r="145" spans="1:9" ht="15">
      <c r="A145" s="43" t="str">
        <f>HLOOKUP(INDICE!$F$2,Nombres!$C$3:$D$636,54,FALSE)</f>
        <v>Activos financieros a coste amortizado</v>
      </c>
      <c r="B145" s="44">
        <v>71119.05042786886</v>
      </c>
      <c r="C145" s="44">
        <v>70802.22126676503</v>
      </c>
      <c r="D145" s="44">
        <v>73637.07140415112</v>
      </c>
      <c r="E145" s="45">
        <v>70204.84994949587</v>
      </c>
      <c r="F145" s="44">
        <v>72105.07954668856</v>
      </c>
      <c r="G145" s="44">
        <v>70421.73492217716</v>
      </c>
      <c r="H145" s="44">
        <v>0</v>
      </c>
      <c r="I145" s="44">
        <v>0</v>
      </c>
    </row>
    <row r="146" spans="1:9" ht="15">
      <c r="A146" s="87" t="str">
        <f>HLOOKUP(INDICE!$F$2,Nombres!$C$3:$D$636,55,FALSE)</f>
        <v>    de los que préstamos y anticipos a la clientela</v>
      </c>
      <c r="B146" s="44">
        <v>69796.53525729133</v>
      </c>
      <c r="C146" s="44">
        <v>69370.40071475857</v>
      </c>
      <c r="D146" s="44">
        <v>69923.2576777794</v>
      </c>
      <c r="E146" s="45">
        <v>68967.85021761629</v>
      </c>
      <c r="F146" s="44">
        <v>69940.83822740681</v>
      </c>
      <c r="G146" s="44">
        <v>69056.72532993354</v>
      </c>
      <c r="H146" s="44">
        <v>0</v>
      </c>
      <c r="I146" s="44">
        <v>0</v>
      </c>
    </row>
    <row r="147" spans="1:9" ht="15" customHeight="1" hidden="1">
      <c r="A147" s="87"/>
      <c r="B147" s="44"/>
      <c r="C147" s="44"/>
      <c r="D147" s="44"/>
      <c r="E147" s="45"/>
      <c r="F147" s="44"/>
      <c r="G147" s="44"/>
      <c r="H147" s="44"/>
      <c r="I147" s="44"/>
    </row>
    <row r="148" spans="1:9" ht="15">
      <c r="A148" s="43" t="str">
        <f>HLOOKUP(INDICE!$F$2,Nombres!$C$3:$D$636,56,FALSE)</f>
        <v>Activos tangibles</v>
      </c>
      <c r="B148" s="44">
        <v>1189.0725917065797</v>
      </c>
      <c r="C148" s="44">
        <v>1172.5059393587585</v>
      </c>
      <c r="D148" s="44">
        <v>1219.696968092594</v>
      </c>
      <c r="E148" s="45">
        <v>1258.8844844395674</v>
      </c>
      <c r="F148" s="44">
        <v>1255.1052739706868</v>
      </c>
      <c r="G148" s="44">
        <v>1263.8875551874257</v>
      </c>
      <c r="H148" s="44">
        <v>0</v>
      </c>
      <c r="I148" s="44">
        <v>0</v>
      </c>
    </row>
    <row r="149" spans="1:9" ht="15">
      <c r="A149" s="87" t="str">
        <f>HLOOKUP(INDICE!$F$2,Nombres!$C$3:$D$636,57,FALSE)</f>
        <v>Otros activos</v>
      </c>
      <c r="B149" s="58">
        <f aca="true" t="shared" si="25" ref="B149:G149">+B150-B148-B145-B144-B143</f>
        <v>1824.864578954488</v>
      </c>
      <c r="C149" s="58">
        <f t="shared" si="25"/>
        <v>1846.9719030037995</v>
      </c>
      <c r="D149" s="58">
        <f t="shared" si="25"/>
        <v>1817.5119382774392</v>
      </c>
      <c r="E149" s="64">
        <f t="shared" si="25"/>
        <v>2060.022021788114</v>
      </c>
      <c r="F149" s="44">
        <f t="shared" si="25"/>
        <v>2206.3781829958134</v>
      </c>
      <c r="G149" s="44">
        <f t="shared" si="25"/>
        <v>2190.036014625439</v>
      </c>
      <c r="H149" s="44">
        <f>+H150-H148-H145-H144-H143</f>
        <v>0</v>
      </c>
      <c r="I149" s="44">
        <f>+I150-I148-I145-I144-I143</f>
        <v>0</v>
      </c>
    </row>
    <row r="150" spans="1:9" ht="15">
      <c r="A150" s="90" t="str">
        <f>HLOOKUP(INDICE!$F$2,Nombres!$C$3:$D$636,58,FALSE)</f>
        <v>Total activo / pasivo</v>
      </c>
      <c r="B150" s="47">
        <v>100424.74223199364</v>
      </c>
      <c r="C150" s="47">
        <v>100177.35103091568</v>
      </c>
      <c r="D150" s="47">
        <v>106582.64607936068</v>
      </c>
      <c r="E150" s="47">
        <v>98266.33961243504</v>
      </c>
      <c r="F150" s="51">
        <v>102211.3472574072</v>
      </c>
      <c r="G150" s="51">
        <v>99977.16175093812</v>
      </c>
      <c r="H150" s="51">
        <v>0</v>
      </c>
      <c r="I150" s="51">
        <v>0</v>
      </c>
    </row>
    <row r="151" spans="1:9" ht="15">
      <c r="A151" s="87" t="str">
        <f>HLOOKUP(INDICE!$F$2,Nombres!$C$3:$D$636,59,FALSE)</f>
        <v>Pasivos financieros mantenidos para negociar y designados a valor razonable con cambios en resultados</v>
      </c>
      <c r="B151" s="58">
        <v>1734.5022985913872</v>
      </c>
      <c r="C151" s="58">
        <v>1609.646825974296</v>
      </c>
      <c r="D151" s="58">
        <v>1779.8057005199482</v>
      </c>
      <c r="E151" s="64">
        <v>1529.0398670794743</v>
      </c>
      <c r="F151" s="44">
        <v>1498.3778614624325</v>
      </c>
      <c r="G151" s="44">
        <v>1434.0896870717525</v>
      </c>
      <c r="H151" s="44">
        <v>0</v>
      </c>
      <c r="I151" s="44">
        <v>0</v>
      </c>
    </row>
    <row r="152" spans="1:9" ht="15">
      <c r="A152" s="87" t="str">
        <f>HLOOKUP(INDICE!$F$2,Nombres!$C$3:$D$636,60,FALSE)</f>
        <v>Depósitos de bancos centrales y entidades de crédito</v>
      </c>
      <c r="B152" s="58">
        <v>17165.861260471935</v>
      </c>
      <c r="C152" s="58">
        <v>15730.847959327344</v>
      </c>
      <c r="D152" s="58">
        <v>15039.862668994665</v>
      </c>
      <c r="E152" s="64">
        <v>12567.28061379568</v>
      </c>
      <c r="F152" s="44">
        <v>12448.065694622976</v>
      </c>
      <c r="G152" s="44">
        <v>12950.665872644859</v>
      </c>
      <c r="H152" s="44">
        <v>0</v>
      </c>
      <c r="I152" s="44">
        <v>0</v>
      </c>
    </row>
    <row r="153" spans="1:9" ht="15">
      <c r="A153" s="87" t="str">
        <f>HLOOKUP(INDICE!$F$2,Nombres!$C$3:$D$636,61,FALSE)</f>
        <v>Depósitos de la clientela</v>
      </c>
      <c r="B153" s="58">
        <v>61637.90186488822</v>
      </c>
      <c r="C153" s="58">
        <v>63377.109017812894</v>
      </c>
      <c r="D153" s="58">
        <v>70438.6793952908</v>
      </c>
      <c r="E153" s="64">
        <v>65810.93205981737</v>
      </c>
      <c r="F153" s="44">
        <v>67209.6425699777</v>
      </c>
      <c r="G153" s="44">
        <v>66383.74884067941</v>
      </c>
      <c r="H153" s="44">
        <v>0</v>
      </c>
      <c r="I153" s="44">
        <v>0</v>
      </c>
    </row>
    <row r="154" spans="1:9" ht="15">
      <c r="A154" s="43" t="str">
        <f>HLOOKUP(INDICE!$F$2,Nombres!$C$3:$D$636,62,FALSE)</f>
        <v>Valores representativos de deuda emitidos</v>
      </c>
      <c r="B154" s="44">
        <v>5649.994743359681</v>
      </c>
      <c r="C154" s="44">
        <v>6506.462407960147</v>
      </c>
      <c r="D154" s="44">
        <v>4292.690129281878</v>
      </c>
      <c r="E154" s="45">
        <v>3843.6948266630834</v>
      </c>
      <c r="F154" s="44">
        <v>3835.4839009174234</v>
      </c>
      <c r="G154" s="44">
        <v>4033.786274624279</v>
      </c>
      <c r="H154" s="44">
        <v>0</v>
      </c>
      <c r="I154" s="44">
        <v>0</v>
      </c>
    </row>
    <row r="155" spans="1:9" ht="15" customHeight="1" hidden="1">
      <c r="A155" s="43"/>
      <c r="B155" s="44"/>
      <c r="C155" s="44"/>
      <c r="D155" s="44"/>
      <c r="E155" s="45"/>
      <c r="F155" s="44"/>
      <c r="G155" s="44"/>
      <c r="H155" s="44"/>
      <c r="I155" s="44"/>
    </row>
    <row r="156" spans="1:9" ht="15.75" customHeight="1">
      <c r="A156" s="87" t="str">
        <f>HLOOKUP(INDICE!$F$2,Nombres!$C$3:$D$636,63,FALSE)</f>
        <v>Otros pasivos</v>
      </c>
      <c r="B156" s="58">
        <f aca="true" t="shared" si="26" ref="B156:G156">+B150-B151-B152-B153-B154-B157</f>
        <v>4544.345050135451</v>
      </c>
      <c r="C156" s="58">
        <f t="shared" si="26"/>
        <v>3242.6946405864055</v>
      </c>
      <c r="D156" s="58">
        <f t="shared" si="26"/>
        <v>5038.374788669496</v>
      </c>
      <c r="E156" s="64">
        <f t="shared" si="26"/>
        <v>4661.236804307466</v>
      </c>
      <c r="F156" s="44">
        <f t="shared" si="26"/>
        <v>7852.393986689482</v>
      </c>
      <c r="G156" s="44">
        <f t="shared" si="26"/>
        <v>5609.857005992431</v>
      </c>
      <c r="H156" s="44">
        <f>+H150-H151-H152-H153-H154-H157</f>
        <v>0</v>
      </c>
      <c r="I156" s="44">
        <f>+I150-I151-I152-I153-I154-I157</f>
        <v>0</v>
      </c>
    </row>
    <row r="157" spans="1:9" ht="15.75" customHeight="1">
      <c r="A157" s="43" t="str">
        <f>HLOOKUP(INDICE!$F$2,Nombres!$C$3:$D$636,282,FALSE)</f>
        <v>Dotación de capital regulatorio</v>
      </c>
      <c r="B157" s="58">
        <v>9692.137014546974</v>
      </c>
      <c r="C157" s="58">
        <v>9710.590179254588</v>
      </c>
      <c r="D157" s="58">
        <v>9993.233396603882</v>
      </c>
      <c r="E157" s="64">
        <v>9854.15544077198</v>
      </c>
      <c r="F157" s="44">
        <v>9367.38324373718</v>
      </c>
      <c r="G157" s="44">
        <v>9565.014069925372</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Indicadores relevantes y de gestión</v>
      </c>
      <c r="B160" s="34"/>
      <c r="C160" s="34"/>
      <c r="D160" s="34"/>
      <c r="E160" s="34"/>
      <c r="F160" s="68"/>
      <c r="G160" s="68"/>
      <c r="H160" s="68"/>
      <c r="I160" s="68"/>
    </row>
    <row r="161" spans="1:9" ht="15">
      <c r="A161" s="83" t="str">
        <f>HLOOKUP(INDICE!$F$2,Nombres!$C$3:$D$636,79,FALSE)</f>
        <v>(Millones de soles peruanos)</v>
      </c>
      <c r="B161" s="30"/>
      <c r="C161" s="30"/>
      <c r="D161" s="30"/>
      <c r="E161" s="30"/>
      <c r="F161" s="69"/>
      <c r="G161" s="44"/>
      <c r="H161" s="44"/>
      <c r="I161" s="44"/>
    </row>
    <row r="162" spans="1:9" ht="15.75">
      <c r="A162" s="30"/>
      <c r="B162" s="53">
        <f aca="true" t="shared" si="27" ref="B162:G162">+B$30</f>
        <v>44651</v>
      </c>
      <c r="C162" s="53">
        <f t="shared" si="27"/>
        <v>44742</v>
      </c>
      <c r="D162" s="53">
        <f t="shared" si="27"/>
        <v>44834</v>
      </c>
      <c r="E162" s="67">
        <f t="shared" si="27"/>
        <v>44926</v>
      </c>
      <c r="F162" s="53">
        <f t="shared" si="27"/>
        <v>45016</v>
      </c>
      <c r="G162" s="53">
        <f t="shared" si="27"/>
        <v>45107</v>
      </c>
      <c r="H162" s="53">
        <f>+H$30</f>
        <v>45199</v>
      </c>
      <c r="I162" s="53">
        <f>+I$30</f>
        <v>45291</v>
      </c>
    </row>
    <row r="163" spans="1:9" ht="15">
      <c r="A163" s="87" t="str">
        <f>HLOOKUP(INDICE!$F$2,Nombres!$C$3:$D$636,66,FALSE)</f>
        <v>Préstamos y anticipos a la clientela bruto (*)</v>
      </c>
      <c r="B163" s="44">
        <v>73285.82744262011</v>
      </c>
      <c r="C163" s="44">
        <v>73002.73212901871</v>
      </c>
      <c r="D163" s="44">
        <v>73573.0868440792</v>
      </c>
      <c r="E163" s="45">
        <v>72542.09608181506</v>
      </c>
      <c r="F163" s="44">
        <v>73586.454463379</v>
      </c>
      <c r="G163" s="44">
        <v>72491.34020443114</v>
      </c>
      <c r="H163" s="44">
        <v>0</v>
      </c>
      <c r="I163" s="44">
        <v>0</v>
      </c>
    </row>
    <row r="164" spans="1:9" ht="15">
      <c r="A164" s="87" t="str">
        <f>HLOOKUP(INDICE!$F$2,Nombres!$C$3:$D$636,67,FALSE)</f>
        <v>Depósitos de clientes en gestión (**)</v>
      </c>
      <c r="B164" s="44">
        <v>61637.90186488821</v>
      </c>
      <c r="C164" s="44">
        <v>63377.1090178129</v>
      </c>
      <c r="D164" s="44">
        <v>70438.67939529082</v>
      </c>
      <c r="E164" s="45">
        <v>65810.93205981738</v>
      </c>
      <c r="F164" s="44">
        <v>67209.64256997769</v>
      </c>
      <c r="G164" s="44">
        <v>66383.74884067941</v>
      </c>
      <c r="H164" s="44">
        <v>0</v>
      </c>
      <c r="I164" s="44">
        <v>0</v>
      </c>
    </row>
    <row r="165" spans="1:9" ht="15">
      <c r="A165" s="43" t="str">
        <f>HLOOKUP(INDICE!$F$2,Nombres!$C$3:$D$636,68,FALSE)</f>
        <v>Fondos de inversión y carteras gestionadas</v>
      </c>
      <c r="B165" s="44">
        <v>6336.757259075768</v>
      </c>
      <c r="C165" s="44">
        <v>5672.051273291387</v>
      </c>
      <c r="D165" s="44">
        <v>5869.31346775052</v>
      </c>
      <c r="E165" s="45">
        <v>5893.793835423048</v>
      </c>
      <c r="F165" s="44">
        <v>5919.590767073701</v>
      </c>
      <c r="G165" s="44">
        <v>5784.543017057293</v>
      </c>
      <c r="H165" s="44">
        <v>0</v>
      </c>
      <c r="I165" s="44">
        <v>0</v>
      </c>
    </row>
    <row r="166" spans="1:9" ht="15">
      <c r="A166" s="87" t="str">
        <f>HLOOKUP(INDICE!$F$2,Nombres!$C$3:$D$636,69,FALSE)</f>
        <v>Fondos de pensiones</v>
      </c>
      <c r="B166" s="44">
        <v>0</v>
      </c>
      <c r="C166" s="44">
        <v>0</v>
      </c>
      <c r="D166" s="44">
        <v>0</v>
      </c>
      <c r="E166" s="45">
        <v>0</v>
      </c>
      <c r="F166" s="44">
        <v>0</v>
      </c>
      <c r="G166" s="44">
        <v>0</v>
      </c>
      <c r="H166" s="44">
        <v>0</v>
      </c>
      <c r="I166" s="44">
        <v>0</v>
      </c>
    </row>
    <row r="167" spans="1:15" ht="15">
      <c r="A167" s="87"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91" t="str">
        <f>HLOOKUP(INDICE!$F$2,Nombres!$C$3:$D$636,71,FALSE)</f>
        <v>(*) No incluye las adquisiciones temporales de activos.</v>
      </c>
      <c r="B168" s="58"/>
      <c r="C168" s="58"/>
      <c r="D168" s="58"/>
      <c r="E168" s="58"/>
      <c r="F168" s="44"/>
      <c r="G168" s="44"/>
      <c r="H168" s="44"/>
      <c r="I168" s="44"/>
      <c r="N168" s="73"/>
      <c r="O168" s="73"/>
    </row>
    <row r="169" spans="1:15" ht="15">
      <c r="A169" s="91"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H26:I26">
    <cfRule type="cellIs" priority="6" dxfId="196" operator="notBetween">
      <formula>0.5</formula>
      <formula>-0.5</formula>
    </cfRule>
  </conditionalFormatting>
  <conditionalFormatting sqref="H82:I82">
    <cfRule type="cellIs" priority="5" dxfId="196" operator="notBetween">
      <formula>0.5</formula>
      <formula>-0.5</formula>
    </cfRule>
  </conditionalFormatting>
  <conditionalFormatting sqref="H138:I138">
    <cfRule type="cellIs" priority="4" dxfId="196" operator="notBetween">
      <formula>0.5</formula>
      <formula>-0.5</formula>
    </cfRule>
  </conditionalFormatting>
  <conditionalFormatting sqref="B26:G26">
    <cfRule type="cellIs" priority="3" dxfId="196" operator="notBetween">
      <formula>0.5</formula>
      <formula>-0.5</formula>
    </cfRule>
  </conditionalFormatting>
  <conditionalFormatting sqref="B82:G82">
    <cfRule type="cellIs" priority="2" dxfId="196" operator="notBetween">
      <formula>0.5</formula>
      <formula>-0.5</formula>
    </cfRule>
  </conditionalFormatting>
  <conditionalFormatting sqref="B138:G138">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53.28125" style="31" customWidth="1"/>
    <col min="2" max="7" width="11.421875" style="31" customWidth="1"/>
    <col min="8" max="9" width="0" style="31" hidden="1" customWidth="1"/>
    <col min="10" max="16384" width="11.421875" style="31" customWidth="1"/>
  </cols>
  <sheetData>
    <row r="1" spans="1:9" ht="18">
      <c r="A1" s="82"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4" ht="15">
      <c r="A8" s="41" t="str">
        <f>HLOOKUP(INDICE!$F$2,Nombres!$C$3:$D$636,33,FALSE)</f>
        <v>Margen de intereses</v>
      </c>
      <c r="B8" s="41">
        <v>75.46230687</v>
      </c>
      <c r="C8" s="41">
        <v>79.58295258</v>
      </c>
      <c r="D8" s="41">
        <v>88.08364433</v>
      </c>
      <c r="E8" s="42">
        <v>88.86750015000001</v>
      </c>
      <c r="F8" s="50">
        <v>113.4408263</v>
      </c>
      <c r="G8" s="237">
        <v>146.27007221000005</v>
      </c>
      <c r="H8" s="237">
        <v>0</v>
      </c>
      <c r="I8" s="237">
        <v>0</v>
      </c>
      <c r="J8" s="86"/>
      <c r="K8" s="86"/>
      <c r="L8" s="86"/>
      <c r="M8" s="86"/>
      <c r="N8" s="86"/>
    </row>
    <row r="9" spans="1:9" ht="15">
      <c r="A9" s="87" t="str">
        <f>HLOOKUP(INDICE!$F$2,Nombres!$C$3:$D$636,34,FALSE)</f>
        <v>Comisiones netas</v>
      </c>
      <c r="B9" s="44">
        <v>56.093056250000004</v>
      </c>
      <c r="C9" s="44">
        <v>65.45785438</v>
      </c>
      <c r="D9" s="44">
        <v>64.02634195</v>
      </c>
      <c r="E9" s="45">
        <v>57.09226649</v>
      </c>
      <c r="F9" s="44">
        <v>68.59665174</v>
      </c>
      <c r="G9" s="44">
        <v>63.71958588</v>
      </c>
      <c r="H9" s="44">
        <v>0</v>
      </c>
      <c r="I9" s="44">
        <v>0</v>
      </c>
    </row>
    <row r="10" spans="1:9" ht="15">
      <c r="A10" s="87" t="str">
        <f>HLOOKUP(INDICE!$F$2,Nombres!$C$3:$D$636,35,FALSE)</f>
        <v>Resultados de operaciones financieras</v>
      </c>
      <c r="B10" s="44">
        <v>68.10386856</v>
      </c>
      <c r="C10" s="44">
        <v>35.36542218999999</v>
      </c>
      <c r="D10" s="44">
        <v>47.0346505</v>
      </c>
      <c r="E10" s="45">
        <v>57.76341672</v>
      </c>
      <c r="F10" s="44">
        <v>76.90762292</v>
      </c>
      <c r="G10" s="44">
        <v>96.2232014</v>
      </c>
      <c r="H10" s="44">
        <v>0</v>
      </c>
      <c r="I10" s="44">
        <v>0</v>
      </c>
    </row>
    <row r="11" spans="1:9" ht="15">
      <c r="A11" s="87" t="str">
        <f>HLOOKUP(INDICE!$F$2,Nombres!$C$3:$D$636,36,FALSE)</f>
        <v>Otros ingresos y cargas de explotación</v>
      </c>
      <c r="B11" s="44">
        <v>2.55566142</v>
      </c>
      <c r="C11" s="44">
        <v>1.1864515800000002</v>
      </c>
      <c r="D11" s="44">
        <v>1.2229506200000009</v>
      </c>
      <c r="E11" s="45">
        <v>1.6406525399999994</v>
      </c>
      <c r="F11" s="44">
        <v>0.8750368000000002</v>
      </c>
      <c r="G11" s="44">
        <v>-0.5343131400000005</v>
      </c>
      <c r="H11" s="44">
        <v>0</v>
      </c>
      <c r="I11" s="44">
        <v>0</v>
      </c>
    </row>
    <row r="12" spans="1:9" ht="15">
      <c r="A12" s="41" t="str">
        <f>HLOOKUP(INDICE!$F$2,Nombres!$C$3:$D$636,37,FALSE)</f>
        <v>Margen bruto</v>
      </c>
      <c r="B12" s="41">
        <f aca="true" t="shared" si="0" ref="B12:G12">+SUM(B8:B11)</f>
        <v>202.2148931</v>
      </c>
      <c r="C12" s="41">
        <f t="shared" si="0"/>
        <v>181.59268073</v>
      </c>
      <c r="D12" s="41">
        <f t="shared" si="0"/>
        <v>200.3675874</v>
      </c>
      <c r="E12" s="42">
        <f t="shared" si="0"/>
        <v>205.3638359</v>
      </c>
      <c r="F12" s="50">
        <f t="shared" si="0"/>
        <v>259.82013775999997</v>
      </c>
      <c r="G12" s="50">
        <f t="shared" si="0"/>
        <v>305.67854635000003</v>
      </c>
      <c r="H12" s="50">
        <f>+SUM(H8:H11)</f>
        <v>0</v>
      </c>
      <c r="I12" s="50">
        <f>+SUM(I8:I11)</f>
        <v>0</v>
      </c>
    </row>
    <row r="13" spans="1:9" ht="15">
      <c r="A13" s="87" t="str">
        <f>HLOOKUP(INDICE!$F$2,Nombres!$C$3:$D$636,38,FALSE)</f>
        <v>Gastos de explotación</v>
      </c>
      <c r="B13" s="44">
        <v>-114.80448189</v>
      </c>
      <c r="C13" s="44">
        <v>-118.83271633999999</v>
      </c>
      <c r="D13" s="44">
        <v>-133.60820512</v>
      </c>
      <c r="E13" s="45">
        <v>-146.22540250000003</v>
      </c>
      <c r="F13" s="44">
        <v>-137.88793054</v>
      </c>
      <c r="G13" s="44">
        <v>-139.23686811000002</v>
      </c>
      <c r="H13" s="44">
        <v>0</v>
      </c>
      <c r="I13" s="44">
        <v>0</v>
      </c>
    </row>
    <row r="14" spans="1:9" ht="15">
      <c r="A14" s="87" t="str">
        <f>HLOOKUP(INDICE!$F$2,Nombres!$C$3:$D$636,39,FALSE)</f>
        <v>  Gastos de administración</v>
      </c>
      <c r="B14" s="44">
        <v>-109.53336089999999</v>
      </c>
      <c r="C14" s="44">
        <v>-113.24101933</v>
      </c>
      <c r="D14" s="44">
        <v>-127.18100712</v>
      </c>
      <c r="E14" s="45">
        <v>-140.7551885</v>
      </c>
      <c r="F14" s="44">
        <v>-131.95176544</v>
      </c>
      <c r="G14" s="44">
        <v>-133.07292911</v>
      </c>
      <c r="H14" s="44">
        <v>0</v>
      </c>
      <c r="I14" s="44">
        <v>0</v>
      </c>
    </row>
    <row r="15" spans="1:9" ht="15">
      <c r="A15" s="88" t="str">
        <f>HLOOKUP(INDICE!$F$2,Nombres!$C$3:$D$636,40,FALSE)</f>
        <v>  Gastos de personal</v>
      </c>
      <c r="B15" s="44">
        <v>-61.2703584</v>
      </c>
      <c r="C15" s="44">
        <v>-59.588169300000004</v>
      </c>
      <c r="D15" s="44">
        <v>-71.74279032</v>
      </c>
      <c r="E15" s="45">
        <v>-74.03581346</v>
      </c>
      <c r="F15" s="44">
        <v>-69.73872700000001</v>
      </c>
      <c r="G15" s="44">
        <v>-64.55413551</v>
      </c>
      <c r="H15" s="44">
        <v>0</v>
      </c>
      <c r="I15" s="44">
        <v>0</v>
      </c>
    </row>
    <row r="16" spans="1:9" ht="15">
      <c r="A16" s="88" t="str">
        <f>HLOOKUP(INDICE!$F$2,Nombres!$C$3:$D$636,41,FALSE)</f>
        <v>  Otros gastos de administración</v>
      </c>
      <c r="B16" s="44">
        <v>-48.2630025</v>
      </c>
      <c r="C16" s="44">
        <v>-53.652850029999996</v>
      </c>
      <c r="D16" s="44">
        <v>-55.43821679999999</v>
      </c>
      <c r="E16" s="45">
        <v>-66.71937504000002</v>
      </c>
      <c r="F16" s="44">
        <v>-62.21303844</v>
      </c>
      <c r="G16" s="44">
        <v>-68.5187936</v>
      </c>
      <c r="H16" s="44">
        <v>0</v>
      </c>
      <c r="I16" s="44">
        <v>0</v>
      </c>
    </row>
    <row r="17" spans="1:9" ht="15">
      <c r="A17" s="87" t="str">
        <f>HLOOKUP(INDICE!$F$2,Nombres!$C$3:$D$636,42,FALSE)</f>
        <v>  Amortización</v>
      </c>
      <c r="B17" s="44">
        <v>-5.27112099</v>
      </c>
      <c r="C17" s="44">
        <v>-5.591697010000001</v>
      </c>
      <c r="D17" s="44">
        <v>-6.427198</v>
      </c>
      <c r="E17" s="45">
        <v>-5.470214</v>
      </c>
      <c r="F17" s="44">
        <v>-5.9361651</v>
      </c>
      <c r="G17" s="44">
        <v>-6.163939000000001</v>
      </c>
      <c r="H17" s="44">
        <v>0</v>
      </c>
      <c r="I17" s="44">
        <v>0</v>
      </c>
    </row>
    <row r="18" spans="1:9" ht="15">
      <c r="A18" s="41" t="str">
        <f>HLOOKUP(INDICE!$F$2,Nombres!$C$3:$D$636,43,FALSE)</f>
        <v>Margen neto</v>
      </c>
      <c r="B18" s="41">
        <f aca="true" t="shared" si="1" ref="B18:G18">+B12+B13</f>
        <v>87.41041121</v>
      </c>
      <c r="C18" s="41">
        <f t="shared" si="1"/>
        <v>62.75996439000002</v>
      </c>
      <c r="D18" s="41">
        <f t="shared" si="1"/>
        <v>66.75938227999998</v>
      </c>
      <c r="E18" s="42">
        <f t="shared" si="1"/>
        <v>59.13843339999997</v>
      </c>
      <c r="F18" s="50">
        <f t="shared" si="1"/>
        <v>121.93220721999995</v>
      </c>
      <c r="G18" s="50">
        <f t="shared" si="1"/>
        <v>166.44167824000002</v>
      </c>
      <c r="H18" s="50">
        <f>+H12+H13</f>
        <v>0</v>
      </c>
      <c r="I18" s="50">
        <f>+I12+I13</f>
        <v>0</v>
      </c>
    </row>
    <row r="19" spans="1:9" ht="15">
      <c r="A19" s="87" t="str">
        <f>HLOOKUP(INDICE!$F$2,Nombres!$C$3:$D$636,44,FALSE)</f>
        <v>Deterioro de activos financieros no valorados a valor razonable con cambios en resultados</v>
      </c>
      <c r="B19" s="44">
        <v>7.381874779999999</v>
      </c>
      <c r="C19" s="44">
        <v>-7.522930580000001</v>
      </c>
      <c r="D19" s="44">
        <v>-3.6630166199999987</v>
      </c>
      <c r="E19" s="45">
        <v>-9.524007400000002</v>
      </c>
      <c r="F19" s="44">
        <v>-18.47068316</v>
      </c>
      <c r="G19" s="44">
        <v>-4.571854229999998</v>
      </c>
      <c r="H19" s="44">
        <v>0</v>
      </c>
      <c r="I19" s="44">
        <v>0</v>
      </c>
    </row>
    <row r="20" spans="1:9" ht="15">
      <c r="A20" s="87" t="str">
        <f>HLOOKUP(INDICE!$F$2,Nombres!$C$3:$D$636,45,FALSE)</f>
        <v>Provisiones o reversión de provisiones y otros resultados</v>
      </c>
      <c r="B20" s="44">
        <v>9.783666000000004</v>
      </c>
      <c r="C20" s="44">
        <v>2.5324270000000015</v>
      </c>
      <c r="D20" s="44">
        <v>3.1083999999999983</v>
      </c>
      <c r="E20" s="45">
        <v>-1.2586537599999987</v>
      </c>
      <c r="F20" s="44">
        <v>7.387534990000002</v>
      </c>
      <c r="G20" s="44">
        <v>-0.962882</v>
      </c>
      <c r="H20" s="44">
        <v>0</v>
      </c>
      <c r="I20" s="44">
        <v>0</v>
      </c>
    </row>
    <row r="21" spans="1:9" ht="15">
      <c r="A21" s="89" t="str">
        <f>HLOOKUP(INDICE!$F$2,Nombres!$C$3:$D$636,46,FALSE)</f>
        <v>Resultado antes de impuestos</v>
      </c>
      <c r="B21" s="41">
        <f aca="true" t="shared" si="2" ref="B21:G21">+B18+B19+B20</f>
        <v>104.57595199000002</v>
      </c>
      <c r="C21" s="41">
        <f t="shared" si="2"/>
        <v>57.76946081000002</v>
      </c>
      <c r="D21" s="41">
        <f t="shared" si="2"/>
        <v>66.20476565999998</v>
      </c>
      <c r="E21" s="42">
        <f t="shared" si="2"/>
        <v>48.355772239999965</v>
      </c>
      <c r="F21" s="50">
        <f t="shared" si="2"/>
        <v>110.84905904999997</v>
      </c>
      <c r="G21" s="50">
        <f t="shared" si="2"/>
        <v>160.90694201000002</v>
      </c>
      <c r="H21" s="50">
        <f>+H18+H19+H20</f>
        <v>0</v>
      </c>
      <c r="I21" s="50">
        <f>+I18+I19+I20</f>
        <v>0</v>
      </c>
    </row>
    <row r="22" spans="1:9" ht="15">
      <c r="A22" s="43" t="str">
        <f>HLOOKUP(INDICE!$F$2,Nombres!$C$3:$D$636,47,FALSE)</f>
        <v>Impuesto sobre beneficios</v>
      </c>
      <c r="B22" s="44">
        <v>-23.111153390000005</v>
      </c>
      <c r="C22" s="44">
        <v>-11.20893343</v>
      </c>
      <c r="D22" s="44">
        <v>-11.964383910000002</v>
      </c>
      <c r="E22" s="45">
        <v>8.913919939999996</v>
      </c>
      <c r="F22" s="44">
        <v>-19.25269747</v>
      </c>
      <c r="G22" s="44">
        <v>-40.00369817</v>
      </c>
      <c r="H22" s="44">
        <v>0</v>
      </c>
      <c r="I22" s="44">
        <v>0</v>
      </c>
    </row>
    <row r="23" spans="1:9" ht="15">
      <c r="A23" s="89" t="str">
        <f>HLOOKUP(INDICE!$F$2,Nombres!$C$3:$D$636,48,FALSE)</f>
        <v>Resultado del ejercicio</v>
      </c>
      <c r="B23" s="41">
        <f aca="true" t="shared" si="3" ref="B23:G23">+B21+B22</f>
        <v>81.46479860000002</v>
      </c>
      <c r="C23" s="41">
        <f t="shared" si="3"/>
        <v>46.56052738000002</v>
      </c>
      <c r="D23" s="41">
        <f t="shared" si="3"/>
        <v>54.240381749999976</v>
      </c>
      <c r="E23" s="42">
        <f t="shared" si="3"/>
        <v>57.269692179999964</v>
      </c>
      <c r="F23" s="50">
        <f t="shared" si="3"/>
        <v>91.59636157999996</v>
      </c>
      <c r="G23" s="50">
        <f t="shared" si="3"/>
        <v>120.90324384000002</v>
      </c>
      <c r="H23" s="50">
        <f>+H21+H22</f>
        <v>0</v>
      </c>
      <c r="I23" s="50">
        <f>+I21+I22</f>
        <v>0</v>
      </c>
    </row>
    <row r="24" spans="1:9" ht="15">
      <c r="A24" s="87" t="str">
        <f>HLOOKUP(INDICE!$F$2,Nombres!$C$3:$D$636,49,FALSE)</f>
        <v>Minoritarios</v>
      </c>
      <c r="B24" s="44">
        <v>0</v>
      </c>
      <c r="C24" s="44">
        <v>0</v>
      </c>
      <c r="D24" s="44">
        <v>0</v>
      </c>
      <c r="E24" s="45">
        <v>0</v>
      </c>
      <c r="F24" s="44">
        <v>0</v>
      </c>
      <c r="G24" s="44">
        <v>0</v>
      </c>
      <c r="H24" s="44">
        <v>0</v>
      </c>
      <c r="I24" s="44">
        <v>0</v>
      </c>
    </row>
    <row r="25" spans="1:9" ht="15">
      <c r="A25" s="90" t="str">
        <f>HLOOKUP(INDICE!$F$2,Nombres!$C$3:$D$636,50,FALSE)</f>
        <v>Resultado atribuido</v>
      </c>
      <c r="B25" s="47">
        <f aca="true" t="shared" si="4" ref="B25:G25">+B23+B24</f>
        <v>81.46479860000002</v>
      </c>
      <c r="C25" s="47">
        <f t="shared" si="4"/>
        <v>46.56052738000002</v>
      </c>
      <c r="D25" s="47">
        <f t="shared" si="4"/>
        <v>54.240381749999976</v>
      </c>
      <c r="E25" s="47">
        <f t="shared" si="4"/>
        <v>57.269692179999964</v>
      </c>
      <c r="F25" s="51">
        <f t="shared" si="4"/>
        <v>91.59636157999996</v>
      </c>
      <c r="G25" s="51">
        <f t="shared" si="4"/>
        <v>120.90324384000002</v>
      </c>
      <c r="H25" s="51">
        <f>+H23+H24</f>
        <v>0</v>
      </c>
      <c r="I25" s="51">
        <f>+I23+I24</f>
        <v>0</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87" t="str">
        <f>HLOOKUP(INDICE!$F$2,Nombres!$C$3:$D$636,52,FALSE)</f>
        <v>Efectivo, saldos en efectivo en bancos centrales y otros depósitos a la vista</v>
      </c>
      <c r="B31" s="44">
        <v>3807.8076</v>
      </c>
      <c r="C31" s="44">
        <v>5108.223216</v>
      </c>
      <c r="D31" s="44">
        <v>4917.510686999999</v>
      </c>
      <c r="E31" s="45">
        <v>4015.1228420099997</v>
      </c>
      <c r="F31" s="44">
        <v>4135.12968</v>
      </c>
      <c r="G31" s="44">
        <v>5634.49838</v>
      </c>
      <c r="H31" s="44">
        <v>0</v>
      </c>
      <c r="I31" s="44">
        <v>0</v>
      </c>
    </row>
    <row r="32" spans="1:9" ht="15">
      <c r="A32" s="87" t="str">
        <f>HLOOKUP(INDICE!$F$2,Nombres!$C$3:$D$636,53,FALSE)</f>
        <v>Activos financieros a valor razonable</v>
      </c>
      <c r="B32" s="58">
        <v>8584.09004439</v>
      </c>
      <c r="C32" s="58">
        <v>5714.56048539</v>
      </c>
      <c r="D32" s="58">
        <v>3967.1003933899997</v>
      </c>
      <c r="E32" s="64">
        <v>5090.235998390001</v>
      </c>
      <c r="F32" s="44">
        <v>6651.864088390001</v>
      </c>
      <c r="G32" s="44">
        <v>8646.473309140001</v>
      </c>
      <c r="H32" s="44">
        <v>0</v>
      </c>
      <c r="I32" s="44">
        <v>0</v>
      </c>
    </row>
    <row r="33" spans="1:9" ht="15">
      <c r="A33" s="43" t="str">
        <f>HLOOKUP(INDICE!$F$2,Nombres!$C$3:$D$636,54,FALSE)</f>
        <v>Activos financieros a coste amortizado</v>
      </c>
      <c r="B33" s="44">
        <v>34733.303306</v>
      </c>
      <c r="C33" s="44">
        <v>34949.66198401</v>
      </c>
      <c r="D33" s="44">
        <v>38111.899728000004</v>
      </c>
      <c r="E33" s="45">
        <v>40425.476668339994</v>
      </c>
      <c r="F33" s="44">
        <v>39166.61628133</v>
      </c>
      <c r="G33" s="44">
        <v>39509.65080833001</v>
      </c>
      <c r="H33" s="44">
        <v>0</v>
      </c>
      <c r="I33" s="44">
        <v>0</v>
      </c>
    </row>
    <row r="34" spans="1:9" ht="15">
      <c r="A34" s="87" t="str">
        <f>HLOOKUP(INDICE!$F$2,Nombres!$C$3:$D$636,55,FALSE)</f>
        <v>    de los que préstamos y anticipos a la clientela</v>
      </c>
      <c r="B34" s="44">
        <v>31494.501316</v>
      </c>
      <c r="C34" s="44">
        <v>32141.867406</v>
      </c>
      <c r="D34" s="44">
        <v>35319.185594</v>
      </c>
      <c r="E34" s="45">
        <v>37374.89568433</v>
      </c>
      <c r="F34" s="44">
        <v>35946.05568833</v>
      </c>
      <c r="G34" s="44">
        <v>36174.519111329995</v>
      </c>
      <c r="H34" s="44">
        <v>0</v>
      </c>
      <c r="I34" s="44">
        <v>0</v>
      </c>
    </row>
    <row r="35" spans="1:9" ht="15">
      <c r="A35" s="87"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79.44900999000001</v>
      </c>
      <c r="C36" s="44">
        <v>76.86584500000001</v>
      </c>
      <c r="D36" s="44">
        <v>80.27694999</v>
      </c>
      <c r="E36" s="45">
        <v>78.23120098999999</v>
      </c>
      <c r="F36" s="44">
        <v>74.864499</v>
      </c>
      <c r="G36" s="44">
        <v>71.467564</v>
      </c>
      <c r="H36" s="44">
        <v>0</v>
      </c>
      <c r="I36" s="44">
        <v>0</v>
      </c>
    </row>
    <row r="37" spans="1:9" ht="15">
      <c r="A37" s="87" t="str">
        <f>HLOOKUP(INDICE!$F$2,Nombres!$C$3:$D$636,57,FALSE)</f>
        <v>Otros activos</v>
      </c>
      <c r="B37" s="58">
        <f>+B38-B36-B33-B32-B31-B35</f>
        <v>366.1890509900004</v>
      </c>
      <c r="C37" s="58">
        <f aca="true" t="shared" si="5" ref="C37:I37">+C38-C36-C33-C32-C31</f>
        <v>326.22490300000027</v>
      </c>
      <c r="D37" s="58">
        <f t="shared" si="5"/>
        <v>454.8457270000026</v>
      </c>
      <c r="E37" s="64">
        <f t="shared" si="5"/>
        <v>343.35330900001554</v>
      </c>
      <c r="F37" s="44">
        <f t="shared" si="5"/>
        <v>378.8485239999991</v>
      </c>
      <c r="G37" s="44">
        <f t="shared" si="5"/>
        <v>380.00578799999585</v>
      </c>
      <c r="H37" s="44">
        <f t="shared" si="5"/>
        <v>0</v>
      </c>
      <c r="I37" s="44">
        <f t="shared" si="5"/>
        <v>0</v>
      </c>
    </row>
    <row r="38" spans="1:9" ht="15">
      <c r="A38" s="90" t="str">
        <f>HLOOKUP(INDICE!$F$2,Nombres!$C$3:$D$636,58,FALSE)</f>
        <v>Total activo / pasivo</v>
      </c>
      <c r="B38" s="47">
        <v>47570.83901137</v>
      </c>
      <c r="C38" s="47">
        <v>46175.536433400004</v>
      </c>
      <c r="D38" s="47">
        <v>47531.63348538001</v>
      </c>
      <c r="E38" s="70">
        <v>49952.42001873001</v>
      </c>
      <c r="F38" s="47">
        <v>50407.323072720006</v>
      </c>
      <c r="G38" s="47">
        <v>54242.09584947</v>
      </c>
      <c r="H38" s="47">
        <v>0</v>
      </c>
      <c r="I38" s="47">
        <v>0</v>
      </c>
    </row>
    <row r="39" spans="1:9" ht="15">
      <c r="A39" s="87" t="str">
        <f>HLOOKUP(INDICE!$F$2,Nombres!$C$3:$D$636,59,FALSE)</f>
        <v>Pasivos financieros mantenidos para negociar y designados a valor razonable con cambios en resultados</v>
      </c>
      <c r="B39" s="58">
        <v>7913.3688489999995</v>
      </c>
      <c r="C39" s="58">
        <v>5024.269488</v>
      </c>
      <c r="D39" s="58">
        <v>3274.364747</v>
      </c>
      <c r="E39" s="64">
        <v>4397.298547</v>
      </c>
      <c r="F39" s="44">
        <v>5941.912052999999</v>
      </c>
      <c r="G39" s="44">
        <v>7805.2974300000005</v>
      </c>
      <c r="H39" s="44">
        <v>0</v>
      </c>
      <c r="I39" s="44">
        <v>0</v>
      </c>
    </row>
    <row r="40" spans="1:9" ht="15">
      <c r="A40" s="87" t="str">
        <f>HLOOKUP(INDICE!$F$2,Nombres!$C$3:$D$636,60,FALSE)</f>
        <v>Depósitos de bancos centrales y entidades de crédito</v>
      </c>
      <c r="B40" s="58">
        <v>1842.218038</v>
      </c>
      <c r="C40" s="58">
        <v>1838.9726120000003</v>
      </c>
      <c r="D40" s="58">
        <v>1890.8802230000001</v>
      </c>
      <c r="E40" s="64">
        <v>2744.888522</v>
      </c>
      <c r="F40" s="44">
        <v>1776.660061</v>
      </c>
      <c r="G40" s="44">
        <v>2217.362082</v>
      </c>
      <c r="H40" s="44">
        <v>0</v>
      </c>
      <c r="I40" s="44">
        <v>0</v>
      </c>
    </row>
    <row r="41" spans="1:9" ht="15.75" customHeight="1">
      <c r="A41" s="87" t="str">
        <f>HLOOKUP(INDICE!$F$2,Nombres!$C$3:$D$636,61,FALSE)</f>
        <v>Depósitos de la clientela</v>
      </c>
      <c r="B41" s="58">
        <v>6649.53784499</v>
      </c>
      <c r="C41" s="58">
        <v>7734.917937</v>
      </c>
      <c r="D41" s="58">
        <v>8750.6499</v>
      </c>
      <c r="E41" s="64">
        <v>9826.938752</v>
      </c>
      <c r="F41" s="44">
        <v>10069.638223</v>
      </c>
      <c r="G41" s="44">
        <v>10470.415051999998</v>
      </c>
      <c r="H41" s="44">
        <v>0</v>
      </c>
      <c r="I41" s="44">
        <v>0</v>
      </c>
    </row>
    <row r="42" spans="1:9" ht="15">
      <c r="A42" s="43" t="str">
        <f>HLOOKUP(INDICE!$F$2,Nombres!$C$3:$D$636,62,FALSE)</f>
        <v>Valores representativos de deuda emitidos</v>
      </c>
      <c r="B42" s="44">
        <v>1348.27974588</v>
      </c>
      <c r="C42" s="44">
        <v>1413.9869129499998</v>
      </c>
      <c r="D42" s="44">
        <v>1458.80188354</v>
      </c>
      <c r="E42" s="45">
        <v>1560.66128746</v>
      </c>
      <c r="F42" s="44">
        <v>1453.3502919300001</v>
      </c>
      <c r="G42" s="44">
        <v>1360.0521206100002</v>
      </c>
      <c r="H42" s="44">
        <v>0</v>
      </c>
      <c r="I42" s="44">
        <v>0</v>
      </c>
    </row>
    <row r="43" spans="1:9" ht="15">
      <c r="A43" s="87" t="str">
        <f>HLOOKUP(INDICE!$F$2,Nombres!$C$3:$D$636,122,FALSE)</f>
        <v>Posiciones inter-áreas pasivo</v>
      </c>
      <c r="B43" s="44">
        <v>25205.49448506</v>
      </c>
      <c r="C43" s="44">
        <v>25140.77080198</v>
      </c>
      <c r="D43" s="44">
        <v>26776.706594110005</v>
      </c>
      <c r="E43" s="45">
        <v>26060.3068663</v>
      </c>
      <c r="F43" s="44">
        <v>25944.50101301001</v>
      </c>
      <c r="G43" s="44">
        <v>27284.150869800007</v>
      </c>
      <c r="H43" s="44">
        <v>0</v>
      </c>
      <c r="I43" s="44">
        <v>0</v>
      </c>
    </row>
    <row r="44" spans="1:9" ht="15">
      <c r="A44" s="43" t="str">
        <f>HLOOKUP(INDICE!$F$2,Nombres!$C$3:$D$636,63,FALSE)</f>
        <v>Otros pasivos</v>
      </c>
      <c r="B44" s="58">
        <f aca="true" t="shared" si="6" ref="B44:G44">+B38-B39-B40-B41-B42-B45-B43</f>
        <v>897.8703605199989</v>
      </c>
      <c r="C44" s="58">
        <f t="shared" si="6"/>
        <v>964.6381493100089</v>
      </c>
      <c r="D44" s="58">
        <f t="shared" si="6"/>
        <v>1080.5010808199986</v>
      </c>
      <c r="E44" s="64">
        <f t="shared" si="6"/>
        <v>1014.2815201500052</v>
      </c>
      <c r="F44" s="58">
        <f t="shared" si="6"/>
        <v>1039.3679199199942</v>
      </c>
      <c r="G44" s="58">
        <f t="shared" si="6"/>
        <v>1065.7877947300003</v>
      </c>
      <c r="H44" s="58">
        <f>+H38-H39-H40-H41-H42-H45-H43</f>
        <v>0</v>
      </c>
      <c r="I44" s="58">
        <f>+I38-I39-I40-I41-I42-I45-I43</f>
        <v>0</v>
      </c>
    </row>
    <row r="45" spans="1:9" ht="15">
      <c r="A45" s="43" t="str">
        <f>HLOOKUP(INDICE!$F$2,Nombres!$C$3:$D$636,282,FALSE)</f>
        <v>Dotación de capital regulatorio</v>
      </c>
      <c r="B45" s="58">
        <v>3714.0696879199995</v>
      </c>
      <c r="C45" s="58">
        <v>4057.9805321600006</v>
      </c>
      <c r="D45" s="58">
        <v>4299.7290569100005</v>
      </c>
      <c r="E45" s="64">
        <v>4348.044523819999</v>
      </c>
      <c r="F45" s="58">
        <v>4181.89351086</v>
      </c>
      <c r="G45" s="58">
        <v>4039.0305003299995</v>
      </c>
      <c r="H45" s="58">
        <v>0</v>
      </c>
      <c r="I45" s="58">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G50">+B$30</f>
        <v>44651</v>
      </c>
      <c r="C50" s="53">
        <f t="shared" si="7"/>
        <v>44742</v>
      </c>
      <c r="D50" s="53">
        <f t="shared" si="7"/>
        <v>44834</v>
      </c>
      <c r="E50" s="67">
        <f t="shared" si="7"/>
        <v>44926</v>
      </c>
      <c r="F50" s="53">
        <f t="shared" si="7"/>
        <v>45016</v>
      </c>
      <c r="G50" s="53">
        <f t="shared" si="7"/>
        <v>45107</v>
      </c>
      <c r="H50" s="53">
        <f>+H$30</f>
        <v>45199</v>
      </c>
      <c r="I50" s="53">
        <f>+I$30</f>
        <v>45291</v>
      </c>
    </row>
    <row r="51" spans="1:9" ht="15">
      <c r="A51" s="87" t="str">
        <f>HLOOKUP(INDICE!$F$2,Nombres!$C$3:$D$636,66,FALSE)</f>
        <v>Préstamos y anticipos a la clientela bruto (*)</v>
      </c>
      <c r="B51" s="44">
        <v>31768.864961999996</v>
      </c>
      <c r="C51" s="44">
        <v>32427.772833999996</v>
      </c>
      <c r="D51" s="44">
        <v>35605.997004000004</v>
      </c>
      <c r="E51" s="45">
        <v>37613.089421</v>
      </c>
      <c r="F51" s="44">
        <v>36188.648453</v>
      </c>
      <c r="G51" s="44">
        <v>36407.027642999994</v>
      </c>
      <c r="H51" s="44">
        <v>0</v>
      </c>
      <c r="I51" s="44">
        <v>0</v>
      </c>
    </row>
    <row r="52" spans="1:9" ht="15">
      <c r="A52" s="87" t="str">
        <f>HLOOKUP(INDICE!$F$2,Nombres!$C$3:$D$636,67,FALSE)</f>
        <v>Depósitos de clientes en gestión (**)</v>
      </c>
      <c r="B52" s="44">
        <v>6649.53784499</v>
      </c>
      <c r="C52" s="44">
        <v>7734.917937000001</v>
      </c>
      <c r="D52" s="44">
        <v>8750.6499</v>
      </c>
      <c r="E52" s="45">
        <v>9826.938752</v>
      </c>
      <c r="F52" s="44">
        <v>10069.638223</v>
      </c>
      <c r="G52" s="44">
        <v>10470.415052</v>
      </c>
      <c r="H52" s="44">
        <v>0</v>
      </c>
      <c r="I52" s="44">
        <v>0</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87" t="str">
        <f>HLOOKUP(INDICE!$F$2,Nombres!$C$3:$D$636,69,FALSE)</f>
        <v>Fondos de pensiones</v>
      </c>
      <c r="B54" s="44">
        <v>580.94406159</v>
      </c>
      <c r="C54" s="44">
        <v>522.57530376</v>
      </c>
      <c r="D54" s="44">
        <v>523.75088513</v>
      </c>
      <c r="E54" s="45">
        <v>520.1</v>
      </c>
      <c r="F54" s="44">
        <v>510</v>
      </c>
      <c r="G54" s="44">
        <v>505.7343251</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44"/>
      <c r="G56" s="44"/>
      <c r="H56" s="44"/>
      <c r="I56" s="44"/>
    </row>
    <row r="57" spans="1:9" ht="15">
      <c r="A57" s="91" t="str">
        <f>HLOOKUP(INDICE!$F$2,Nombres!$C$3:$D$636,72,FALSE)</f>
        <v>(**) No incluye las cesiones temporales de activos.</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Cuenta de resultados  </v>
      </c>
      <c r="B59" s="34"/>
      <c r="C59" s="34"/>
      <c r="D59" s="34"/>
      <c r="E59" s="34"/>
      <c r="F59" s="68"/>
      <c r="G59" s="68"/>
      <c r="H59" s="68"/>
      <c r="I59" s="68"/>
    </row>
    <row r="60" spans="1:9" ht="15">
      <c r="A60" s="83" t="str">
        <f>HLOOKUP(INDICE!$F$2,Nombres!$C$3:$D$636,73,FALSE)</f>
        <v>(Millones de euros constantes)</v>
      </c>
      <c r="B60" s="30"/>
      <c r="C60" s="36"/>
      <c r="D60" s="36"/>
      <c r="E60" s="36"/>
      <c r="F60" s="69"/>
      <c r="G60" s="69"/>
      <c r="H60" s="69"/>
      <c r="I60" s="69"/>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84" t="str">
        <f aca="true" t="shared" si="8" ref="B63:G63">+B$7</f>
        <v>1er Trim.</v>
      </c>
      <c r="C63" s="84" t="str">
        <f t="shared" si="8"/>
        <v>2º Trim.</v>
      </c>
      <c r="D63" s="84" t="str">
        <f t="shared" si="8"/>
        <v>3er Trim.</v>
      </c>
      <c r="E63" s="85" t="str">
        <f t="shared" si="8"/>
        <v>4º Trim.</v>
      </c>
      <c r="F63" s="84" t="str">
        <f t="shared" si="8"/>
        <v>1er Trim.</v>
      </c>
      <c r="G63" s="84" t="str">
        <f t="shared" si="8"/>
        <v>2º Trim.</v>
      </c>
      <c r="H63" s="84" t="str">
        <f>+H$7</f>
        <v>3er Trim.</v>
      </c>
      <c r="I63" s="84" t="str">
        <f>+I$7</f>
        <v>4º Trim.</v>
      </c>
    </row>
    <row r="64" spans="1:9" ht="15">
      <c r="A64" s="41" t="str">
        <f>HLOOKUP(INDICE!$F$2,Nombres!$C$3:$D$636,33,FALSE)</f>
        <v>Margen de intereses</v>
      </c>
      <c r="B64" s="41">
        <v>75.94483012352242</v>
      </c>
      <c r="C64" s="41">
        <v>77.49662268231862</v>
      </c>
      <c r="D64" s="41">
        <v>82.95616961047534</v>
      </c>
      <c r="E64" s="42">
        <v>94.19588254376511</v>
      </c>
      <c r="F64" s="50">
        <v>113.48055180800749</v>
      </c>
      <c r="G64" s="50">
        <v>146.23034670199254</v>
      </c>
      <c r="H64" s="50">
        <v>0</v>
      </c>
      <c r="I64" s="50">
        <v>0</v>
      </c>
    </row>
    <row r="65" spans="1:9" ht="15">
      <c r="A65" s="87" t="str">
        <f>HLOOKUP(INDICE!$F$2,Nombres!$C$3:$D$636,34,FALSE)</f>
        <v>Comisiones netas</v>
      </c>
      <c r="B65" s="44">
        <v>57.06900260174084</v>
      </c>
      <c r="C65" s="44">
        <v>64.43975680667123</v>
      </c>
      <c r="D65" s="44">
        <v>60.361187956659535</v>
      </c>
      <c r="E65" s="45">
        <v>59.87942505472256</v>
      </c>
      <c r="F65" s="44">
        <v>68.58758240459503</v>
      </c>
      <c r="G65" s="44">
        <v>63.728655215404984</v>
      </c>
      <c r="H65" s="44">
        <v>0</v>
      </c>
      <c r="I65" s="44">
        <v>0</v>
      </c>
    </row>
    <row r="66" spans="1:9" ht="15">
      <c r="A66" s="87" t="str">
        <f>HLOOKUP(INDICE!$F$2,Nombres!$C$3:$D$636,35,FALSE)</f>
        <v>Resultados de operaciones financieras</v>
      </c>
      <c r="B66" s="44">
        <v>68.62512148202475</v>
      </c>
      <c r="C66" s="44">
        <v>33.98193172583554</v>
      </c>
      <c r="D66" s="44">
        <v>44.442816095687576</v>
      </c>
      <c r="E66" s="45">
        <v>60.190990868795744</v>
      </c>
      <c r="F66" s="44">
        <v>76.87138387291813</v>
      </c>
      <c r="G66" s="44">
        <v>96.25944044708189</v>
      </c>
      <c r="H66" s="44">
        <v>0</v>
      </c>
      <c r="I66" s="44">
        <v>0</v>
      </c>
    </row>
    <row r="67" spans="1:9" ht="15">
      <c r="A67" s="87" t="str">
        <f>HLOOKUP(INDICE!$F$2,Nombres!$C$3:$D$636,36,FALSE)</f>
        <v>Otros ingresos y cargas de explotación</v>
      </c>
      <c r="B67" s="44">
        <v>2.5438194513239147</v>
      </c>
      <c r="C67" s="44">
        <v>0.8924260276943141</v>
      </c>
      <c r="D67" s="44">
        <v>0.7444376777858435</v>
      </c>
      <c r="E67" s="45">
        <v>2.499494843526892</v>
      </c>
      <c r="F67" s="44">
        <v>0.903482258379285</v>
      </c>
      <c r="G67" s="44">
        <v>-0.5627585983792851</v>
      </c>
      <c r="H67" s="44">
        <v>0</v>
      </c>
      <c r="I67" s="44">
        <v>0</v>
      </c>
    </row>
    <row r="68" spans="1:9" ht="15">
      <c r="A68" s="41" t="str">
        <f>HLOOKUP(INDICE!$F$2,Nombres!$C$3:$D$636,37,FALSE)</f>
        <v>Margen bruto</v>
      </c>
      <c r="B68" s="41">
        <f aca="true" t="shared" si="9" ref="B68:G68">+SUM(B64:B67)</f>
        <v>204.18277365861192</v>
      </c>
      <c r="C68" s="41">
        <f t="shared" si="9"/>
        <v>176.8107372425197</v>
      </c>
      <c r="D68" s="41">
        <f t="shared" si="9"/>
        <v>188.5046113406083</v>
      </c>
      <c r="E68" s="42">
        <f t="shared" si="9"/>
        <v>216.7657933108103</v>
      </c>
      <c r="F68" s="50">
        <f t="shared" si="9"/>
        <v>259.8430003438999</v>
      </c>
      <c r="G68" s="50">
        <f t="shared" si="9"/>
        <v>305.65568376610014</v>
      </c>
      <c r="H68" s="50">
        <f>+SUM(H64:H67)</f>
        <v>0</v>
      </c>
      <c r="I68" s="50">
        <f>+SUM(I64:I67)</f>
        <v>0</v>
      </c>
    </row>
    <row r="69" spans="1:9" ht="15">
      <c r="A69" s="87" t="str">
        <f>HLOOKUP(INDICE!$F$2,Nombres!$C$3:$D$636,38,FALSE)</f>
        <v>Gastos de explotación</v>
      </c>
      <c r="B69" s="44">
        <v>-116.17124178719052</v>
      </c>
      <c r="C69" s="44">
        <v>-116.2849121325594</v>
      </c>
      <c r="D69" s="44">
        <v>-126.15112316169251</v>
      </c>
      <c r="E69" s="45">
        <v>-152.07060012014475</v>
      </c>
      <c r="F69" s="44">
        <v>-137.87514774757545</v>
      </c>
      <c r="G69" s="44">
        <v>-139.24965090242455</v>
      </c>
      <c r="H69" s="44">
        <v>0</v>
      </c>
      <c r="I69" s="44">
        <v>0</v>
      </c>
    </row>
    <row r="70" spans="1:9" ht="15">
      <c r="A70" s="87" t="str">
        <f>HLOOKUP(INDICE!$F$2,Nombres!$C$3:$D$636,39,FALSE)</f>
        <v>  Gastos de administración</v>
      </c>
      <c r="B70" s="44">
        <v>-110.84863203871652</v>
      </c>
      <c r="C70" s="44">
        <v>-110.72251592337122</v>
      </c>
      <c r="D70" s="44">
        <v>-119.87309769659309</v>
      </c>
      <c r="E70" s="45">
        <v>-146.47875786314597</v>
      </c>
      <c r="F70" s="44">
        <v>-131.9356381974454</v>
      </c>
      <c r="G70" s="44">
        <v>-133.08905635255462</v>
      </c>
      <c r="H70" s="44">
        <v>0</v>
      </c>
      <c r="I70" s="44">
        <v>0</v>
      </c>
    </row>
    <row r="71" spans="1:9" ht="15">
      <c r="A71" s="88" t="str">
        <f>HLOOKUP(INDICE!$F$2,Nombres!$C$3:$D$636,40,FALSE)</f>
        <v>  Gastos de personal</v>
      </c>
      <c r="B71" s="44">
        <v>-62.12075233015278</v>
      </c>
      <c r="C71" s="44">
        <v>-58.19406170169033</v>
      </c>
      <c r="D71" s="44">
        <v>-67.31184169579124</v>
      </c>
      <c r="E71" s="45">
        <v>-77.44229250221862</v>
      </c>
      <c r="F71" s="44">
        <v>-69.72786339568714</v>
      </c>
      <c r="G71" s="44">
        <v>-64.56499911431285</v>
      </c>
      <c r="H71" s="44">
        <v>0</v>
      </c>
      <c r="I71" s="44">
        <v>0</v>
      </c>
    </row>
    <row r="72" spans="1:9" ht="15">
      <c r="A72" s="88" t="str">
        <f>HLOOKUP(INDICE!$F$2,Nombres!$C$3:$D$636,41,FALSE)</f>
        <v>  Otros gastos de administración</v>
      </c>
      <c r="B72" s="44">
        <v>-48.72787970856374</v>
      </c>
      <c r="C72" s="44">
        <v>-52.5284542216809</v>
      </c>
      <c r="D72" s="44">
        <v>-52.561256000801855</v>
      </c>
      <c r="E72" s="45">
        <v>-69.03646536092735</v>
      </c>
      <c r="F72" s="44">
        <v>-62.20777480175826</v>
      </c>
      <c r="G72" s="44">
        <v>-68.52405723824174</v>
      </c>
      <c r="H72" s="44">
        <v>0</v>
      </c>
      <c r="I72" s="44">
        <v>0</v>
      </c>
    </row>
    <row r="73" spans="1:9" ht="15">
      <c r="A73" s="87" t="str">
        <f>HLOOKUP(INDICE!$F$2,Nombres!$C$3:$D$636,42,FALSE)</f>
        <v>  Amortización</v>
      </c>
      <c r="B73" s="44">
        <v>-5.322609748474003</v>
      </c>
      <c r="C73" s="44">
        <v>-5.5623962091881705</v>
      </c>
      <c r="D73" s="44">
        <v>-6.278025465099416</v>
      </c>
      <c r="E73" s="45">
        <v>-5.591842256998801</v>
      </c>
      <c r="F73" s="44">
        <v>-5.939509550130066</v>
      </c>
      <c r="G73" s="44">
        <v>-6.160594549869932</v>
      </c>
      <c r="H73" s="44">
        <v>0</v>
      </c>
      <c r="I73" s="44">
        <v>0</v>
      </c>
    </row>
    <row r="74" spans="1:9" ht="15">
      <c r="A74" s="41" t="str">
        <f>HLOOKUP(INDICE!$F$2,Nombres!$C$3:$D$636,43,FALSE)</f>
        <v>Margen neto</v>
      </c>
      <c r="B74" s="41">
        <f aca="true" t="shared" si="10" ref="B74:G74">+B68+B69</f>
        <v>88.0115318714214</v>
      </c>
      <c r="C74" s="41">
        <f t="shared" si="10"/>
        <v>60.52582510996031</v>
      </c>
      <c r="D74" s="41">
        <f t="shared" si="10"/>
        <v>62.353488178915796</v>
      </c>
      <c r="E74" s="42">
        <f t="shared" si="10"/>
        <v>64.69519319066555</v>
      </c>
      <c r="F74" s="50">
        <f t="shared" si="10"/>
        <v>121.96785259632446</v>
      </c>
      <c r="G74" s="50">
        <f t="shared" si="10"/>
        <v>166.4060328636756</v>
      </c>
      <c r="H74" s="50">
        <f>+H68+H69</f>
        <v>0</v>
      </c>
      <c r="I74" s="50">
        <f>+I68+I69</f>
        <v>0</v>
      </c>
    </row>
    <row r="75" spans="1:9" ht="15">
      <c r="A75" s="87" t="str">
        <f>HLOOKUP(INDICE!$F$2,Nombres!$C$3:$D$636,44,FALSE)</f>
        <v>Deterioro de activos financieros no valorados a valor razonable con cambios en resultados</v>
      </c>
      <c r="B75" s="44">
        <v>7.434717261923741</v>
      </c>
      <c r="C75" s="44">
        <v>-7.6638997499568156</v>
      </c>
      <c r="D75" s="44">
        <v>-2.646599181621621</v>
      </c>
      <c r="E75" s="45">
        <v>-10.264031476771681</v>
      </c>
      <c r="F75" s="44">
        <v>-18.46977770480573</v>
      </c>
      <c r="G75" s="44">
        <v>-4.57275968519427</v>
      </c>
      <c r="H75" s="44">
        <v>0</v>
      </c>
      <c r="I75" s="44">
        <v>0</v>
      </c>
    </row>
    <row r="76" spans="1:9" ht="15">
      <c r="A76" s="87" t="str">
        <f>HLOOKUP(INDICE!$F$2,Nombres!$C$3:$D$636,45,FALSE)</f>
        <v>Provisiones o reversión de provisiones y otros resultados</v>
      </c>
      <c r="B76" s="44">
        <v>9.997002334898639</v>
      </c>
      <c r="C76" s="44">
        <v>1.8448279331162238</v>
      </c>
      <c r="D76" s="44">
        <v>1.876332212208586</v>
      </c>
      <c r="E76" s="45">
        <v>0.23162596414980074</v>
      </c>
      <c r="F76" s="44">
        <v>7.387327369616153</v>
      </c>
      <c r="G76" s="44">
        <v>-0.9626743796161517</v>
      </c>
      <c r="H76" s="44">
        <v>0</v>
      </c>
      <c r="I76" s="44">
        <v>0</v>
      </c>
    </row>
    <row r="77" spans="1:9" ht="15">
      <c r="A77" s="89" t="str">
        <f>HLOOKUP(INDICE!$F$2,Nombres!$C$3:$D$636,46,FALSE)</f>
        <v>Resultado antes de impuestos</v>
      </c>
      <c r="B77" s="41">
        <f aca="true" t="shared" si="11" ref="B77:G77">+B74+B75+B76</f>
        <v>105.44325146824377</v>
      </c>
      <c r="C77" s="41">
        <f t="shared" si="11"/>
        <v>54.70675329311972</v>
      </c>
      <c r="D77" s="41">
        <f t="shared" si="11"/>
        <v>61.58322120950276</v>
      </c>
      <c r="E77" s="42">
        <f t="shared" si="11"/>
        <v>54.66278767804367</v>
      </c>
      <c r="F77" s="50">
        <f t="shared" si="11"/>
        <v>110.8854022611349</v>
      </c>
      <c r="G77" s="50">
        <f t="shared" si="11"/>
        <v>160.8705987988652</v>
      </c>
      <c r="H77" s="50">
        <f>+H74+H75+H76</f>
        <v>0</v>
      </c>
      <c r="I77" s="50">
        <f>+I74+I75+I76</f>
        <v>0</v>
      </c>
    </row>
    <row r="78" spans="1:9" ht="15">
      <c r="A78" s="43" t="str">
        <f>HLOOKUP(INDICE!$F$2,Nombres!$C$3:$D$636,47,FALSE)</f>
        <v>Impuesto sobre beneficios</v>
      </c>
      <c r="B78" s="44">
        <v>-23.28358194183988</v>
      </c>
      <c r="C78" s="44">
        <v>-10.605274044428352</v>
      </c>
      <c r="D78" s="44">
        <v>-11.140555056897531</v>
      </c>
      <c r="E78" s="45">
        <v>7.63643738222747</v>
      </c>
      <c r="F78" s="44">
        <v>-19.262583748591453</v>
      </c>
      <c r="G78" s="44">
        <v>-39.99381189140855</v>
      </c>
      <c r="H78" s="44">
        <v>0</v>
      </c>
      <c r="I78" s="44">
        <v>0</v>
      </c>
    </row>
    <row r="79" spans="1:9" ht="15">
      <c r="A79" s="89" t="str">
        <f>HLOOKUP(INDICE!$F$2,Nombres!$C$3:$D$636,48,FALSE)</f>
        <v>Resultado del ejercicio</v>
      </c>
      <c r="B79" s="41">
        <f aca="true" t="shared" si="12" ref="B79:G79">+B77+B78</f>
        <v>82.15966952640389</v>
      </c>
      <c r="C79" s="41">
        <f t="shared" si="12"/>
        <v>44.10147924869136</v>
      </c>
      <c r="D79" s="41">
        <f t="shared" si="12"/>
        <v>50.44266615260523</v>
      </c>
      <c r="E79" s="42">
        <f t="shared" si="12"/>
        <v>62.29922506027114</v>
      </c>
      <c r="F79" s="50">
        <f t="shared" si="12"/>
        <v>91.62281851254345</v>
      </c>
      <c r="G79" s="50">
        <f t="shared" si="12"/>
        <v>120.87678690745665</v>
      </c>
      <c r="H79" s="50">
        <f>+H77+H78</f>
        <v>0</v>
      </c>
      <c r="I79" s="50">
        <f>+I77+I78</f>
        <v>0</v>
      </c>
    </row>
    <row r="80" spans="1:9" ht="15">
      <c r="A80" s="87" t="str">
        <f>HLOOKUP(INDICE!$F$2,Nombres!$C$3:$D$636,49,FALSE)</f>
        <v>Minoritarios</v>
      </c>
      <c r="B80" s="44">
        <v>0</v>
      </c>
      <c r="C80" s="44">
        <v>0</v>
      </c>
      <c r="D80" s="44">
        <v>0</v>
      </c>
      <c r="E80" s="45">
        <v>0</v>
      </c>
      <c r="F80" s="44">
        <v>0</v>
      </c>
      <c r="G80" s="44">
        <v>0</v>
      </c>
      <c r="H80" s="44">
        <v>0</v>
      </c>
      <c r="I80" s="44">
        <v>0</v>
      </c>
    </row>
    <row r="81" spans="1:9" ht="15">
      <c r="A81" s="90" t="str">
        <f>HLOOKUP(INDICE!$F$2,Nombres!$C$3:$D$636,50,FALSE)</f>
        <v>Resultado atribuido</v>
      </c>
      <c r="B81" s="47">
        <f aca="true" t="shared" si="13" ref="B81:G81">+B79+B80</f>
        <v>82.15966952640389</v>
      </c>
      <c r="C81" s="47">
        <f t="shared" si="13"/>
        <v>44.10147924869136</v>
      </c>
      <c r="D81" s="47">
        <f t="shared" si="13"/>
        <v>50.44266615260523</v>
      </c>
      <c r="E81" s="47">
        <f t="shared" si="13"/>
        <v>62.29922506027114</v>
      </c>
      <c r="F81" s="51">
        <f t="shared" si="13"/>
        <v>91.62281851254345</v>
      </c>
      <c r="G81" s="51">
        <f t="shared" si="13"/>
        <v>120.87678690745665</v>
      </c>
      <c r="H81" s="51">
        <f>+H79+H80</f>
        <v>0</v>
      </c>
      <c r="I81" s="51">
        <f>+I79+I80</f>
        <v>0</v>
      </c>
    </row>
    <row r="82" spans="1:9" ht="15">
      <c r="A82" s="91"/>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87" t="str">
        <f>HLOOKUP(INDICE!$F$2,Nombres!$C$3:$D$636,52,FALSE)</f>
        <v>Efectivo, saldos en efectivo en bancos centrales y otros depósitos a la vista</v>
      </c>
      <c r="B87" s="44">
        <v>3887.9805924363677</v>
      </c>
      <c r="C87" s="44">
        <v>4894.063056585143</v>
      </c>
      <c r="D87" s="44">
        <v>4435.125476599698</v>
      </c>
      <c r="E87" s="45">
        <v>3946.2818185480096</v>
      </c>
      <c r="F87" s="44">
        <v>4138.711943123552</v>
      </c>
      <c r="G87" s="44">
        <v>5634.49838</v>
      </c>
      <c r="H87" s="44">
        <v>0</v>
      </c>
      <c r="I87" s="44">
        <v>0</v>
      </c>
    </row>
    <row r="88" spans="1:9" ht="15">
      <c r="A88" s="87" t="str">
        <f>HLOOKUP(INDICE!$F$2,Nombres!$C$3:$D$636,53,FALSE)</f>
        <v>Activos financieros a valor razonable</v>
      </c>
      <c r="B88" s="58">
        <v>8759.051418345103</v>
      </c>
      <c r="C88" s="58">
        <v>5488.550492524981</v>
      </c>
      <c r="D88" s="58">
        <v>3618.56380271297</v>
      </c>
      <c r="E88" s="64">
        <v>5006.777074938943</v>
      </c>
      <c r="F88" s="44">
        <v>6656.917102088823</v>
      </c>
      <c r="G88" s="44">
        <v>8646.473309140001</v>
      </c>
      <c r="H88" s="44">
        <v>0</v>
      </c>
      <c r="I88" s="44">
        <v>0</v>
      </c>
    </row>
    <row r="89" spans="1:9" ht="15">
      <c r="A89" s="43" t="str">
        <f>HLOOKUP(INDICE!$F$2,Nombres!$C$3:$D$636,54,FALSE)</f>
        <v>Activos financieros a coste amortizado</v>
      </c>
      <c r="B89" s="44">
        <v>34950.83860165003</v>
      </c>
      <c r="C89" s="44">
        <v>34602.70290700842</v>
      </c>
      <c r="D89" s="44">
        <v>37015.62913355394</v>
      </c>
      <c r="E89" s="45">
        <v>40224.38713391958</v>
      </c>
      <c r="F89" s="44">
        <v>39190.229065080886</v>
      </c>
      <c r="G89" s="44">
        <v>39509.65080833001</v>
      </c>
      <c r="H89" s="44">
        <v>0</v>
      </c>
      <c r="I89" s="44">
        <v>0</v>
      </c>
    </row>
    <row r="90" spans="1:9" ht="15">
      <c r="A90" s="87" t="str">
        <f>HLOOKUP(INDICE!$F$2,Nombres!$C$3:$D$636,55,FALSE)</f>
        <v>    de los que préstamos y anticipos a la clientela</v>
      </c>
      <c r="B90" s="44">
        <v>31682.411443710524</v>
      </c>
      <c r="C90" s="44">
        <v>31799.289289025008</v>
      </c>
      <c r="D90" s="44">
        <v>34277.38554204466</v>
      </c>
      <c r="E90" s="45">
        <v>37183.2093468804</v>
      </c>
      <c r="F90" s="44">
        <v>35963.55371189673</v>
      </c>
      <c r="G90" s="44">
        <v>36174.519111329995</v>
      </c>
      <c r="H90" s="44">
        <v>0</v>
      </c>
      <c r="I90" s="44">
        <v>0</v>
      </c>
    </row>
    <row r="91" spans="1:9" ht="15">
      <c r="A91" s="87"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79.71857273685453</v>
      </c>
      <c r="C92" s="44">
        <v>76.5625766205151</v>
      </c>
      <c r="D92" s="44">
        <v>79.29167694226047</v>
      </c>
      <c r="E92" s="45">
        <v>78.12093756131787</v>
      </c>
      <c r="F92" s="44">
        <v>74.96328217349077</v>
      </c>
      <c r="G92" s="44">
        <v>71.467564</v>
      </c>
      <c r="H92" s="44">
        <v>0</v>
      </c>
      <c r="I92" s="44">
        <v>0</v>
      </c>
    </row>
    <row r="93" spans="1:9" ht="15">
      <c r="A93" s="87" t="str">
        <f>HLOOKUP(INDICE!$F$2,Nombres!$C$3:$D$636,57,FALSE)</f>
        <v>Otros activos</v>
      </c>
      <c r="B93" s="58">
        <f>+B94-B92-B89-B88-B87-B91</f>
        <v>371.1648681890133</v>
      </c>
      <c r="C93" s="58">
        <f aca="true" t="shared" si="15" ref="C93:I93">+C94-C92-C89-C88-C87</f>
        <v>320.42261278286514</v>
      </c>
      <c r="D93" s="58">
        <f t="shared" si="15"/>
        <v>427.4744695585978</v>
      </c>
      <c r="E93" s="64">
        <f t="shared" si="15"/>
        <v>340.00324031315495</v>
      </c>
      <c r="F93" s="44">
        <f t="shared" si="15"/>
        <v>379.3993268215745</v>
      </c>
      <c r="G93" s="44">
        <f t="shared" si="15"/>
        <v>380.00578799999585</v>
      </c>
      <c r="H93" s="44">
        <f t="shared" si="15"/>
        <v>0</v>
      </c>
      <c r="I93" s="44">
        <f t="shared" si="15"/>
        <v>0</v>
      </c>
    </row>
    <row r="94" spans="1:9" ht="15">
      <c r="A94" s="90" t="str">
        <f>HLOOKUP(INDICE!$F$2,Nombres!$C$3:$D$636,58,FALSE)</f>
        <v>Total activo / pasivo</v>
      </c>
      <c r="B94" s="47">
        <v>48048.75405335737</v>
      </c>
      <c r="C94" s="47">
        <v>45382.30164552192</v>
      </c>
      <c r="D94" s="47">
        <v>45576.08455936747</v>
      </c>
      <c r="E94" s="70">
        <v>49595.57020528101</v>
      </c>
      <c r="F94" s="51">
        <v>50440.22071928833</v>
      </c>
      <c r="G94" s="51">
        <v>54242.09584947</v>
      </c>
      <c r="H94" s="51">
        <v>0</v>
      </c>
      <c r="I94" s="51">
        <v>0</v>
      </c>
    </row>
    <row r="95" spans="1:9" ht="15">
      <c r="A95" s="87" t="str">
        <f>HLOOKUP(INDICE!$F$2,Nombres!$C$3:$D$636,59,FALSE)</f>
        <v>Pasivos financieros mantenidos para negociar y designados a valor razonable con cambios en resultados</v>
      </c>
      <c r="B95" s="58">
        <v>8083.693453099461</v>
      </c>
      <c r="C95" s="58">
        <v>4804.280766275319</v>
      </c>
      <c r="D95" s="58">
        <v>2941.190339783379</v>
      </c>
      <c r="E95" s="64">
        <v>4316.882964329598</v>
      </c>
      <c r="F95" s="44">
        <v>5946.843336678739</v>
      </c>
      <c r="G95" s="44">
        <v>7805.2974300000005</v>
      </c>
      <c r="H95" s="44">
        <v>0</v>
      </c>
      <c r="I95" s="44">
        <v>0</v>
      </c>
    </row>
    <row r="96" spans="1:9" ht="15">
      <c r="A96" s="87" t="str">
        <f>HLOOKUP(INDICE!$F$2,Nombres!$C$3:$D$636,60,FALSE)</f>
        <v>Depósitos de bancos centrales y entidades de crédito</v>
      </c>
      <c r="B96" s="58">
        <v>1861.6804066216523</v>
      </c>
      <c r="C96" s="58">
        <v>1787.8729073110117</v>
      </c>
      <c r="D96" s="58">
        <v>1786.6905664175754</v>
      </c>
      <c r="E96" s="64">
        <v>2725.1565571077185</v>
      </c>
      <c r="F96" s="44">
        <v>1778.8106302946387</v>
      </c>
      <c r="G96" s="44">
        <v>2217.362082</v>
      </c>
      <c r="H96" s="44">
        <v>0</v>
      </c>
      <c r="I96" s="44">
        <v>0</v>
      </c>
    </row>
    <row r="97" spans="1:9" ht="15">
      <c r="A97" s="87" t="str">
        <f>HLOOKUP(INDICE!$F$2,Nombres!$C$3:$D$636,61,FALSE)</f>
        <v>Depósitos de la clientela</v>
      </c>
      <c r="B97" s="58">
        <v>6746.510661830346</v>
      </c>
      <c r="C97" s="58">
        <v>7602.3017988121865</v>
      </c>
      <c r="D97" s="58">
        <v>8360.443646559008</v>
      </c>
      <c r="E97" s="64">
        <v>9772.63822920672</v>
      </c>
      <c r="F97" s="44">
        <v>10082.860134845901</v>
      </c>
      <c r="G97" s="44">
        <v>10470.415051999998</v>
      </c>
      <c r="H97" s="44">
        <v>0</v>
      </c>
      <c r="I97" s="44">
        <v>0</v>
      </c>
    </row>
    <row r="98" spans="1:9" ht="15">
      <c r="A98" s="43" t="str">
        <f>HLOOKUP(INDICE!$F$2,Nombres!$C$3:$D$636,62,FALSE)</f>
        <v>Valores representativos de deuda emitidos</v>
      </c>
      <c r="B98" s="44">
        <v>1357.6967806474288</v>
      </c>
      <c r="C98" s="44">
        <v>1395.076492096638</v>
      </c>
      <c r="D98" s="44">
        <v>1415.3580183210886</v>
      </c>
      <c r="E98" s="45">
        <v>1552.185076872234</v>
      </c>
      <c r="F98" s="44">
        <v>1453.7167237892318</v>
      </c>
      <c r="G98" s="44">
        <v>1360.0521206100002</v>
      </c>
      <c r="H98" s="44">
        <v>0</v>
      </c>
      <c r="I98" s="44">
        <v>0</v>
      </c>
    </row>
    <row r="99" spans="1:9" ht="15">
      <c r="A99" s="87" t="str">
        <f>HLOOKUP(INDICE!$F$2,Nombres!$C$3:$D$636,122,FALSE)</f>
        <v>Posiciones inter-áreas pasivo</v>
      </c>
      <c r="B99" s="44">
        <v>25352.014987108785</v>
      </c>
      <c r="C99" s="44">
        <v>24840.608368245386</v>
      </c>
      <c r="D99" s="44">
        <v>25882.66762178329</v>
      </c>
      <c r="E99" s="45">
        <v>25900.406523109697</v>
      </c>
      <c r="F99" s="44">
        <v>25952.10030038564</v>
      </c>
      <c r="G99" s="44">
        <v>27284.150869800007</v>
      </c>
      <c r="H99" s="44">
        <v>0</v>
      </c>
      <c r="I99" s="44">
        <v>0</v>
      </c>
    </row>
    <row r="100" spans="1:9" ht="15">
      <c r="A100" s="43" t="str">
        <f>HLOOKUP(INDICE!$F$2,Nombres!$C$3:$D$636,63,FALSE)</f>
        <v>Otros pasivos</v>
      </c>
      <c r="B100" s="58">
        <f aca="true" t="shared" si="16" ref="B100:G100">+B94-B95-B96-B97-B98-B101-B99</f>
        <v>909.8754564089686</v>
      </c>
      <c r="C100" s="58">
        <f t="shared" si="16"/>
        <v>945.816920383244</v>
      </c>
      <c r="D100" s="58">
        <f t="shared" si="16"/>
        <v>1021.1263915702912</v>
      </c>
      <c r="E100" s="64">
        <f t="shared" si="16"/>
        <v>1004.7460216314976</v>
      </c>
      <c r="F100" s="58">
        <f t="shared" si="16"/>
        <v>1042.4256809946164</v>
      </c>
      <c r="G100" s="58">
        <f t="shared" si="16"/>
        <v>1065.7877947300003</v>
      </c>
      <c r="H100" s="58">
        <f>+H94-H95-H96-H97-H98-H101-H99</f>
        <v>0</v>
      </c>
      <c r="I100" s="58">
        <f>+I94-I95-I96-I97-I98-I101-I99</f>
        <v>0</v>
      </c>
    </row>
    <row r="101" spans="1:9" ht="15">
      <c r="A101" s="43" t="str">
        <f>HLOOKUP(INDICE!$F$2,Nombres!$C$3:$D$636,282,FALSE)</f>
        <v>Dotación de capital regulatorio</v>
      </c>
      <c r="B101" s="58">
        <v>3737.2823076407285</v>
      </c>
      <c r="C101" s="58">
        <v>4006.344392398128</v>
      </c>
      <c r="D101" s="58">
        <v>4168.607974932836</v>
      </c>
      <c r="E101" s="64">
        <v>4323.554833023547</v>
      </c>
      <c r="F101" s="58">
        <v>4183.463912299558</v>
      </c>
      <c r="G101" s="58">
        <v>4039.0305003299995</v>
      </c>
      <c r="H101" s="58">
        <v>0</v>
      </c>
      <c r="I101" s="58">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87" t="str">
        <f>HLOOKUP(INDICE!$F$2,Nombres!$C$3:$D$636,66,FALSE)</f>
        <v>Préstamos y anticipos a la clientela bruto (*)</v>
      </c>
      <c r="B107" s="44">
        <v>31956.898621636716</v>
      </c>
      <c r="C107" s="44">
        <v>32084.938585771186</v>
      </c>
      <c r="D107" s="44">
        <v>34563.52376006381</v>
      </c>
      <c r="E107" s="45">
        <v>37421.29561519572</v>
      </c>
      <c r="F107" s="44">
        <v>36206.15197884811</v>
      </c>
      <c r="G107" s="44">
        <v>36407.027642999994</v>
      </c>
      <c r="H107" s="44">
        <v>0</v>
      </c>
      <c r="I107" s="44">
        <v>0</v>
      </c>
    </row>
    <row r="108" spans="1:9" ht="15">
      <c r="A108" s="87" t="str">
        <f>HLOOKUP(INDICE!$F$2,Nombres!$C$3:$D$636,67,FALSE)</f>
        <v>Depósitos de clientes en gestión (**)</v>
      </c>
      <c r="B108" s="44">
        <v>6746.510661830345</v>
      </c>
      <c r="C108" s="44">
        <v>7602.301798812188</v>
      </c>
      <c r="D108" s="44">
        <v>8360.443646559008</v>
      </c>
      <c r="E108" s="45">
        <v>9772.63822920672</v>
      </c>
      <c r="F108" s="44">
        <v>10082.860134845901</v>
      </c>
      <c r="G108" s="44">
        <v>10470.415052</v>
      </c>
      <c r="H108" s="44">
        <v>0</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87" t="str">
        <f>HLOOKUP(INDICE!$F$2,Nombres!$C$3:$D$636,69,FALSE)</f>
        <v>Fondos de pensiones</v>
      </c>
      <c r="B110" s="44">
        <v>580.94406159</v>
      </c>
      <c r="C110" s="44">
        <v>522.57530376</v>
      </c>
      <c r="D110" s="44">
        <v>523.75088513</v>
      </c>
      <c r="E110" s="45">
        <v>520.1</v>
      </c>
      <c r="F110" s="44">
        <v>510</v>
      </c>
      <c r="G110" s="44">
        <v>505.7343251</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73" ht="15">
      <c r="J173" s="73"/>
    </row>
    <row r="174" ht="15">
      <c r="J174" s="73"/>
    </row>
    <row r="175" ht="15">
      <c r="J175" s="73"/>
    </row>
    <row r="176" ht="15">
      <c r="J176" s="73"/>
    </row>
    <row r="177" ht="15">
      <c r="J177" s="73"/>
    </row>
    <row r="178" ht="15">
      <c r="J178" s="73"/>
    </row>
    <row r="179" ht="15">
      <c r="J179" s="73"/>
    </row>
    <row r="180" ht="15">
      <c r="J180" s="73"/>
    </row>
    <row r="1000" ht="15">
      <c r="A1000" s="31" t="s">
        <v>391</v>
      </c>
    </row>
  </sheetData>
  <sheetProtection/>
  <mergeCells count="4">
    <mergeCell ref="B6:E6"/>
    <mergeCell ref="B62:E62"/>
    <mergeCell ref="F6:I6"/>
    <mergeCell ref="F62:I62"/>
  </mergeCells>
  <conditionalFormatting sqref="H26:I26">
    <cfRule type="cellIs" priority="4" dxfId="196" operator="notBetween">
      <formula>0.5</formula>
      <formula>-0.5</formula>
    </cfRule>
  </conditionalFormatting>
  <conditionalFormatting sqref="H82:I82">
    <cfRule type="cellIs" priority="3" dxfId="196" operator="notBetween">
      <formula>0.5</formula>
      <formula>-0.5</formula>
    </cfRule>
  </conditionalFormatting>
  <conditionalFormatting sqref="B26:G26">
    <cfRule type="cellIs" priority="2" dxfId="196" operator="notBetween">
      <formula>0.5</formula>
      <formula>-0.5</formula>
    </cfRule>
  </conditionalFormatting>
  <conditionalFormatting sqref="B82:G82">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3"/>
  <sheetViews>
    <sheetView showGridLines="0" zoomScalePageLayoutView="0" workbookViewId="0" topLeftCell="A1">
      <selection activeCell="A1" sqref="A1"/>
    </sheetView>
  </sheetViews>
  <sheetFormatPr defaultColWidth="11.421875" defaultRowHeight="15"/>
  <cols>
    <col min="1" max="1" width="63.7109375" style="31" customWidth="1"/>
    <col min="2" max="2" width="10.421875" style="31" customWidth="1"/>
    <col min="3" max="7" width="11.421875" style="31" customWidth="1"/>
    <col min="8" max="9" width="0" style="31" hidden="1" customWidth="1"/>
    <col min="10" max="16384" width="11.421875" style="31" customWidth="1"/>
  </cols>
  <sheetData>
    <row r="1" spans="1:9" ht="18">
      <c r="A1" s="82"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-37.44158863</v>
      </c>
      <c r="C8" s="41">
        <v>-26.304314039999994</v>
      </c>
      <c r="D8" s="41">
        <v>-33.65283639000001</v>
      </c>
      <c r="E8" s="42">
        <v>-11.980661919999985</v>
      </c>
      <c r="F8" s="50">
        <v>-60.19247545999997</v>
      </c>
      <c r="G8" s="50">
        <v>-80.07112029999983</v>
      </c>
      <c r="H8" s="237">
        <v>0</v>
      </c>
      <c r="I8" s="237">
        <v>0</v>
      </c>
      <c r="K8" s="86"/>
      <c r="L8" s="86"/>
      <c r="M8" s="86"/>
      <c r="N8" s="86"/>
      <c r="O8" s="86"/>
    </row>
    <row r="9" spans="1:9" ht="15">
      <c r="A9" s="87" t="str">
        <f>HLOOKUP(INDICE!$F$2,Nombres!$C$3:$D$636,34,FALSE)</f>
        <v>Comisiones netas</v>
      </c>
      <c r="B9" s="44">
        <v>-4.108953000000003</v>
      </c>
      <c r="C9" s="44">
        <v>-15.899757689999994</v>
      </c>
      <c r="D9" s="44">
        <v>-5.189033879999994</v>
      </c>
      <c r="E9" s="45">
        <v>-6.292039130000012</v>
      </c>
      <c r="F9" s="44">
        <v>-4.1671913699999985</v>
      </c>
      <c r="G9" s="44">
        <v>-25.617291220000002</v>
      </c>
      <c r="H9" s="44">
        <v>0</v>
      </c>
      <c r="I9" s="44">
        <v>0</v>
      </c>
    </row>
    <row r="10" spans="1:9" ht="15">
      <c r="A10" s="87" t="str">
        <f>HLOOKUP(INDICE!$F$2,Nombres!$C$3:$D$636,35,FALSE)</f>
        <v>Resultados de operaciones financieras</v>
      </c>
      <c r="B10" s="44">
        <v>-38.32611592999999</v>
      </c>
      <c r="C10" s="44">
        <v>-83.02728771000001</v>
      </c>
      <c r="D10" s="44">
        <v>41.07349616</v>
      </c>
      <c r="E10" s="45">
        <v>-213.27071101</v>
      </c>
      <c r="F10" s="44">
        <v>-258.0444603</v>
      </c>
      <c r="G10" s="44">
        <v>-337.28961167</v>
      </c>
      <c r="H10" s="44">
        <v>0</v>
      </c>
      <c r="I10" s="44">
        <v>0</v>
      </c>
    </row>
    <row r="11" spans="1:9" ht="15">
      <c r="A11" s="87" t="str">
        <f>HLOOKUP(INDICE!$F$2,Nombres!$C$3:$D$636,36,FALSE)</f>
        <v>Otros ingresos y cargas de explotación</v>
      </c>
      <c r="B11" s="44">
        <v>0.7530593200000038</v>
      </c>
      <c r="C11" s="44">
        <v>57.714178360000034</v>
      </c>
      <c r="D11" s="44">
        <v>0.23982089000019524</v>
      </c>
      <c r="E11" s="45">
        <v>46.59438856000013</v>
      </c>
      <c r="F11" s="44">
        <v>11.420035000000077</v>
      </c>
      <c r="G11" s="44">
        <v>38.14031287000003</v>
      </c>
      <c r="H11" s="44">
        <v>0</v>
      </c>
      <c r="I11" s="44">
        <v>0</v>
      </c>
    </row>
    <row r="12" spans="1:9" ht="15">
      <c r="A12" s="41" t="str">
        <f>HLOOKUP(INDICE!$F$2,Nombres!$C$3:$D$636,37,FALSE)</f>
        <v>Margen bruto</v>
      </c>
      <c r="B12" s="41">
        <f aca="true" t="shared" si="0" ref="B12:G12">+SUM(B8:B11)</f>
        <v>-79.12359823999998</v>
      </c>
      <c r="C12" s="41">
        <f t="shared" si="0"/>
        <v>-67.51718107999997</v>
      </c>
      <c r="D12" s="41">
        <f t="shared" si="0"/>
        <v>2.4714467800001847</v>
      </c>
      <c r="E12" s="42">
        <f t="shared" si="0"/>
        <v>-184.9490234999999</v>
      </c>
      <c r="F12" s="50">
        <f t="shared" si="0"/>
        <v>-310.9840921299999</v>
      </c>
      <c r="G12" s="50">
        <f t="shared" si="0"/>
        <v>-404.8377103199998</v>
      </c>
      <c r="H12" s="50">
        <f>+SUM(H8:H11)</f>
        <v>0</v>
      </c>
      <c r="I12" s="50">
        <f>+SUM(I8:I11)</f>
        <v>0</v>
      </c>
    </row>
    <row r="13" spans="1:9" ht="15">
      <c r="A13" s="87" t="str">
        <f>HLOOKUP(INDICE!$F$2,Nombres!$C$3:$D$636,38,FALSE)</f>
        <v>Gastos de explotación</v>
      </c>
      <c r="B13" s="44">
        <v>-187.23590084000006</v>
      </c>
      <c r="C13" s="44">
        <v>-204.66321264</v>
      </c>
      <c r="D13" s="44">
        <v>-201.3267019</v>
      </c>
      <c r="E13" s="45">
        <v>-259.01776479</v>
      </c>
      <c r="F13" s="44">
        <v>-205.34563378</v>
      </c>
      <c r="G13" s="44">
        <v>-208.26869445</v>
      </c>
      <c r="H13" s="44">
        <v>0</v>
      </c>
      <c r="I13" s="44">
        <v>0</v>
      </c>
    </row>
    <row r="14" spans="1:9" ht="15">
      <c r="A14" s="87" t="str">
        <f>HLOOKUP(INDICE!$F$2,Nombres!$C$3:$D$636,39,FALSE)</f>
        <v>  Gastos de administración</v>
      </c>
      <c r="B14" s="44">
        <v>-139.01735248</v>
      </c>
      <c r="C14" s="44">
        <v>-154.64129988000002</v>
      </c>
      <c r="D14" s="44">
        <v>-150.35111654</v>
      </c>
      <c r="E14" s="45">
        <v>-202.69412842999998</v>
      </c>
      <c r="F14" s="44">
        <v>-155.08231451999998</v>
      </c>
      <c r="G14" s="44">
        <v>-157.62484308999996</v>
      </c>
      <c r="H14" s="44">
        <v>0</v>
      </c>
      <c r="I14" s="44">
        <v>0</v>
      </c>
    </row>
    <row r="15" spans="1:9" ht="15">
      <c r="A15" s="88" t="str">
        <f>HLOOKUP(INDICE!$F$2,Nombres!$C$3:$D$636,40,FALSE)</f>
        <v>  Gastos de personal</v>
      </c>
      <c r="B15" s="44">
        <v>-130.48242359</v>
      </c>
      <c r="C15" s="44">
        <v>-141.20892501999998</v>
      </c>
      <c r="D15" s="44">
        <v>-143.46707383</v>
      </c>
      <c r="E15" s="45">
        <v>-205.83660245000002</v>
      </c>
      <c r="F15" s="44">
        <v>-151.16689345999998</v>
      </c>
      <c r="G15" s="44">
        <v>-156.76136226</v>
      </c>
      <c r="H15" s="44">
        <v>0</v>
      </c>
      <c r="I15" s="44">
        <v>0</v>
      </c>
    </row>
    <row r="16" spans="1:9" ht="15">
      <c r="A16" s="88" t="str">
        <f>HLOOKUP(INDICE!$F$2,Nombres!$C$3:$D$636,41,FALSE)</f>
        <v>  Otros gastos de administración</v>
      </c>
      <c r="B16" s="44">
        <v>-8.534928890000026</v>
      </c>
      <c r="C16" s="44">
        <v>-13.43237486</v>
      </c>
      <c r="D16" s="44">
        <v>-6.88404271000001</v>
      </c>
      <c r="E16" s="45">
        <v>3.1424740200000256</v>
      </c>
      <c r="F16" s="44">
        <v>-3.915421059999998</v>
      </c>
      <c r="G16" s="44">
        <v>-0.8634808299999559</v>
      </c>
      <c r="H16" s="44">
        <v>0</v>
      </c>
      <c r="I16" s="44">
        <v>0</v>
      </c>
    </row>
    <row r="17" spans="1:9" ht="15">
      <c r="A17" s="87" t="str">
        <f>HLOOKUP(INDICE!$F$2,Nombres!$C$3:$D$636,42,FALSE)</f>
        <v>  Amortización</v>
      </c>
      <c r="B17" s="44">
        <v>-48.21854836</v>
      </c>
      <c r="C17" s="44">
        <v>-50.021912760000006</v>
      </c>
      <c r="D17" s="44">
        <v>-50.975585360000004</v>
      </c>
      <c r="E17" s="45">
        <v>-56.32363636</v>
      </c>
      <c r="F17" s="44">
        <v>-50.26331926</v>
      </c>
      <c r="G17" s="44">
        <v>-50.64385136</v>
      </c>
      <c r="H17" s="44">
        <v>0</v>
      </c>
      <c r="I17" s="44">
        <v>0</v>
      </c>
    </row>
    <row r="18" spans="1:9" ht="15">
      <c r="A18" s="41" t="str">
        <f>HLOOKUP(INDICE!$F$2,Nombres!$C$3:$D$636,43,FALSE)</f>
        <v>Margen neto</v>
      </c>
      <c r="B18" s="41">
        <f aca="true" t="shared" si="1" ref="B18:G18">+B12+B13</f>
        <v>-266.35949908000003</v>
      </c>
      <c r="C18" s="41">
        <f t="shared" si="1"/>
        <v>-272.18039372</v>
      </c>
      <c r="D18" s="41">
        <f t="shared" si="1"/>
        <v>-198.8552551199998</v>
      </c>
      <c r="E18" s="42">
        <f t="shared" si="1"/>
        <v>-443.9667882899999</v>
      </c>
      <c r="F18" s="50">
        <f t="shared" si="1"/>
        <v>-516.3297259099999</v>
      </c>
      <c r="G18" s="50">
        <f t="shared" si="1"/>
        <v>-613.1064047699998</v>
      </c>
      <c r="H18" s="50">
        <f>+H12+H13</f>
        <v>0</v>
      </c>
      <c r="I18" s="50">
        <f>+I12+I13</f>
        <v>0</v>
      </c>
    </row>
    <row r="19" spans="1:9" ht="15">
      <c r="A19" s="87" t="str">
        <f>HLOOKUP(INDICE!$F$2,Nombres!$C$3:$D$636,44,FALSE)</f>
        <v>Deterioro de activos financieros no valorados a valor razonable con cambios en resultados</v>
      </c>
      <c r="B19" s="44">
        <v>0.74508293</v>
      </c>
      <c r="C19" s="44">
        <v>0.28673723999999995</v>
      </c>
      <c r="D19" s="44">
        <v>-2.07908389</v>
      </c>
      <c r="E19" s="45">
        <v>-0.67203052</v>
      </c>
      <c r="F19" s="44">
        <v>0.1412139699999996</v>
      </c>
      <c r="G19" s="44">
        <v>-0.040354680000000004</v>
      </c>
      <c r="H19" s="44">
        <v>0</v>
      </c>
      <c r="I19" s="44">
        <v>0</v>
      </c>
    </row>
    <row r="20" spans="1:9" ht="15">
      <c r="A20" s="87" t="str">
        <f>HLOOKUP(INDICE!$F$2,Nombres!$C$3:$D$636,45,FALSE)</f>
        <v>Provisiones o reversión de provisiones y otros resultados</v>
      </c>
      <c r="B20" s="44">
        <v>10.601681679999999</v>
      </c>
      <c r="C20" s="44">
        <v>-5.445596379999988</v>
      </c>
      <c r="D20" s="44">
        <v>-8.048661459999902</v>
      </c>
      <c r="E20" s="45">
        <v>11.297974309999859</v>
      </c>
      <c r="F20" s="44">
        <v>-2.6892537799999974</v>
      </c>
      <c r="G20" s="44">
        <v>8.569811300000001</v>
      </c>
      <c r="H20" s="44">
        <v>0</v>
      </c>
      <c r="I20" s="44">
        <v>0</v>
      </c>
    </row>
    <row r="21" spans="1:9" ht="15">
      <c r="A21" s="89" t="str">
        <f>HLOOKUP(INDICE!$F$2,Nombres!$C$3:$D$636,46,FALSE)</f>
        <v>Resultado antes de impuestos</v>
      </c>
      <c r="B21" s="41">
        <f aca="true" t="shared" si="2" ref="B21:G21">+B18+B19+B20</f>
        <v>-255.01273447</v>
      </c>
      <c r="C21" s="41">
        <f t="shared" si="2"/>
        <v>-277.33925286</v>
      </c>
      <c r="D21" s="41">
        <f t="shared" si="2"/>
        <v>-208.9830004699997</v>
      </c>
      <c r="E21" s="42">
        <f t="shared" si="2"/>
        <v>-433.34084450000006</v>
      </c>
      <c r="F21" s="50">
        <f t="shared" si="2"/>
        <v>-518.8777657199998</v>
      </c>
      <c r="G21" s="50">
        <f t="shared" si="2"/>
        <v>-604.5769481499998</v>
      </c>
      <c r="H21" s="50">
        <f>+H18+H19+H20</f>
        <v>0</v>
      </c>
      <c r="I21" s="50">
        <f>+I18+I19+I20</f>
        <v>0</v>
      </c>
    </row>
    <row r="22" spans="1:9" ht="15">
      <c r="A22" s="43" t="str">
        <f>HLOOKUP(INDICE!$F$2,Nombres!$C$3:$D$636,47,FALSE)</f>
        <v>Impuesto sobre beneficios</v>
      </c>
      <c r="B22" s="44">
        <v>46.16326183000002</v>
      </c>
      <c r="C22" s="44">
        <v>247.97867906</v>
      </c>
      <c r="D22" s="44">
        <v>-126.40814309999999</v>
      </c>
      <c r="E22" s="45">
        <v>109.23608410999998</v>
      </c>
      <c r="F22" s="44">
        <v>-9.039560230000006</v>
      </c>
      <c r="G22" s="44">
        <v>48.16364668000003</v>
      </c>
      <c r="H22" s="44">
        <v>0</v>
      </c>
      <c r="I22" s="44">
        <v>0</v>
      </c>
    </row>
    <row r="23" spans="1:9" ht="15">
      <c r="A23" s="41" t="str">
        <f>HLOOKUP(INDICE!$F$2,Nombres!$C$3:$D$636,48,FALSE)</f>
        <v>Resultado del ejercicio</v>
      </c>
      <c r="B23" s="41">
        <f aca="true" t="shared" si="3" ref="B23:G23">+B21+B22</f>
        <v>-208.84947264</v>
      </c>
      <c r="C23" s="41">
        <f t="shared" si="3"/>
        <v>-29.360573799999997</v>
      </c>
      <c r="D23" s="41">
        <f t="shared" si="3"/>
        <v>-335.3911435699997</v>
      </c>
      <c r="E23" s="42">
        <f t="shared" si="3"/>
        <v>-324.1047603900001</v>
      </c>
      <c r="F23" s="50">
        <f t="shared" si="3"/>
        <v>-527.9173259499998</v>
      </c>
      <c r="G23" s="50">
        <f t="shared" si="3"/>
        <v>-556.4133014699997</v>
      </c>
      <c r="H23" s="50">
        <f>+H21+H22</f>
        <v>0</v>
      </c>
      <c r="I23" s="50">
        <f>+I21+I22</f>
        <v>0</v>
      </c>
    </row>
    <row r="24" spans="1:9" ht="15">
      <c r="A24" s="43" t="str">
        <f>HLOOKUP(INDICE!$F$2,Nombres!$C$3:$D$636,49,FALSE)</f>
        <v>Minoritarios</v>
      </c>
      <c r="B24" s="44">
        <v>-6.266600769999999</v>
      </c>
      <c r="C24" s="44">
        <v>14.166734980000003</v>
      </c>
      <c r="D24" s="44">
        <v>-0.42464304</v>
      </c>
      <c r="E24" s="45">
        <v>-32.16901922</v>
      </c>
      <c r="F24" s="44">
        <v>-3.49760337</v>
      </c>
      <c r="G24" s="44">
        <v>16.015992979999996</v>
      </c>
      <c r="H24" s="44">
        <v>0</v>
      </c>
      <c r="I24" s="44">
        <v>0</v>
      </c>
    </row>
    <row r="25" spans="1:9" ht="15">
      <c r="A25" s="47" t="str">
        <f>HLOOKUP(INDICE!$F$2,Nombres!$C$3:$D$636,50,FALSE)</f>
        <v>Resultado atribuido</v>
      </c>
      <c r="B25" s="47">
        <f aca="true" t="shared" si="4" ref="B25:I25">+B23+B24</f>
        <v>-215.11607340999998</v>
      </c>
      <c r="C25" s="47">
        <f t="shared" si="4"/>
        <v>-15.193838819999995</v>
      </c>
      <c r="D25" s="47">
        <f t="shared" si="4"/>
        <v>-335.8157866099997</v>
      </c>
      <c r="E25" s="47">
        <f t="shared" si="4"/>
        <v>-356.2737796100001</v>
      </c>
      <c r="F25" s="47">
        <f t="shared" si="4"/>
        <v>-531.4149293199998</v>
      </c>
      <c r="G25" s="47">
        <f t="shared" si="4"/>
        <v>-540.3973084899998</v>
      </c>
      <c r="H25" s="47">
        <f t="shared" si="4"/>
        <v>0</v>
      </c>
      <c r="I25" s="47">
        <f t="shared" si="4"/>
        <v>0</v>
      </c>
    </row>
    <row r="26" spans="1:9" ht="15">
      <c r="A26" s="294" t="s">
        <v>545</v>
      </c>
      <c r="B26" s="44"/>
      <c r="C26" s="44"/>
      <c r="D26" s="44"/>
      <c r="E26" s="44"/>
      <c r="F26" s="44"/>
      <c r="G26" s="44"/>
      <c r="H26" s="44"/>
      <c r="I26" s="44"/>
    </row>
    <row r="27" spans="1:9" ht="15">
      <c r="A27" s="300"/>
      <c r="B27" s="300"/>
      <c r="C27" s="300"/>
      <c r="D27" s="300"/>
      <c r="E27" s="300"/>
      <c r="F27" s="300"/>
      <c r="G27" s="300"/>
      <c r="H27" s="300"/>
      <c r="I27" s="300"/>
    </row>
    <row r="28" spans="1:9" ht="15">
      <c r="A28" s="300"/>
      <c r="B28" s="300"/>
      <c r="C28" s="300"/>
      <c r="D28" s="300"/>
      <c r="E28" s="300"/>
      <c r="F28" s="300"/>
      <c r="G28" s="300"/>
      <c r="H28" s="300"/>
      <c r="I28" s="300"/>
    </row>
    <row r="29" spans="1:9" ht="15">
      <c r="A29" s="41"/>
      <c r="B29" s="63" t="e">
        <v>#REF!</v>
      </c>
      <c r="C29" s="63" t="e">
        <v>#REF!</v>
      </c>
      <c r="D29" s="63" t="e">
        <v>#REF!</v>
      </c>
      <c r="E29" s="63" t="e">
        <v>#REF!</v>
      </c>
      <c r="F29" s="63" t="e">
        <v>#REF!</v>
      </c>
      <c r="G29" s="63" t="e">
        <v>#REF!</v>
      </c>
      <c r="H29" s="63" t="e">
        <v>#REF!</v>
      </c>
      <c r="I29" s="63" t="e">
        <v>#REF!</v>
      </c>
    </row>
    <row r="30" spans="1:9" ht="15">
      <c r="A30" s="41"/>
      <c r="B30" s="41"/>
      <c r="C30" s="41"/>
      <c r="D30" s="41"/>
      <c r="E30" s="41"/>
      <c r="F30" s="41"/>
      <c r="G30" s="41"/>
      <c r="H30" s="41"/>
      <c r="I30" s="41"/>
    </row>
    <row r="31" spans="1:9" ht="15" customHeight="1">
      <c r="A31" s="92" t="str">
        <f>HLOOKUP(INDICE!$F$2,Nombres!$C$3:$D$636,51,FALSE)</f>
        <v>Balances</v>
      </c>
      <c r="B31" s="34"/>
      <c r="C31" s="34"/>
      <c r="D31" s="34"/>
      <c r="E31" s="34"/>
      <c r="F31" s="80"/>
      <c r="G31" s="80"/>
      <c r="H31" s="80"/>
      <c r="I31" s="80"/>
    </row>
    <row r="32" spans="1:9" ht="14.25" customHeight="1">
      <c r="A32" s="83" t="str">
        <f>HLOOKUP(INDICE!$F$2,Nombres!$C$3:$D$636,32,FALSE)</f>
        <v>(Millones de euros)</v>
      </c>
      <c r="B32" s="30"/>
      <c r="C32" s="52"/>
      <c r="D32" s="52"/>
      <c r="E32" s="52"/>
      <c r="F32" s="78"/>
      <c r="G32" s="76"/>
      <c r="H32" s="76"/>
      <c r="I32" s="76"/>
    </row>
    <row r="33" spans="1:9" ht="14.25" customHeight="1">
      <c r="A33" s="30"/>
      <c r="B33" s="53">
        <f>+España!B32</f>
        <v>44651</v>
      </c>
      <c r="C33" s="53">
        <f>+España!C32</f>
        <v>44742</v>
      </c>
      <c r="D33" s="53">
        <f>+España!D32</f>
        <v>44834</v>
      </c>
      <c r="E33" s="67">
        <f>+España!E32</f>
        <v>44926</v>
      </c>
      <c r="F33" s="53">
        <f>+España!F32</f>
        <v>45016</v>
      </c>
      <c r="G33" s="53">
        <f>+España!G32</f>
        <v>45107</v>
      </c>
      <c r="H33" s="53">
        <f>+España!H32</f>
        <v>45199</v>
      </c>
      <c r="I33" s="53">
        <f>+España!I32</f>
        <v>45291</v>
      </c>
    </row>
    <row r="34" spans="1:9" ht="15">
      <c r="A34" s="87" t="str">
        <f>HLOOKUP(INDICE!$F$2,Nombres!$C$3:$D$636,52,FALSE)</f>
        <v>Efectivo, saldos en efectivo en bancos centrales y otros depósitos a la vista</v>
      </c>
      <c r="B34" s="44">
        <v>8607.665282</v>
      </c>
      <c r="C34" s="44">
        <v>6308.679373</v>
      </c>
      <c r="D34" s="44">
        <v>876.1439949999999</v>
      </c>
      <c r="E34" s="45">
        <v>855.682995</v>
      </c>
      <c r="F34" s="44">
        <v>565.938993</v>
      </c>
      <c r="G34" s="44">
        <v>633.972997</v>
      </c>
      <c r="H34" s="44">
        <v>0</v>
      </c>
      <c r="I34" s="44">
        <v>0</v>
      </c>
    </row>
    <row r="35" spans="1:9" ht="15">
      <c r="A35" s="87" t="str">
        <f>HLOOKUP(INDICE!$F$2,Nombres!$C$3:$D$636,53,FALSE)</f>
        <v>Activos financieros a valor razonable</v>
      </c>
      <c r="B35" s="58">
        <v>2680.3512664500004</v>
      </c>
      <c r="C35" s="58">
        <v>2810.71222701</v>
      </c>
      <c r="D35" s="58">
        <v>2590.5027934299997</v>
      </c>
      <c r="E35" s="64">
        <v>2390.43420718</v>
      </c>
      <c r="F35" s="58">
        <v>2427.10285544</v>
      </c>
      <c r="G35" s="58">
        <v>2457.24406754</v>
      </c>
      <c r="H35" s="58">
        <v>0</v>
      </c>
      <c r="I35" s="58">
        <v>0</v>
      </c>
    </row>
    <row r="36" spans="1:9" ht="15">
      <c r="A36" s="43" t="str">
        <f>HLOOKUP(INDICE!$F$2,Nombres!$C$3:$D$636,54,FALSE)</f>
        <v>Activos financieros a coste amortizado</v>
      </c>
      <c r="B36" s="44">
        <v>1331.3924940000002</v>
      </c>
      <c r="C36" s="44">
        <v>1044.3898189999998</v>
      </c>
      <c r="D36" s="44">
        <v>2160.458094</v>
      </c>
      <c r="E36" s="45">
        <v>3261.53742368</v>
      </c>
      <c r="F36" s="44">
        <v>3742.0746883599995</v>
      </c>
      <c r="G36" s="44">
        <v>3515.37920136</v>
      </c>
      <c r="H36" s="44">
        <v>0</v>
      </c>
      <c r="I36" s="44">
        <v>0</v>
      </c>
    </row>
    <row r="37" spans="1:9" ht="15">
      <c r="A37" s="87" t="str">
        <f>HLOOKUP(INDICE!$F$2,Nombres!$C$3:$D$636,55,FALSE)</f>
        <v>    de los que préstamos y anticipos a la clientela</v>
      </c>
      <c r="B37" s="44">
        <v>500.66907799999996</v>
      </c>
      <c r="C37" s="44">
        <v>343.35233900000003</v>
      </c>
      <c r="D37" s="44">
        <v>160.81775499999995</v>
      </c>
      <c r="E37" s="45">
        <v>277.87614967999997</v>
      </c>
      <c r="F37" s="44">
        <v>402.21734835999996</v>
      </c>
      <c r="G37" s="44">
        <v>250.45107235999998</v>
      </c>
      <c r="H37" s="44">
        <v>0</v>
      </c>
      <c r="I37" s="44">
        <v>0</v>
      </c>
    </row>
    <row r="38" spans="1:9" ht="15">
      <c r="A38" s="87" t="str">
        <f>HLOOKUP(INDICE!$F$2,Nombres!$C$3:$D$636,121,FALSE)</f>
        <v>Posiciones inter-áreas activo</v>
      </c>
      <c r="B38" s="44">
        <v>-0.002000100001168903</v>
      </c>
      <c r="C38" s="44">
        <v>-0.0030062300065765157</v>
      </c>
      <c r="D38" s="44">
        <v>-0.00013718999980483204</v>
      </c>
      <c r="E38" s="45">
        <v>0</v>
      </c>
      <c r="F38" s="44">
        <v>0</v>
      </c>
      <c r="G38" s="44">
        <v>0.020478949998505414</v>
      </c>
      <c r="H38" s="44">
        <v>0</v>
      </c>
      <c r="I38" s="44">
        <v>0</v>
      </c>
    </row>
    <row r="39" spans="1:9" ht="15">
      <c r="A39" s="43" t="str">
        <f>HLOOKUP(INDICE!$F$2,Nombres!$C$3:$D$636,56,FALSE)</f>
        <v>Activos tangibles</v>
      </c>
      <c r="B39" s="44">
        <v>1914.414337</v>
      </c>
      <c r="C39" s="44">
        <v>1898.168142</v>
      </c>
      <c r="D39" s="44">
        <v>1888.460861</v>
      </c>
      <c r="E39" s="45">
        <v>1862.5588940000002</v>
      </c>
      <c r="F39" s="44">
        <v>1753.782907</v>
      </c>
      <c r="G39" s="44">
        <v>1745.802595</v>
      </c>
      <c r="H39" s="44">
        <v>0</v>
      </c>
      <c r="I39" s="44">
        <v>0</v>
      </c>
    </row>
    <row r="40" spans="1:9" ht="15">
      <c r="A40" s="87" t="str">
        <f>HLOOKUP(INDICE!$F$2,Nombres!$C$3:$D$636,57,FALSE)</f>
        <v>Otros activos</v>
      </c>
      <c r="B40" s="44">
        <v>14769.27883025</v>
      </c>
      <c r="C40" s="44">
        <v>14039.35487528</v>
      </c>
      <c r="D40" s="44">
        <v>13992.462844140002</v>
      </c>
      <c r="E40" s="45">
        <v>14348.672601119997</v>
      </c>
      <c r="F40" s="44">
        <v>13906.70530885</v>
      </c>
      <c r="G40" s="44">
        <v>14558.064413920003</v>
      </c>
      <c r="H40" s="44">
        <v>0</v>
      </c>
      <c r="I40" s="44">
        <v>0</v>
      </c>
    </row>
    <row r="41" spans="1:9" ht="15">
      <c r="A41" s="90" t="str">
        <f>HLOOKUP(INDICE!$F$2,Nombres!$C$3:$D$636,58,FALSE)</f>
        <v>Total activo / pasivo</v>
      </c>
      <c r="B41" s="51">
        <f aca="true" t="shared" si="5" ref="B41:G41">+B34+B35+B36+B38+B39+B40</f>
        <v>29303.100209599997</v>
      </c>
      <c r="C41" s="51">
        <f t="shared" si="5"/>
        <v>26101.301430059993</v>
      </c>
      <c r="D41" s="51">
        <f t="shared" si="5"/>
        <v>21508.02845038</v>
      </c>
      <c r="E41" s="79">
        <f t="shared" si="5"/>
        <v>22718.886120979998</v>
      </c>
      <c r="F41" s="51">
        <f t="shared" si="5"/>
        <v>22395.604752649997</v>
      </c>
      <c r="G41" s="51">
        <f t="shared" si="5"/>
        <v>22910.48375377</v>
      </c>
      <c r="H41" s="51">
        <f>+H34+H35+H36+H38+H39+H40</f>
        <v>0</v>
      </c>
      <c r="I41" s="51">
        <f>+I34+I35+I36+I38+I39+I40</f>
        <v>0</v>
      </c>
    </row>
    <row r="42" spans="1:9" ht="15">
      <c r="A42" s="87" t="str">
        <f>HLOOKUP(INDICE!$F$2,Nombres!$C$3:$D$636,59,FALSE)</f>
        <v>Pasivos financieros mantenidos para negociar y designados a valor razonable con cambios en resultados</v>
      </c>
      <c r="B42" s="44">
        <v>136.732597</v>
      </c>
      <c r="C42" s="44">
        <v>187.53462199999998</v>
      </c>
      <c r="D42" s="44">
        <v>251.74170099999998</v>
      </c>
      <c r="E42" s="45">
        <v>108.30249</v>
      </c>
      <c r="F42" s="44">
        <v>305.38960000000003</v>
      </c>
      <c r="G42" s="44">
        <v>404.35283499999997</v>
      </c>
      <c r="H42" s="44">
        <v>0</v>
      </c>
      <c r="I42" s="44">
        <v>0</v>
      </c>
    </row>
    <row r="43" spans="1:9" ht="15">
      <c r="A43" s="87" t="str">
        <f>HLOOKUP(INDICE!$F$2,Nombres!$C$3:$D$636,60,FALSE)</f>
        <v>Depósitos de bancos centrales y entidades de crédito</v>
      </c>
      <c r="B43" s="44">
        <v>762.66485</v>
      </c>
      <c r="C43" s="44">
        <v>778.6539009999999</v>
      </c>
      <c r="D43" s="44">
        <v>838.344961</v>
      </c>
      <c r="E43" s="45">
        <v>682.0508799999999</v>
      </c>
      <c r="F43" s="44">
        <v>698.46282</v>
      </c>
      <c r="G43" s="44">
        <v>694.3688250000001</v>
      </c>
      <c r="H43" s="44">
        <v>0</v>
      </c>
      <c r="I43" s="44">
        <v>0</v>
      </c>
    </row>
    <row r="44" spans="1:9" ht="15.75" customHeight="1">
      <c r="A44" s="87" t="str">
        <f>HLOOKUP(INDICE!$F$2,Nombres!$C$3:$D$636,61,FALSE)</f>
        <v>Depósitos de la clientela</v>
      </c>
      <c r="B44" s="44">
        <v>181.94271200000003</v>
      </c>
      <c r="C44" s="44">
        <v>191.02843900000002</v>
      </c>
      <c r="D44" s="44">
        <v>185.217965</v>
      </c>
      <c r="E44" s="45">
        <v>186.723229</v>
      </c>
      <c r="F44" s="44">
        <v>186.29189599999998</v>
      </c>
      <c r="G44" s="44">
        <v>184.620372</v>
      </c>
      <c r="H44" s="44">
        <v>0</v>
      </c>
      <c r="I44" s="44">
        <v>0</v>
      </c>
    </row>
    <row r="45" spans="1:9" ht="15">
      <c r="A45" s="43" t="str">
        <f>HLOOKUP(INDICE!$F$2,Nombres!$C$3:$D$636,62,FALSE)</f>
        <v>Valores representativos de deuda emitidos</v>
      </c>
      <c r="B45" s="44">
        <v>946.7578466500006</v>
      </c>
      <c r="C45" s="44">
        <v>-530.5565864599987</v>
      </c>
      <c r="D45" s="44">
        <v>-791.7168418800004</v>
      </c>
      <c r="E45" s="45">
        <v>-863.0435753099995</v>
      </c>
      <c r="F45" s="44">
        <v>-2057.209237410001</v>
      </c>
      <c r="G45" s="44">
        <v>-747.3980219799977</v>
      </c>
      <c r="H45" s="44">
        <v>0</v>
      </c>
      <c r="I45" s="44">
        <v>0</v>
      </c>
    </row>
    <row r="46" spans="1:9" ht="15">
      <c r="A46" s="87" t="str">
        <f>HLOOKUP(INDICE!$F$2,Nombres!$C$3:$D$636,122,FALSE)</f>
        <v>Posiciones inter-áreas pasivo</v>
      </c>
      <c r="B46" s="44">
        <v>9398.808465749997</v>
      </c>
      <c r="C46" s="44">
        <v>12084.000611639993</v>
      </c>
      <c r="D46" s="44">
        <v>7414.871566570002</v>
      </c>
      <c r="E46" s="45">
        <v>7963.45796353</v>
      </c>
      <c r="F46" s="44">
        <v>6785.9280819699925</v>
      </c>
      <c r="G46" s="44">
        <v>8217.685537900006</v>
      </c>
      <c r="H46" s="44">
        <v>0</v>
      </c>
      <c r="I46" s="44">
        <v>0</v>
      </c>
    </row>
    <row r="47" spans="1:9" ht="15">
      <c r="A47" s="43" t="str">
        <f>HLOOKUP(INDICE!$F$2,Nombres!$C$3:$D$636,63,FALSE)</f>
        <v>Otros pasivos</v>
      </c>
      <c r="B47" s="44">
        <f aca="true" t="shared" si="6" ref="B47:G47">+B41-B42-B43-B44-B45-B46-B49-B48</f>
        <v>6929.594503310003</v>
      </c>
      <c r="C47" s="44">
        <f t="shared" si="6"/>
        <v>5013.285594719986</v>
      </c>
      <c r="D47" s="44">
        <f t="shared" si="6"/>
        <v>4546.093360820007</v>
      </c>
      <c r="E47" s="45">
        <f t="shared" si="6"/>
        <v>4011.4971352000066</v>
      </c>
      <c r="F47" s="44">
        <f t="shared" si="6"/>
        <v>5918.073660059999</v>
      </c>
      <c r="G47" s="44">
        <f t="shared" si="6"/>
        <v>3665.0562260499864</v>
      </c>
      <c r="H47" s="44">
        <f>+H41-H42-H43-H44-H45-H46-H49-H48</f>
        <v>0</v>
      </c>
      <c r="I47" s="44">
        <f>+I41-I42-I43-I44-I45-I46-I49-I48</f>
        <v>0</v>
      </c>
    </row>
    <row r="48" spans="1:9" ht="15">
      <c r="A48" s="43" t="str">
        <f>HLOOKUP(INDICE!$F$2,Nombres!$C$3:$D$636,282,FALSE)</f>
        <v>Dotación de capital regulatorio</v>
      </c>
      <c r="B48" s="44">
        <f>-España!B47-Mexico!B45-Turquia!B45-AdS!B45-'Resto de Negocios'!B45</f>
        <v>-37900.75133455</v>
      </c>
      <c r="C48" s="44">
        <f>-España!C47-Mexico!C45-Turquia!C45-AdS!C45-'Resto de Negocios'!C45</f>
        <v>-40379.34771914</v>
      </c>
      <c r="D48" s="44">
        <f>-España!D47-Mexico!D45-Turquia!D45-AdS!D45-'Resto de Negocios'!D45</f>
        <v>-40769.42884406</v>
      </c>
      <c r="E48" s="45">
        <f>-España!E47-Mexico!E45-Turquia!E45-AdS!E45-'Resto de Negocios'!E45</f>
        <v>-39886.99657867</v>
      </c>
      <c r="F48" s="44">
        <f>-España!F47-Mexico!F45-Turquia!F45-AdS!F45-'Resto de Negocios'!F45</f>
        <v>-40912.61305891</v>
      </c>
      <c r="G48" s="44">
        <f>-España!G47-Mexico!G45-Turquia!G45-AdS!G45-'Resto de Negocios'!G45</f>
        <v>-42076.62302218001</v>
      </c>
      <c r="H48" s="44">
        <f>-España!H47-Mexico!H45-Turquia!H45-AdS!H45-'Resto de Negocios'!H45</f>
        <v>0</v>
      </c>
      <c r="I48" s="44">
        <f>-España!I47-Mexico!I45-Turquia!I45-AdS!I45-'Resto de Negocios'!I45</f>
        <v>0</v>
      </c>
    </row>
    <row r="49" spans="1:9" ht="15">
      <c r="A49" s="87" t="str">
        <f>HLOOKUP(INDICE!$F$2,Nombres!$C$3:$D$636,150,FALSE)</f>
        <v>Patrimonio neto</v>
      </c>
      <c r="B49" s="44">
        <v>48847.350569439994</v>
      </c>
      <c r="C49" s="44">
        <v>48756.70256730001</v>
      </c>
      <c r="D49" s="44">
        <v>49832.90458192999</v>
      </c>
      <c r="E49" s="45">
        <v>50516.89457722999</v>
      </c>
      <c r="F49" s="44">
        <v>51471.28099094001</v>
      </c>
      <c r="G49" s="44">
        <v>52568.42100198001</v>
      </c>
      <c r="H49" s="44">
        <v>0</v>
      </c>
      <c r="I49" s="44">
        <v>0</v>
      </c>
    </row>
    <row r="50" spans="1:9" ht="15">
      <c r="A50" s="43"/>
      <c r="B50" s="58"/>
      <c r="C50" s="58"/>
      <c r="D50" s="58"/>
      <c r="E50" s="58"/>
      <c r="F50" s="58"/>
      <c r="G50" s="58"/>
      <c r="H50" s="58"/>
      <c r="I50" s="58"/>
    </row>
    <row r="51" spans="1:9" ht="15">
      <c r="A51" s="43"/>
      <c r="B51" s="58"/>
      <c r="C51" s="58"/>
      <c r="D51" s="58"/>
      <c r="E51" s="58"/>
      <c r="F51" s="58"/>
      <c r="G51" s="58"/>
      <c r="H51" s="58"/>
      <c r="I51" s="58"/>
    </row>
    <row r="52" spans="1:9" ht="15">
      <c r="A52" s="43"/>
      <c r="B52" s="58"/>
      <c r="C52" s="58"/>
      <c r="D52" s="58"/>
      <c r="E52" s="58"/>
      <c r="F52" s="44"/>
      <c r="G52" s="44"/>
      <c r="H52" s="44"/>
      <c r="I52" s="44"/>
    </row>
    <row r="53" spans="1:9" ht="15">
      <c r="A53" s="43"/>
      <c r="B53" s="30"/>
      <c r="C53" s="295"/>
      <c r="D53" s="30"/>
      <c r="E53" s="30"/>
      <c r="F53" s="69"/>
      <c r="G53" s="44"/>
      <c r="H53" s="44"/>
      <c r="I53" s="44"/>
    </row>
    <row r="54" spans="1:9" ht="15.75">
      <c r="A54" s="43"/>
      <c r="B54" s="30"/>
      <c r="C54" s="53"/>
      <c r="D54" s="53"/>
      <c r="E54" s="53"/>
      <c r="F54" s="53"/>
      <c r="G54" s="53"/>
      <c r="H54" s="53"/>
      <c r="I54" s="53"/>
    </row>
    <row r="55" spans="1:9" ht="15">
      <c r="A55" s="43"/>
      <c r="B55" s="44"/>
      <c r="C55" s="44"/>
      <c r="D55" s="44"/>
      <c r="E55" s="44"/>
      <c r="F55" s="44"/>
      <c r="G55" s="44"/>
      <c r="H55" s="44"/>
      <c r="I55" s="44"/>
    </row>
    <row r="56" spans="1:9" ht="15">
      <c r="A56" s="41"/>
      <c r="B56" s="44"/>
      <c r="C56" s="44"/>
      <c r="D56" s="44"/>
      <c r="E56" s="44"/>
      <c r="F56" s="44"/>
      <c r="G56" s="44"/>
      <c r="H56" s="44"/>
      <c r="I56" s="44"/>
    </row>
    <row r="57" spans="1:9" ht="15">
      <c r="A57" s="43"/>
      <c r="B57" s="44"/>
      <c r="C57" s="44"/>
      <c r="D57" s="44"/>
      <c r="E57" s="44"/>
      <c r="F57" s="44"/>
      <c r="G57" s="44"/>
      <c r="H57" s="44"/>
      <c r="I57" s="44"/>
    </row>
    <row r="58" spans="1:9" ht="15">
      <c r="A58" s="43"/>
      <c r="B58" s="44"/>
      <c r="D58" s="44"/>
      <c r="E58" s="44"/>
      <c r="F58" s="44"/>
      <c r="G58" s="44"/>
      <c r="H58" s="44"/>
      <c r="I58" s="44"/>
    </row>
    <row r="59" spans="1:9" ht="15">
      <c r="A59" s="43"/>
      <c r="B59" s="44"/>
      <c r="D59" s="44"/>
      <c r="E59" s="44"/>
      <c r="F59" s="44"/>
      <c r="G59" s="44"/>
      <c r="H59" s="44"/>
      <c r="I59" s="44"/>
    </row>
    <row r="60" spans="1:9" ht="15">
      <c r="A60" s="62"/>
      <c r="B60" s="58"/>
      <c r="D60" s="58"/>
      <c r="E60" s="58"/>
      <c r="F60" s="44"/>
      <c r="G60" s="44"/>
      <c r="H60" s="44"/>
      <c r="I60" s="44"/>
    </row>
    <row r="61" spans="1:9" ht="15">
      <c r="A61" s="62"/>
      <c r="B61" s="58"/>
      <c r="D61" s="30"/>
      <c r="E61" s="30"/>
      <c r="F61" s="69"/>
      <c r="G61" s="69"/>
      <c r="H61" s="69"/>
      <c r="I61" s="69"/>
    </row>
    <row r="62" spans="1:9" ht="15">
      <c r="A62" s="62"/>
      <c r="B62" s="58"/>
      <c r="D62" s="30"/>
      <c r="E62" s="30"/>
      <c r="F62" s="69"/>
      <c r="G62" s="69"/>
      <c r="H62" s="69"/>
      <c r="I62" s="69"/>
    </row>
    <row r="63" spans="2:9" ht="15">
      <c r="B63" s="54"/>
      <c r="C63" s="54"/>
      <c r="D63" s="54"/>
      <c r="E63" s="73"/>
      <c r="F63" s="296"/>
      <c r="G63" s="81"/>
      <c r="H63" s="81"/>
      <c r="I63" s="81"/>
    </row>
    <row r="64" spans="2:9" ht="15">
      <c r="B64" s="54"/>
      <c r="F64" s="81"/>
      <c r="G64" s="81"/>
      <c r="H64" s="81"/>
      <c r="I64" s="81"/>
    </row>
    <row r="65" spans="2:9" ht="15">
      <c r="B65" s="54"/>
      <c r="F65" s="81"/>
      <c r="G65" s="81"/>
      <c r="H65" s="81"/>
      <c r="I65" s="81"/>
    </row>
    <row r="66" spans="2:9" ht="15">
      <c r="B66" s="54"/>
      <c r="F66" s="81"/>
      <c r="G66" s="81"/>
      <c r="H66" s="81"/>
      <c r="I66" s="81"/>
    </row>
    <row r="67" spans="2:9" ht="15">
      <c r="B67" s="54"/>
      <c r="F67" s="81"/>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6:9" ht="15">
      <c r="F71" s="81"/>
      <c r="G71" s="81"/>
      <c r="H71" s="81"/>
      <c r="I71" s="81"/>
    </row>
    <row r="72" spans="6:9" ht="15">
      <c r="F72" s="81"/>
      <c r="G72" s="81"/>
      <c r="H72" s="81"/>
      <c r="I72" s="81"/>
    </row>
    <row r="73" spans="6:9" ht="15">
      <c r="F73" s="81"/>
      <c r="G73" s="81"/>
      <c r="H73" s="81"/>
      <c r="I73" s="81"/>
    </row>
    <row r="74" spans="6:9" ht="15">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17" spans="6:9" ht="15">
      <c r="F117" s="81"/>
      <c r="G117" s="81"/>
      <c r="H117" s="81"/>
      <c r="I117" s="81"/>
    </row>
    <row r="118" spans="6:9" ht="15">
      <c r="F118" s="81"/>
      <c r="G118" s="81"/>
      <c r="H118" s="81"/>
      <c r="I118" s="81"/>
    </row>
    <row r="119" spans="6:9" ht="15">
      <c r="F119" s="81"/>
      <c r="G119" s="81"/>
      <c r="H119" s="81"/>
      <c r="I119" s="81"/>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sheetData>
  <sheetProtection/>
  <mergeCells count="4">
    <mergeCell ref="B6:E6"/>
    <mergeCell ref="F6:I6"/>
    <mergeCell ref="A27:I27"/>
    <mergeCell ref="A28:I28"/>
  </mergeCells>
  <conditionalFormatting sqref="H29:I29">
    <cfRule type="cellIs" priority="2" dxfId="196" operator="notBetween">
      <formula>0.5</formula>
      <formula>-0.5</formula>
    </cfRule>
  </conditionalFormatting>
  <conditionalFormatting sqref="B29:G29">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300"/>
      <c r="B2" s="300"/>
      <c r="C2" s="300"/>
      <c r="D2" s="300"/>
      <c r="E2" s="300"/>
      <c r="F2" s="300"/>
      <c r="G2" s="300"/>
      <c r="H2" s="300"/>
      <c r="I2" s="30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462.74926301999994</v>
      </c>
      <c r="C8" s="41">
        <v>482.50293709000005</v>
      </c>
      <c r="D8" s="41">
        <v>525.45749795</v>
      </c>
      <c r="E8" s="42">
        <v>481.15489633000016</v>
      </c>
      <c r="F8" s="50">
        <v>516.2199621699999</v>
      </c>
      <c r="G8" s="50">
        <v>483.49445286000014</v>
      </c>
      <c r="H8" s="50">
        <v>0</v>
      </c>
      <c r="I8" s="50">
        <v>0</v>
      </c>
    </row>
    <row r="9" spans="1:9" ht="15">
      <c r="A9" s="43" t="str">
        <f>HLOOKUP(INDICE!$F$2,Nombres!$C$3:$D$636,34,FALSE)</f>
        <v>Comisiones netas</v>
      </c>
      <c r="B9" s="44">
        <v>198.18392376000003</v>
      </c>
      <c r="C9" s="44">
        <v>235.24674769999996</v>
      </c>
      <c r="D9" s="44">
        <v>243.41433367000002</v>
      </c>
      <c r="E9" s="45">
        <v>236.75725657999996</v>
      </c>
      <c r="F9" s="44">
        <v>276.13034073000006</v>
      </c>
      <c r="G9" s="44">
        <v>261.22591063000004</v>
      </c>
      <c r="H9" s="44">
        <v>0</v>
      </c>
      <c r="I9" s="44">
        <v>0</v>
      </c>
    </row>
    <row r="10" spans="1:9" ht="15">
      <c r="A10" s="43" t="str">
        <f>HLOOKUP(INDICE!$F$2,Nombres!$C$3:$D$636,35,FALSE)</f>
        <v>Resultados de operaciones financieras</v>
      </c>
      <c r="B10" s="44">
        <v>343.98138677000003</v>
      </c>
      <c r="C10" s="44">
        <v>278.81458497</v>
      </c>
      <c r="D10" s="44">
        <v>278.80443419</v>
      </c>
      <c r="E10" s="45">
        <v>225.93336499000003</v>
      </c>
      <c r="F10" s="44">
        <v>430.89754324</v>
      </c>
      <c r="G10" s="44">
        <v>595.32493598</v>
      </c>
      <c r="H10" s="44">
        <v>0</v>
      </c>
      <c r="I10" s="44">
        <v>0</v>
      </c>
    </row>
    <row r="11" spans="1:9" ht="15">
      <c r="A11" s="43" t="str">
        <f>HLOOKUP(INDICE!$F$2,Nombres!$C$3:$D$636,36,FALSE)</f>
        <v>Otros ingresos y cargas de explotación</v>
      </c>
      <c r="B11" s="44">
        <v>-7.9789008400000005</v>
      </c>
      <c r="C11" s="44">
        <v>-7.5561983</v>
      </c>
      <c r="D11" s="44">
        <v>-14.136408559999994</v>
      </c>
      <c r="E11" s="45">
        <v>-13.010762160000004</v>
      </c>
      <c r="F11" s="44">
        <v>-27.92221348</v>
      </c>
      <c r="G11" s="44">
        <v>-12.60667964</v>
      </c>
      <c r="H11" s="44">
        <v>0</v>
      </c>
      <c r="I11" s="44">
        <v>0</v>
      </c>
    </row>
    <row r="12" spans="1:9" ht="15">
      <c r="A12" s="41" t="str">
        <f>HLOOKUP(INDICE!$F$2,Nombres!$C$3:$D$636,37,FALSE)</f>
        <v>Margen bruto</v>
      </c>
      <c r="B12" s="41">
        <f aca="true" t="shared" si="0" ref="B12:I12">+SUM(B8:B11)</f>
        <v>996.9356727099998</v>
      </c>
      <c r="C12" s="41">
        <f t="shared" si="0"/>
        <v>989.0080714599999</v>
      </c>
      <c r="D12" s="41">
        <f t="shared" si="0"/>
        <v>1033.5398572499998</v>
      </c>
      <c r="E12" s="42">
        <f t="shared" si="0"/>
        <v>930.8347557400002</v>
      </c>
      <c r="F12" s="50">
        <f t="shared" si="0"/>
        <v>1195.32563266</v>
      </c>
      <c r="G12" s="50">
        <f t="shared" si="0"/>
        <v>1327.43861983</v>
      </c>
      <c r="H12" s="50">
        <f t="shared" si="0"/>
        <v>0</v>
      </c>
      <c r="I12" s="50">
        <f t="shared" si="0"/>
        <v>0</v>
      </c>
    </row>
    <row r="13" spans="1:9" ht="15">
      <c r="A13" s="43" t="str">
        <f>HLOOKUP(INDICE!$F$2,Nombres!$C$3:$D$636,38,FALSE)</f>
        <v>Gastos de explotación</v>
      </c>
      <c r="B13" s="44">
        <v>-258.18826376000004</v>
      </c>
      <c r="C13" s="44">
        <v>-267.00462776</v>
      </c>
      <c r="D13" s="44">
        <v>-297.73679367</v>
      </c>
      <c r="E13" s="45">
        <v>-302.54249079</v>
      </c>
      <c r="F13" s="44">
        <v>-304.38242811</v>
      </c>
      <c r="G13" s="44">
        <v>-302.22144169999996</v>
      </c>
      <c r="H13" s="44">
        <v>0</v>
      </c>
      <c r="I13" s="44">
        <v>0</v>
      </c>
    </row>
    <row r="14" spans="1:9" ht="15">
      <c r="A14" s="43" t="str">
        <f>HLOOKUP(INDICE!$F$2,Nombres!$C$3:$D$636,39,FALSE)</f>
        <v>  Gastos de administración</v>
      </c>
      <c r="B14" s="44">
        <v>-232.64717588999997</v>
      </c>
      <c r="C14" s="44">
        <v>-240.30857023</v>
      </c>
      <c r="D14" s="44">
        <v>-270.47383131000004</v>
      </c>
      <c r="E14" s="45">
        <v>-277.03084312000004</v>
      </c>
      <c r="F14" s="44">
        <v>-278.85128488</v>
      </c>
      <c r="G14" s="44">
        <v>-275.94960494</v>
      </c>
      <c r="H14" s="44">
        <v>0</v>
      </c>
      <c r="I14" s="44">
        <v>0</v>
      </c>
    </row>
    <row r="15" spans="1:9" ht="15">
      <c r="A15" s="46" t="str">
        <f>HLOOKUP(INDICE!$F$2,Nombres!$C$3:$D$636,40,FALSE)</f>
        <v>  Gastos de personal</v>
      </c>
      <c r="B15" s="44">
        <v>-119.90747105</v>
      </c>
      <c r="C15" s="44">
        <v>-118.70269120999998</v>
      </c>
      <c r="D15" s="44">
        <v>-140.54468759</v>
      </c>
      <c r="E15" s="45">
        <v>-160.3843295</v>
      </c>
      <c r="F15" s="44">
        <v>-143.16699493000002</v>
      </c>
      <c r="G15" s="44">
        <v>-140.65497348</v>
      </c>
      <c r="H15" s="44">
        <v>0</v>
      </c>
      <c r="I15" s="44">
        <v>0</v>
      </c>
    </row>
    <row r="16" spans="1:9" ht="15">
      <c r="A16" s="46" t="str">
        <f>HLOOKUP(INDICE!$F$2,Nombres!$C$3:$D$636,41,FALSE)</f>
        <v>  Otros gastos de administración</v>
      </c>
      <c r="B16" s="44">
        <v>-112.73970484</v>
      </c>
      <c r="C16" s="44">
        <v>-121.60587902000003</v>
      </c>
      <c r="D16" s="44">
        <v>-129.92914372</v>
      </c>
      <c r="E16" s="45">
        <v>-116.64651362</v>
      </c>
      <c r="F16" s="44">
        <v>-135.68428995</v>
      </c>
      <c r="G16" s="44">
        <v>-135.29463146</v>
      </c>
      <c r="H16" s="44">
        <v>0</v>
      </c>
      <c r="I16" s="44">
        <v>0</v>
      </c>
    </row>
    <row r="17" spans="1:9" ht="15">
      <c r="A17" s="43" t="str">
        <f>HLOOKUP(INDICE!$F$2,Nombres!$C$3:$D$636,42,FALSE)</f>
        <v>  Amortización</v>
      </c>
      <c r="B17" s="44">
        <v>-25.54108787</v>
      </c>
      <c r="C17" s="44">
        <v>-26.696057530000004</v>
      </c>
      <c r="D17" s="44">
        <v>-27.262962359999992</v>
      </c>
      <c r="E17" s="45">
        <v>-25.511647669999995</v>
      </c>
      <c r="F17" s="44">
        <v>-25.531143229999998</v>
      </c>
      <c r="G17" s="44">
        <v>-26.27183676</v>
      </c>
      <c r="H17" s="44">
        <v>0</v>
      </c>
      <c r="I17" s="44">
        <v>0</v>
      </c>
    </row>
    <row r="18" spans="1:9" ht="15">
      <c r="A18" s="41" t="str">
        <f>HLOOKUP(INDICE!$F$2,Nombres!$C$3:$D$636,43,FALSE)</f>
        <v>Margen neto</v>
      </c>
      <c r="B18" s="41">
        <f aca="true" t="shared" si="1" ref="B18:I18">+B12+B13</f>
        <v>738.7474089499998</v>
      </c>
      <c r="C18" s="41">
        <f t="shared" si="1"/>
        <v>722.0034436999999</v>
      </c>
      <c r="D18" s="41">
        <f t="shared" si="1"/>
        <v>735.8030635799998</v>
      </c>
      <c r="E18" s="42">
        <f t="shared" si="1"/>
        <v>628.2922649500002</v>
      </c>
      <c r="F18" s="50">
        <f t="shared" si="1"/>
        <v>890.9432045500001</v>
      </c>
      <c r="G18" s="50">
        <f t="shared" si="1"/>
        <v>1025.21717813</v>
      </c>
      <c r="H18" s="50">
        <f t="shared" si="1"/>
        <v>0</v>
      </c>
      <c r="I18" s="50">
        <f t="shared" si="1"/>
        <v>0</v>
      </c>
    </row>
    <row r="19" spans="1:9" ht="15">
      <c r="A19" s="43" t="str">
        <f>HLOOKUP(INDICE!$F$2,Nombres!$C$3:$D$636,44,FALSE)</f>
        <v>Deterioro de activos financieros no valorados a valor razonable con cambios en resultados</v>
      </c>
      <c r="B19" s="44">
        <v>-20.469335249999993</v>
      </c>
      <c r="C19" s="44">
        <v>25.179875769999995</v>
      </c>
      <c r="D19" s="44">
        <v>-70.10668663000001</v>
      </c>
      <c r="E19" s="45">
        <v>-38.28453413000001</v>
      </c>
      <c r="F19" s="44">
        <v>-43.74577735</v>
      </c>
      <c r="G19" s="44">
        <v>24.505873469999997</v>
      </c>
      <c r="H19" s="44">
        <v>0</v>
      </c>
      <c r="I19" s="44">
        <v>0</v>
      </c>
    </row>
    <row r="20" spans="1:9" ht="15">
      <c r="A20" s="43" t="str">
        <f>HLOOKUP(INDICE!$F$2,Nombres!$C$3:$D$636,45,FALSE)</f>
        <v>Provisiones o reversión de provisiones y otros resultados</v>
      </c>
      <c r="B20" s="44">
        <v>18.642876789999995</v>
      </c>
      <c r="C20" s="44">
        <v>-9.439837359999999</v>
      </c>
      <c r="D20" s="44">
        <v>0.05253734999999948</v>
      </c>
      <c r="E20" s="45">
        <v>-21.06648912</v>
      </c>
      <c r="F20" s="44">
        <v>14.97313925</v>
      </c>
      <c r="G20" s="44">
        <v>-2.49063797</v>
      </c>
      <c r="H20" s="44">
        <v>0</v>
      </c>
      <c r="I20" s="44">
        <v>0</v>
      </c>
    </row>
    <row r="21" spans="1:9" ht="15">
      <c r="A21" s="41" t="str">
        <f>HLOOKUP(INDICE!$F$2,Nombres!$C$3:$D$636,46,FALSE)</f>
        <v>Resultado antes de impuestos</v>
      </c>
      <c r="B21" s="41">
        <f aca="true" t="shared" si="2" ref="B21:I21">+B18+B19+B20</f>
        <v>736.9209504899998</v>
      </c>
      <c r="C21" s="41">
        <f t="shared" si="2"/>
        <v>737.74348211</v>
      </c>
      <c r="D21" s="41">
        <f t="shared" si="2"/>
        <v>665.7489142999998</v>
      </c>
      <c r="E21" s="42">
        <f t="shared" si="2"/>
        <v>568.9412417000002</v>
      </c>
      <c r="F21" s="50">
        <f t="shared" si="2"/>
        <v>862.1705664500001</v>
      </c>
      <c r="G21" s="50">
        <f t="shared" si="2"/>
        <v>1047.23241363</v>
      </c>
      <c r="H21" s="50">
        <f t="shared" si="2"/>
        <v>0</v>
      </c>
      <c r="I21" s="50">
        <f t="shared" si="2"/>
        <v>0</v>
      </c>
    </row>
    <row r="22" spans="1:9" ht="15">
      <c r="A22" s="43" t="str">
        <f>HLOOKUP(INDICE!$F$2,Nombres!$C$3:$D$636,47,FALSE)</f>
        <v>Impuesto sobre beneficios</v>
      </c>
      <c r="B22" s="44">
        <v>-208.47496916</v>
      </c>
      <c r="C22" s="44">
        <v>-207.32364473</v>
      </c>
      <c r="D22" s="44">
        <v>-193.48001018999997</v>
      </c>
      <c r="E22" s="45">
        <v>-155.10314764999998</v>
      </c>
      <c r="F22" s="44">
        <v>-239.42358255</v>
      </c>
      <c r="G22" s="44">
        <v>-283.60384763</v>
      </c>
      <c r="H22" s="44">
        <v>0</v>
      </c>
      <c r="I22" s="44">
        <v>0</v>
      </c>
    </row>
    <row r="23" spans="1:9" ht="15">
      <c r="A23" s="41" t="str">
        <f>HLOOKUP(INDICE!$F$2,Nombres!$C$3:$D$636,48,FALSE)</f>
        <v>Resultado del ejercicio</v>
      </c>
      <c r="B23" s="41">
        <f aca="true" t="shared" si="3" ref="B23:I23">+B21+B22</f>
        <v>528.4459813299998</v>
      </c>
      <c r="C23" s="41">
        <f t="shared" si="3"/>
        <v>530.41983738</v>
      </c>
      <c r="D23" s="41">
        <f t="shared" si="3"/>
        <v>472.2689041099998</v>
      </c>
      <c r="E23" s="42">
        <f t="shared" si="3"/>
        <v>413.8380940500002</v>
      </c>
      <c r="F23" s="50">
        <f t="shared" si="3"/>
        <v>622.7469839000001</v>
      </c>
      <c r="G23" s="50">
        <f t="shared" si="3"/>
        <v>763.6285660000001</v>
      </c>
      <c r="H23" s="50">
        <f t="shared" si="3"/>
        <v>0</v>
      </c>
      <c r="I23" s="50">
        <f t="shared" si="3"/>
        <v>0</v>
      </c>
    </row>
    <row r="24" spans="1:9" ht="15">
      <c r="A24" s="43" t="str">
        <f>HLOOKUP(INDICE!$F$2,Nombres!$C$3:$D$636,49,FALSE)</f>
        <v>Minoritarios</v>
      </c>
      <c r="B24" s="44">
        <v>-93.60098075</v>
      </c>
      <c r="C24" s="44">
        <v>-75.17068490000001</v>
      </c>
      <c r="D24" s="44">
        <v>-34.56164978</v>
      </c>
      <c r="E24" s="45">
        <v>-37.81120514999999</v>
      </c>
      <c r="F24" s="44">
        <v>-73.15521224</v>
      </c>
      <c r="G24" s="44">
        <v>-80.5138144</v>
      </c>
      <c r="H24" s="44">
        <v>0</v>
      </c>
      <c r="I24" s="44">
        <v>0</v>
      </c>
    </row>
    <row r="25" spans="1:9" ht="15">
      <c r="A25" s="47" t="str">
        <f>HLOOKUP(INDICE!$F$2,Nombres!$C$3:$D$636,50,FALSE)</f>
        <v>Resultado atribuido</v>
      </c>
      <c r="B25" s="47">
        <f aca="true" t="shared" si="4" ref="B25:I25">+B23+B24</f>
        <v>434.84500057999975</v>
      </c>
      <c r="C25" s="47">
        <f t="shared" si="4"/>
        <v>455.24915247999996</v>
      </c>
      <c r="D25" s="47">
        <f t="shared" si="4"/>
        <v>437.70725432999984</v>
      </c>
      <c r="E25" s="47">
        <f t="shared" si="4"/>
        <v>376.02688890000024</v>
      </c>
      <c r="F25" s="51">
        <f t="shared" si="4"/>
        <v>549.5917716600002</v>
      </c>
      <c r="G25" s="51">
        <f t="shared" si="4"/>
        <v>683.1147516000001</v>
      </c>
      <c r="H25" s="51">
        <f t="shared" si="4"/>
        <v>0</v>
      </c>
      <c r="I25" s="51">
        <f t="shared" si="4"/>
        <v>0</v>
      </c>
    </row>
    <row r="26" spans="1:9" ht="15">
      <c r="A26" s="278"/>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13" ht="15">
      <c r="A31" s="43" t="str">
        <f>HLOOKUP(INDICE!$F$2,Nombres!$C$3:$D$636,52,FALSE)</f>
        <v>Efectivo, saldos en efectivo en bancos centrales y otros depósitos a la vista</v>
      </c>
      <c r="B31" s="44">
        <v>6617.88308999</v>
      </c>
      <c r="C31" s="44">
        <v>8194.673499019998</v>
      </c>
      <c r="D31" s="44">
        <v>7133.68711934</v>
      </c>
      <c r="E31" s="45">
        <v>5524.28790709</v>
      </c>
      <c r="F31" s="44">
        <v>4820.0400665900015</v>
      </c>
      <c r="G31" s="44">
        <v>5354.018203409999</v>
      </c>
      <c r="H31" s="44">
        <v>0</v>
      </c>
      <c r="I31" s="44">
        <v>0</v>
      </c>
      <c r="L31" s="54"/>
      <c r="M31" s="54"/>
    </row>
    <row r="32" spans="1:13" ht="15">
      <c r="A32" s="43" t="str">
        <f>HLOOKUP(INDICE!$F$2,Nombres!$C$3:$D$636,53,FALSE)</f>
        <v>Activos financieros a valor razonable</v>
      </c>
      <c r="B32" s="58">
        <v>121981.77695218001</v>
      </c>
      <c r="C32" s="58">
        <v>127392.39282094</v>
      </c>
      <c r="D32" s="58">
        <v>124527.60585172998</v>
      </c>
      <c r="E32" s="64">
        <v>117958.38155486001</v>
      </c>
      <c r="F32" s="44">
        <v>130791.77267574001</v>
      </c>
      <c r="G32" s="44">
        <v>157133.26507266003</v>
      </c>
      <c r="H32" s="44">
        <v>0</v>
      </c>
      <c r="I32" s="44">
        <v>0</v>
      </c>
      <c r="L32" s="54"/>
      <c r="M32" s="54"/>
    </row>
    <row r="33" spans="1:13" ht="15">
      <c r="A33" s="43" t="str">
        <f>HLOOKUP(INDICE!$F$2,Nombres!$C$3:$D$636,54,FALSE)</f>
        <v>Activos financieros a coste amortizado</v>
      </c>
      <c r="B33" s="44">
        <v>80208.43022048</v>
      </c>
      <c r="C33" s="44">
        <v>84299.83718764</v>
      </c>
      <c r="D33" s="44">
        <v>91927.44914808</v>
      </c>
      <c r="E33" s="45">
        <v>89439.80892107</v>
      </c>
      <c r="F33" s="44">
        <v>90374.98171305</v>
      </c>
      <c r="G33" s="44">
        <v>89267.34344029002</v>
      </c>
      <c r="H33" s="44">
        <v>0</v>
      </c>
      <c r="I33" s="44">
        <v>0</v>
      </c>
      <c r="L33" s="54"/>
      <c r="M33" s="54"/>
    </row>
    <row r="34" spans="1:13" ht="15">
      <c r="A34" s="43" t="str">
        <f>HLOOKUP(INDICE!$F$2,Nombres!$C$3:$D$636,55,FALSE)</f>
        <v>    de los que préstamos y anticipos a la clientela</v>
      </c>
      <c r="B34" s="44">
        <v>70185.3358502</v>
      </c>
      <c r="C34" s="44">
        <v>72966.28573526</v>
      </c>
      <c r="D34" s="44">
        <v>78837.01051302999</v>
      </c>
      <c r="E34" s="45">
        <v>77208.18119451999</v>
      </c>
      <c r="F34" s="44">
        <v>76858.58369323998</v>
      </c>
      <c r="G34" s="44">
        <v>75869.81216464</v>
      </c>
      <c r="H34" s="44">
        <v>0</v>
      </c>
      <c r="I34" s="44">
        <v>0</v>
      </c>
      <c r="L34" s="54"/>
      <c r="M34" s="54"/>
    </row>
    <row r="35" spans="1:13" ht="15">
      <c r="A35" s="43" t="str">
        <f>HLOOKUP(INDICE!$F$2,Nombres!$C$3:$D$636,121,FALSE)</f>
        <v>Posiciones inter-áreas activo</v>
      </c>
      <c r="B35" s="44">
        <v>0</v>
      </c>
      <c r="C35" s="44">
        <v>0</v>
      </c>
      <c r="D35" s="44">
        <v>0</v>
      </c>
      <c r="E35" s="45">
        <v>0</v>
      </c>
      <c r="F35" s="44">
        <v>0</v>
      </c>
      <c r="G35" s="44">
        <v>0</v>
      </c>
      <c r="H35" s="44">
        <v>0</v>
      </c>
      <c r="I35" s="44">
        <v>0</v>
      </c>
      <c r="L35" s="54"/>
      <c r="M35" s="54"/>
    </row>
    <row r="36" spans="1:13" ht="15">
      <c r="A36" s="43" t="str">
        <f>HLOOKUP(INDICE!$F$2,Nombres!$C$3:$D$636,56,FALSE)</f>
        <v>Activos tangibles</v>
      </c>
      <c r="B36" s="44">
        <v>53.56197830000001</v>
      </c>
      <c r="C36" s="44">
        <v>51.33084720000001</v>
      </c>
      <c r="D36" s="44">
        <v>52.22272284</v>
      </c>
      <c r="E36" s="45">
        <v>51.8198562</v>
      </c>
      <c r="F36" s="44">
        <v>54.321216390000004</v>
      </c>
      <c r="G36" s="44">
        <v>53.61165763</v>
      </c>
      <c r="H36" s="44">
        <v>0</v>
      </c>
      <c r="I36" s="44">
        <v>0</v>
      </c>
      <c r="L36" s="54"/>
      <c r="M36" s="54"/>
    </row>
    <row r="37" spans="1:13" ht="15">
      <c r="A37" s="43" t="str">
        <f>HLOOKUP(INDICE!$F$2,Nombres!$C$3:$D$636,57,FALSE)</f>
        <v>Otros activos</v>
      </c>
      <c r="B37" s="58">
        <f aca="true" t="shared" si="5" ref="B37:I37">+B38-B36-B33-B32-B31-B35</f>
        <v>1061.4247578000122</v>
      </c>
      <c r="C37" s="58">
        <f t="shared" si="5"/>
        <v>2000.7447091799622</v>
      </c>
      <c r="D37" s="58">
        <f t="shared" si="5"/>
        <v>1916.458863309992</v>
      </c>
      <c r="E37" s="64">
        <f t="shared" si="5"/>
        <v>862.0035505499927</v>
      </c>
      <c r="F37" s="58">
        <f t="shared" si="5"/>
        <v>1918.8750588799667</v>
      </c>
      <c r="G37" s="58">
        <f t="shared" si="5"/>
        <v>13754.806426469993</v>
      </c>
      <c r="H37" s="58">
        <f t="shared" si="5"/>
        <v>0</v>
      </c>
      <c r="I37" s="58">
        <f t="shared" si="5"/>
        <v>0</v>
      </c>
      <c r="L37" s="54"/>
      <c r="M37" s="54"/>
    </row>
    <row r="38" spans="1:13" ht="15">
      <c r="A38" s="47" t="str">
        <f>HLOOKUP(INDICE!$F$2,Nombres!$C$3:$D$636,58,FALSE)</f>
        <v>Total activo / pasivo</v>
      </c>
      <c r="B38" s="47">
        <v>209923.07699875</v>
      </c>
      <c r="C38" s="47">
        <v>221938.97906398</v>
      </c>
      <c r="D38" s="47">
        <v>225557.4237053</v>
      </c>
      <c r="E38" s="70">
        <v>213836.30178977</v>
      </c>
      <c r="F38" s="51">
        <v>227959.99073064997</v>
      </c>
      <c r="G38" s="51">
        <v>265563.04480046005</v>
      </c>
      <c r="H38" s="51">
        <v>0</v>
      </c>
      <c r="I38" s="51">
        <v>0</v>
      </c>
      <c r="L38" s="54"/>
      <c r="M38" s="54"/>
    </row>
    <row r="39" spans="1:13" ht="15">
      <c r="A39" s="43" t="str">
        <f>HLOOKUP(INDICE!$F$2,Nombres!$C$3:$D$636,59,FALSE)</f>
        <v>Pasivos financieros mantenidos para negociar y designados a valor razonable con cambios en resultados</v>
      </c>
      <c r="B39" s="58">
        <v>92173.41449375001</v>
      </c>
      <c r="C39" s="58">
        <v>104489.15465049002</v>
      </c>
      <c r="D39" s="58">
        <v>104536.04972563002</v>
      </c>
      <c r="E39" s="64">
        <v>98790.4568289</v>
      </c>
      <c r="F39" s="44">
        <v>105432.10004579001</v>
      </c>
      <c r="G39" s="44">
        <v>129517.00718761998</v>
      </c>
      <c r="H39" s="44">
        <v>0</v>
      </c>
      <c r="I39" s="44">
        <v>0</v>
      </c>
      <c r="L39" s="54"/>
      <c r="M39" s="54"/>
    </row>
    <row r="40" spans="1:13" ht="15">
      <c r="A40" s="43" t="str">
        <f>HLOOKUP(INDICE!$F$2,Nombres!$C$3:$D$636,60,FALSE)</f>
        <v>Depósitos de bancos centrales y entidades de crédito</v>
      </c>
      <c r="B40" s="58">
        <v>16254.94732625</v>
      </c>
      <c r="C40" s="58">
        <v>21020.248880389998</v>
      </c>
      <c r="D40" s="58">
        <v>22493.47156409</v>
      </c>
      <c r="E40" s="64">
        <v>20986.56820075</v>
      </c>
      <c r="F40" s="44">
        <v>25157.55073206</v>
      </c>
      <c r="G40" s="44">
        <v>27113.901144600004</v>
      </c>
      <c r="H40" s="44">
        <v>0</v>
      </c>
      <c r="I40" s="44">
        <v>0</v>
      </c>
      <c r="L40" s="54"/>
      <c r="M40" s="54"/>
    </row>
    <row r="41" spans="1:13" ht="15.75" customHeight="1">
      <c r="A41" s="43" t="str">
        <f>HLOOKUP(INDICE!$F$2,Nombres!$C$3:$D$636,61,FALSE)</f>
        <v>Depósitos de la clientela</v>
      </c>
      <c r="B41" s="58">
        <v>39177.47035036999</v>
      </c>
      <c r="C41" s="58">
        <v>40542.38192001</v>
      </c>
      <c r="D41" s="58">
        <v>45078.277311000005</v>
      </c>
      <c r="E41" s="64">
        <v>48179.72645381</v>
      </c>
      <c r="F41" s="44">
        <v>53257.92021816</v>
      </c>
      <c r="G41" s="44">
        <v>55330.84467683</v>
      </c>
      <c r="H41" s="44">
        <v>0</v>
      </c>
      <c r="I41" s="44">
        <v>0</v>
      </c>
      <c r="L41" s="54"/>
      <c r="M41" s="54"/>
    </row>
    <row r="42" spans="1:13" ht="15">
      <c r="A42" s="43" t="str">
        <f>HLOOKUP(INDICE!$F$2,Nombres!$C$3:$D$636,62,FALSE)</f>
        <v>Valores representativos de deuda emitidos</v>
      </c>
      <c r="B42" s="44">
        <v>4278.92715128</v>
      </c>
      <c r="C42" s="44">
        <v>5004.723124300001</v>
      </c>
      <c r="D42" s="44">
        <v>5358.37177386</v>
      </c>
      <c r="E42" s="45">
        <v>5291.61079523</v>
      </c>
      <c r="F42" s="44">
        <v>5831.453145240001</v>
      </c>
      <c r="G42" s="44">
        <v>5756.550559650001</v>
      </c>
      <c r="H42" s="44">
        <v>0</v>
      </c>
      <c r="I42" s="44">
        <v>0</v>
      </c>
      <c r="L42" s="54"/>
      <c r="M42" s="54"/>
    </row>
    <row r="43" spans="1:13" ht="15">
      <c r="A43" s="43" t="str">
        <f>HLOOKUP(INDICE!$F$2,Nombres!$C$3:$D$636,122,FALSE)</f>
        <v>Posiciones inter-áreas pasivo</v>
      </c>
      <c r="B43" s="44">
        <v>45114.954974860375</v>
      </c>
      <c r="C43" s="44">
        <v>35366.83038949719</v>
      </c>
      <c r="D43" s="44">
        <v>31683.326060743166</v>
      </c>
      <c r="E43" s="45">
        <v>25608.59960364637</v>
      </c>
      <c r="F43" s="44">
        <v>21979.46986942435</v>
      </c>
      <c r="G43" s="44">
        <v>30158.593754540092</v>
      </c>
      <c r="H43" s="44">
        <v>0</v>
      </c>
      <c r="I43" s="44">
        <v>0</v>
      </c>
      <c r="L43" s="54"/>
      <c r="M43" s="54"/>
    </row>
    <row r="44" spans="1:13" ht="15">
      <c r="A44" s="43" t="str">
        <f>HLOOKUP(INDICE!$F$2,Nombres!$C$3:$D$636,63,FALSE)</f>
        <v>Otros pasivos</v>
      </c>
      <c r="B44" s="44">
        <f aca="true" t="shared" si="6" ref="B44:G44">+B38-B39-B40-B41-B42-B45-B43</f>
        <v>2617.0919252988388</v>
      </c>
      <c r="C44" s="44">
        <f t="shared" si="6"/>
        <v>4254.766695967977</v>
      </c>
      <c r="D44" s="44">
        <f t="shared" si="6"/>
        <v>4725.552398668413</v>
      </c>
      <c r="E44" s="45">
        <f t="shared" si="6"/>
        <v>4124.28128332362</v>
      </c>
      <c r="F44" s="44">
        <f t="shared" si="6"/>
        <v>5539.100285378416</v>
      </c>
      <c r="G44" s="44">
        <f t="shared" si="6"/>
        <v>6564.711066409171</v>
      </c>
      <c r="H44" s="44">
        <f>+H38-H39-H40-H41-H42-H45-H43</f>
        <v>0</v>
      </c>
      <c r="I44" s="44">
        <f>+I38-I39-I40-I41-I42-I45-I43</f>
        <v>0</v>
      </c>
      <c r="L44" s="54"/>
      <c r="M44" s="54"/>
    </row>
    <row r="45" spans="1:13" ht="15">
      <c r="A45" s="43" t="str">
        <f>HLOOKUP(INDICE!$F$2,Nombres!$C$3:$D$636,282,FALSE)</f>
        <v>Dotación de capital regulatorio</v>
      </c>
      <c r="B45" s="44">
        <v>10306.270776940797</v>
      </c>
      <c r="C45" s="44">
        <v>11260.8734033248</v>
      </c>
      <c r="D45" s="44">
        <v>11682.374871308399</v>
      </c>
      <c r="E45" s="45">
        <v>10855.058624109999</v>
      </c>
      <c r="F45" s="44">
        <v>10762.3964345972</v>
      </c>
      <c r="G45" s="44">
        <v>11121.4364108108</v>
      </c>
      <c r="H45" s="44">
        <v>0</v>
      </c>
      <c r="I45" s="44">
        <v>0</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G50">+B$30</f>
        <v>44651</v>
      </c>
      <c r="C50" s="53">
        <f t="shared" si="7"/>
        <v>44742</v>
      </c>
      <c r="D50" s="53">
        <f t="shared" si="7"/>
        <v>44834</v>
      </c>
      <c r="E50" s="67">
        <f t="shared" si="7"/>
        <v>44926</v>
      </c>
      <c r="F50" s="75">
        <f t="shared" si="7"/>
        <v>45016</v>
      </c>
      <c r="G50" s="75">
        <f t="shared" si="7"/>
        <v>45107</v>
      </c>
      <c r="H50" s="75">
        <f>+H$30</f>
        <v>45199</v>
      </c>
      <c r="I50" s="75">
        <f>+I$30</f>
        <v>45291</v>
      </c>
    </row>
    <row r="51" spans="1:9" ht="15" customHeight="1">
      <c r="A51" s="43" t="str">
        <f>HLOOKUP(INDICE!$F$2,Nombres!$C$3:$D$636,66,FALSE)</f>
        <v>Préstamos y anticipos a la clientela bruto (*)</v>
      </c>
      <c r="B51" s="44">
        <v>70929.88365952</v>
      </c>
      <c r="C51" s="44">
        <v>73777.1976775</v>
      </c>
      <c r="D51" s="44">
        <v>79606.05511275001</v>
      </c>
      <c r="E51" s="45">
        <v>77942.33784392002</v>
      </c>
      <c r="F51" s="44">
        <v>77601.90779597</v>
      </c>
      <c r="G51" s="44">
        <v>76485.34563862</v>
      </c>
      <c r="H51" s="44">
        <v>0</v>
      </c>
      <c r="I51" s="44">
        <v>0</v>
      </c>
    </row>
    <row r="52" spans="1:9" ht="15">
      <c r="A52" s="43" t="str">
        <f>HLOOKUP(INDICE!$F$2,Nombres!$C$3:$D$636,67,FALSE)</f>
        <v>Depósitos de clientes en gestión (**)</v>
      </c>
      <c r="B52" s="44">
        <v>38615.852138350005</v>
      </c>
      <c r="C52" s="44">
        <v>39976.654460180005</v>
      </c>
      <c r="D52" s="44">
        <v>44417.12598849999</v>
      </c>
      <c r="E52" s="45">
        <v>47270.100984740006</v>
      </c>
      <c r="F52" s="44">
        <v>48068.8924121</v>
      </c>
      <c r="G52" s="44">
        <v>48632.529337240005</v>
      </c>
      <c r="H52" s="44">
        <v>0</v>
      </c>
      <c r="I52" s="44">
        <v>0</v>
      </c>
    </row>
    <row r="53" spans="1:9" ht="15">
      <c r="A53" s="43" t="str">
        <f>HLOOKUP(INDICE!$F$2,Nombres!$C$3:$D$636,68,FALSE)</f>
        <v>Fondos de inversión y carteras gestionadas</v>
      </c>
      <c r="B53" s="44">
        <v>1364.1225290099999</v>
      </c>
      <c r="C53" s="44">
        <v>1268.3651473</v>
      </c>
      <c r="D53" s="44">
        <v>1482.83569009</v>
      </c>
      <c r="E53" s="45">
        <v>1591.3759187399999</v>
      </c>
      <c r="F53" s="44">
        <v>2617.7691830500003</v>
      </c>
      <c r="G53" s="44">
        <v>3704.7147958600003</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135.55139111</v>
      </c>
      <c r="C55" s="44">
        <v>355.16733027</v>
      </c>
      <c r="D55" s="44">
        <v>308.93988207</v>
      </c>
      <c r="E55" s="45">
        <v>158.91382959</v>
      </c>
      <c r="F55" s="44">
        <v>390.86549346</v>
      </c>
      <c r="G55" s="44">
        <v>461.62464199000004</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 aca="true" t="shared" si="8" ref="B63:I63">+B$7</f>
        <v>1er Trim.</v>
      </c>
      <c r="C63" s="39" t="str">
        <f t="shared" si="8"/>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443.87278707041673</v>
      </c>
      <c r="C64" s="41">
        <v>436.5543335720324</v>
      </c>
      <c r="D64" s="41">
        <v>462.72250731387965</v>
      </c>
      <c r="E64" s="42">
        <v>486.0026555154452</v>
      </c>
      <c r="F64" s="50">
        <v>479.51309048922485</v>
      </c>
      <c r="G64" s="50">
        <v>520.2013245407753</v>
      </c>
      <c r="H64" s="50">
        <v>0</v>
      </c>
      <c r="I64" s="50">
        <v>0</v>
      </c>
    </row>
    <row r="65" spans="1:9" ht="15">
      <c r="A65" s="43" t="str">
        <f>HLOOKUP(INDICE!$F$2,Nombres!$C$3:$D$636,34,FALSE)</f>
        <v>Comisiones netas</v>
      </c>
      <c r="B65" s="44">
        <v>192.2850467560758</v>
      </c>
      <c r="C65" s="44">
        <v>224.4843174961998</v>
      </c>
      <c r="D65" s="44">
        <v>225.57644677350942</v>
      </c>
      <c r="E65" s="45">
        <v>239.47951861785413</v>
      </c>
      <c r="F65" s="44">
        <v>263.7190900712884</v>
      </c>
      <c r="G65" s="44">
        <v>273.63716128871164</v>
      </c>
      <c r="H65" s="44">
        <v>0</v>
      </c>
      <c r="I65" s="44">
        <v>0</v>
      </c>
    </row>
    <row r="66" spans="1:9" ht="15">
      <c r="A66" s="43" t="str">
        <f>HLOOKUP(INDICE!$F$2,Nombres!$C$3:$D$636,35,FALSE)</f>
        <v>Resultados de operaciones financieras</v>
      </c>
      <c r="B66" s="44">
        <v>303.11821539130693</v>
      </c>
      <c r="C66" s="44">
        <v>258.16398674947715</v>
      </c>
      <c r="D66" s="44">
        <v>235.72071362083778</v>
      </c>
      <c r="E66" s="45">
        <v>238.40381019019236</v>
      </c>
      <c r="F66" s="44">
        <v>401.52484797128113</v>
      </c>
      <c r="G66" s="44">
        <v>624.697631248719</v>
      </c>
      <c r="H66" s="44">
        <v>0</v>
      </c>
      <c r="I66" s="44">
        <v>0</v>
      </c>
    </row>
    <row r="67" spans="1:9" ht="15">
      <c r="A67" s="43" t="str">
        <f>HLOOKUP(INDICE!$F$2,Nombres!$C$3:$D$636,36,FALSE)</f>
        <v>Otros ingresos y cargas de explotación</v>
      </c>
      <c r="B67" s="44">
        <v>-7.938273943991767</v>
      </c>
      <c r="C67" s="44">
        <v>-7.818716399514748</v>
      </c>
      <c r="D67" s="44">
        <v>-13.126642403916973</v>
      </c>
      <c r="E67" s="45">
        <v>-12.44315050094692</v>
      </c>
      <c r="F67" s="44">
        <v>-27.091633607238137</v>
      </c>
      <c r="G67" s="44">
        <v>-13.43725951276186</v>
      </c>
      <c r="H67" s="44">
        <v>0</v>
      </c>
      <c r="I67" s="44">
        <v>0</v>
      </c>
    </row>
    <row r="68" spans="1:9" ht="15">
      <c r="A68" s="41" t="str">
        <f>HLOOKUP(INDICE!$F$2,Nombres!$C$3:$D$636,37,FALSE)</f>
        <v>Margen bruto</v>
      </c>
      <c r="B68" s="41">
        <f aca="true" t="shared" si="9" ref="B68:I68">+SUM(B64:B67)</f>
        <v>931.3377752738077</v>
      </c>
      <c r="C68" s="41">
        <f t="shared" si="9"/>
        <v>911.3839214181945</v>
      </c>
      <c r="D68" s="41">
        <f t="shared" si="9"/>
        <v>910.89302530431</v>
      </c>
      <c r="E68" s="42">
        <f t="shared" si="9"/>
        <v>951.4428338225449</v>
      </c>
      <c r="F68" s="50">
        <f t="shared" si="9"/>
        <v>1117.665394924556</v>
      </c>
      <c r="G68" s="50">
        <f t="shared" si="9"/>
        <v>1405.098857565444</v>
      </c>
      <c r="H68" s="50">
        <f t="shared" si="9"/>
        <v>0</v>
      </c>
      <c r="I68" s="50">
        <f t="shared" si="9"/>
        <v>0</v>
      </c>
    </row>
    <row r="69" spans="1:9" ht="15">
      <c r="A69" s="43" t="str">
        <f>HLOOKUP(INDICE!$F$2,Nombres!$C$3:$D$636,38,FALSE)</f>
        <v>Gastos de explotación</v>
      </c>
      <c r="B69" s="44">
        <v>-252.91590066669647</v>
      </c>
      <c r="C69" s="44">
        <v>-255.1354127424404</v>
      </c>
      <c r="D69" s="44">
        <v>-281.13627555237383</v>
      </c>
      <c r="E69" s="45">
        <v>-316.7455294033846</v>
      </c>
      <c r="F69" s="44">
        <v>-298.66214822472574</v>
      </c>
      <c r="G69" s="44">
        <v>-307.9417215852742</v>
      </c>
      <c r="H69" s="44">
        <v>0</v>
      </c>
      <c r="I69" s="44">
        <v>0</v>
      </c>
    </row>
    <row r="70" spans="1:9" ht="15">
      <c r="A70" s="43" t="str">
        <f>HLOOKUP(INDICE!$F$2,Nombres!$C$3:$D$636,39,FALSE)</f>
        <v>  Gastos de administración</v>
      </c>
      <c r="B70" s="44">
        <v>-226.8745020688468</v>
      </c>
      <c r="C70" s="44">
        <v>-228.2876438956297</v>
      </c>
      <c r="D70" s="44">
        <v>-253.99046412921172</v>
      </c>
      <c r="E70" s="45">
        <v>-290.9411008877461</v>
      </c>
      <c r="F70" s="44">
        <v>-273.117256808222</v>
      </c>
      <c r="G70" s="44">
        <v>-281.683633011778</v>
      </c>
      <c r="H70" s="44">
        <v>0</v>
      </c>
      <c r="I70" s="44">
        <v>0</v>
      </c>
    </row>
    <row r="71" spans="1:9" ht="15">
      <c r="A71" s="46" t="str">
        <f>HLOOKUP(INDICE!$F$2,Nombres!$C$3:$D$636,40,FALSE)</f>
        <v>  Gastos de personal</v>
      </c>
      <c r="B71" s="44">
        <v>-119.09311732494506</v>
      </c>
      <c r="C71" s="44">
        <v>-114.88362934121147</v>
      </c>
      <c r="D71" s="44">
        <v>-133.76358140743073</v>
      </c>
      <c r="E71" s="45">
        <v>-165.42562689209248</v>
      </c>
      <c r="F71" s="44">
        <v>-141.1511142642051</v>
      </c>
      <c r="G71" s="44">
        <v>-142.6708541457949</v>
      </c>
      <c r="H71" s="44">
        <v>0</v>
      </c>
      <c r="I71" s="44">
        <v>0</v>
      </c>
    </row>
    <row r="72" spans="1:9" ht="15">
      <c r="A72" s="46" t="str">
        <f>HLOOKUP(INDICE!$F$2,Nombres!$C$3:$D$636,41,FALSE)</f>
        <v>  Otros gastos de administración</v>
      </c>
      <c r="B72" s="44">
        <v>-107.78138474390173</v>
      </c>
      <c r="C72" s="44">
        <v>-113.40401455441824</v>
      </c>
      <c r="D72" s="44">
        <v>-120.22688272178095</v>
      </c>
      <c r="E72" s="45">
        <v>-125.51547399565355</v>
      </c>
      <c r="F72" s="44">
        <v>-131.96614254401686</v>
      </c>
      <c r="G72" s="44">
        <v>-139.0127788659831</v>
      </c>
      <c r="H72" s="44">
        <v>0</v>
      </c>
      <c r="I72" s="44">
        <v>0</v>
      </c>
    </row>
    <row r="73" spans="1:9" ht="15">
      <c r="A73" s="43" t="str">
        <f>HLOOKUP(INDICE!$F$2,Nombres!$C$3:$D$636,42,FALSE)</f>
        <v>  Amortización</v>
      </c>
      <c r="B73" s="44">
        <v>-26.041398597849682</v>
      </c>
      <c r="C73" s="44">
        <v>-26.847768846810688</v>
      </c>
      <c r="D73" s="44">
        <v>-27.145811423162137</v>
      </c>
      <c r="E73" s="45">
        <v>-25.804428515638527</v>
      </c>
      <c r="F73" s="44">
        <v>-25.544891416503795</v>
      </c>
      <c r="G73" s="44">
        <v>-26.258088573496206</v>
      </c>
      <c r="H73" s="44">
        <v>0</v>
      </c>
      <c r="I73" s="44">
        <v>0</v>
      </c>
    </row>
    <row r="74" spans="1:9" ht="15">
      <c r="A74" s="41" t="str">
        <f>HLOOKUP(INDICE!$F$2,Nombres!$C$3:$D$636,43,FALSE)</f>
        <v>Margen neto</v>
      </c>
      <c r="B74" s="41">
        <f aca="true" t="shared" si="10" ref="B74:I74">+B68+B69</f>
        <v>678.4218746071112</v>
      </c>
      <c r="C74" s="41">
        <f t="shared" si="10"/>
        <v>656.2485086757541</v>
      </c>
      <c r="D74" s="41">
        <f t="shared" si="10"/>
        <v>629.7567497519361</v>
      </c>
      <c r="E74" s="42">
        <f t="shared" si="10"/>
        <v>634.6973044191603</v>
      </c>
      <c r="F74" s="50">
        <f t="shared" si="10"/>
        <v>819.0032466998302</v>
      </c>
      <c r="G74" s="50">
        <f t="shared" si="10"/>
        <v>1097.1571359801696</v>
      </c>
      <c r="H74" s="50">
        <f t="shared" si="10"/>
        <v>0</v>
      </c>
      <c r="I74" s="50">
        <f t="shared" si="10"/>
        <v>0</v>
      </c>
    </row>
    <row r="75" spans="1:9" ht="15">
      <c r="A75" s="43" t="str">
        <f>HLOOKUP(INDICE!$F$2,Nombres!$C$3:$D$636,44,FALSE)</f>
        <v>Deterioro de activos financieros no valorados a valor razonable con cambios en resultados</v>
      </c>
      <c r="B75" s="44">
        <v>-20.95117289450409</v>
      </c>
      <c r="C75" s="44">
        <v>11.476112358446777</v>
      </c>
      <c r="D75" s="44">
        <v>-29.798949667315554</v>
      </c>
      <c r="E75" s="45">
        <v>-31.81533494916728</v>
      </c>
      <c r="F75" s="44">
        <v>-34.19315965240627</v>
      </c>
      <c r="G75" s="44">
        <v>14.953255772406282</v>
      </c>
      <c r="H75" s="44">
        <v>0</v>
      </c>
      <c r="I75" s="44">
        <v>0</v>
      </c>
    </row>
    <row r="76" spans="1:9" ht="15">
      <c r="A76" s="43" t="str">
        <f>HLOOKUP(INDICE!$F$2,Nombres!$C$3:$D$636,45,FALSE)</f>
        <v>Provisiones o reversión de provisiones y otros resultados</v>
      </c>
      <c r="B76" s="44">
        <v>18.617044282761718</v>
      </c>
      <c r="C76" s="44">
        <v>-10.523859920272203</v>
      </c>
      <c r="D76" s="44">
        <v>-0.9444611915173023</v>
      </c>
      <c r="E76" s="45">
        <v>-19.399559010259694</v>
      </c>
      <c r="F76" s="44">
        <v>14.881174981750194</v>
      </c>
      <c r="G76" s="44">
        <v>-2.398673701750191</v>
      </c>
      <c r="H76" s="44">
        <v>0</v>
      </c>
      <c r="I76" s="44">
        <v>0</v>
      </c>
    </row>
    <row r="77" spans="1:9" ht="15">
      <c r="A77" s="41" t="str">
        <f>HLOOKUP(INDICE!$F$2,Nombres!$C$3:$D$636,46,FALSE)</f>
        <v>Resultado antes de impuestos</v>
      </c>
      <c r="B77" s="41">
        <f aca="true" t="shared" si="11" ref="B77:I77">+B74+B75+B76</f>
        <v>676.0877459953689</v>
      </c>
      <c r="C77" s="41">
        <f t="shared" si="11"/>
        <v>657.2007611139287</v>
      </c>
      <c r="D77" s="41">
        <f t="shared" si="11"/>
        <v>599.0133388931032</v>
      </c>
      <c r="E77" s="42">
        <f t="shared" si="11"/>
        <v>583.4824104597333</v>
      </c>
      <c r="F77" s="50">
        <f t="shared" si="11"/>
        <v>799.6912620291741</v>
      </c>
      <c r="G77" s="50">
        <f t="shared" si="11"/>
        <v>1109.7117180508258</v>
      </c>
      <c r="H77" s="50">
        <f t="shared" si="11"/>
        <v>0</v>
      </c>
      <c r="I77" s="50">
        <f t="shared" si="11"/>
        <v>0</v>
      </c>
    </row>
    <row r="78" spans="1:9" ht="15">
      <c r="A78" s="43" t="str">
        <f>HLOOKUP(INDICE!$F$2,Nombres!$C$3:$D$636,47,FALSE)</f>
        <v>Impuesto sobre beneficios</v>
      </c>
      <c r="B78" s="44">
        <v>-191.9296891622448</v>
      </c>
      <c r="C78" s="44">
        <v>-185.46192168654412</v>
      </c>
      <c r="D78" s="44">
        <v>-174.27660356289425</v>
      </c>
      <c r="E78" s="45">
        <v>-160.65144553548586</v>
      </c>
      <c r="F78" s="44">
        <v>-223.18367269299756</v>
      </c>
      <c r="G78" s="44">
        <v>-299.84375748700245</v>
      </c>
      <c r="H78" s="44">
        <v>0</v>
      </c>
      <c r="I78" s="44">
        <v>0</v>
      </c>
    </row>
    <row r="79" spans="1:9" ht="15">
      <c r="A79" s="41" t="str">
        <f>HLOOKUP(INDICE!$F$2,Nombres!$C$3:$D$636,48,FALSE)</f>
        <v>Resultado del ejercicio</v>
      </c>
      <c r="B79" s="41">
        <f aca="true" t="shared" si="12" ref="B79:I79">+B77+B78</f>
        <v>484.1580568331241</v>
      </c>
      <c r="C79" s="41">
        <f t="shared" si="12"/>
        <v>471.7388394273846</v>
      </c>
      <c r="D79" s="41">
        <f t="shared" si="12"/>
        <v>424.73673533020894</v>
      </c>
      <c r="E79" s="42">
        <f t="shared" si="12"/>
        <v>422.8309649242474</v>
      </c>
      <c r="F79" s="50">
        <f t="shared" si="12"/>
        <v>576.5075893361766</v>
      </c>
      <c r="G79" s="50">
        <f t="shared" si="12"/>
        <v>809.8679605638233</v>
      </c>
      <c r="H79" s="50">
        <f t="shared" si="12"/>
        <v>0</v>
      </c>
      <c r="I79" s="50">
        <f t="shared" si="12"/>
        <v>0</v>
      </c>
    </row>
    <row r="80" spans="1:9" ht="15">
      <c r="A80" s="43" t="str">
        <f>HLOOKUP(INDICE!$F$2,Nombres!$C$3:$D$636,49,FALSE)</f>
        <v>Minoritarios</v>
      </c>
      <c r="B80" s="44">
        <v>-65.19877792955488</v>
      </c>
      <c r="C80" s="44">
        <v>-56.98397663331943</v>
      </c>
      <c r="D80" s="44">
        <v>-32.068270642852454</v>
      </c>
      <c r="E80" s="45">
        <v>-43.023217277745964</v>
      </c>
      <c r="F80" s="44">
        <v>-64.893592084988</v>
      </c>
      <c r="G80" s="44">
        <v>-88.775434555012</v>
      </c>
      <c r="H80" s="44">
        <v>0</v>
      </c>
      <c r="I80" s="44">
        <v>0</v>
      </c>
    </row>
    <row r="81" spans="1:9" ht="15">
      <c r="A81" s="47" t="str">
        <f>HLOOKUP(INDICE!$F$2,Nombres!$C$3:$D$636,50,FALSE)</f>
        <v>Resultado atribuido</v>
      </c>
      <c r="B81" s="47">
        <f aca="true" t="shared" si="13" ref="B81:I81">+B79+B80</f>
        <v>418.9592789035692</v>
      </c>
      <c r="C81" s="47">
        <f t="shared" si="13"/>
        <v>414.75486279406516</v>
      </c>
      <c r="D81" s="47">
        <f t="shared" si="13"/>
        <v>392.6684646873565</v>
      </c>
      <c r="E81" s="47">
        <f t="shared" si="13"/>
        <v>379.8077476465014</v>
      </c>
      <c r="F81" s="51">
        <f t="shared" si="13"/>
        <v>511.6139972511886</v>
      </c>
      <c r="G81" s="51">
        <f t="shared" si="13"/>
        <v>721.0925260088113</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43" t="str">
        <f>HLOOKUP(INDICE!$F$2,Nombres!$C$3:$D$636,52,FALSE)</f>
        <v>Efectivo, saldos en efectivo en bancos centrales y otros depósitos a la vista</v>
      </c>
      <c r="B87" s="44">
        <v>6668.93661289246</v>
      </c>
      <c r="C87" s="44">
        <v>7879.068835000163</v>
      </c>
      <c r="D87" s="44">
        <v>6575.141316793526</v>
      </c>
      <c r="E87" s="45">
        <v>5579.136614315874</v>
      </c>
      <c r="F87" s="44">
        <v>4841.158647136846</v>
      </c>
      <c r="G87" s="44">
        <v>5354.018203409999</v>
      </c>
      <c r="H87" s="44">
        <v>0</v>
      </c>
      <c r="I87" s="44">
        <v>0</v>
      </c>
    </row>
    <row r="88" spans="1:9" ht="15">
      <c r="A88" s="43" t="str">
        <f>HLOOKUP(INDICE!$F$2,Nombres!$C$3:$D$636,53,FALSE)</f>
        <v>Activos financieros a valor razonable</v>
      </c>
      <c r="B88" s="58">
        <v>124124.80358045564</v>
      </c>
      <c r="C88" s="58">
        <v>128433.5010635016</v>
      </c>
      <c r="D88" s="58">
        <v>124731.35480190624</v>
      </c>
      <c r="E88" s="64">
        <v>119567.79460257759</v>
      </c>
      <c r="F88" s="44">
        <v>131657.21340075473</v>
      </c>
      <c r="G88" s="44">
        <v>157133.26507266003</v>
      </c>
      <c r="H88" s="44">
        <v>0</v>
      </c>
      <c r="I88" s="44">
        <v>0</v>
      </c>
    </row>
    <row r="89" spans="1:9" ht="15">
      <c r="A89" s="43" t="str">
        <f>HLOOKUP(INDICE!$F$2,Nombres!$C$3:$D$636,54,FALSE)</f>
        <v>Activos financieros a coste amortizado</v>
      </c>
      <c r="B89" s="44">
        <v>79134.71319275213</v>
      </c>
      <c r="C89" s="44">
        <v>82188.63867005504</v>
      </c>
      <c r="D89" s="44">
        <v>88303.3788134956</v>
      </c>
      <c r="E89" s="45">
        <v>89056.62331551926</v>
      </c>
      <c r="F89" s="44">
        <v>89438.75353168118</v>
      </c>
      <c r="G89" s="44">
        <v>89267.34344029002</v>
      </c>
      <c r="H89" s="44">
        <v>0</v>
      </c>
      <c r="I89" s="44">
        <v>0</v>
      </c>
    </row>
    <row r="90" spans="1:9" ht="15">
      <c r="A90" s="43" t="str">
        <f>HLOOKUP(INDICE!$F$2,Nombres!$C$3:$D$636,55,FALSE)</f>
        <v>    de los que préstamos y anticipos a la clientela</v>
      </c>
      <c r="B90" s="44">
        <v>69066.9204861117</v>
      </c>
      <c r="C90" s="44">
        <v>70858.80366767757</v>
      </c>
      <c r="D90" s="44">
        <v>75422.72020753201</v>
      </c>
      <c r="E90" s="45">
        <v>76718.10737754099</v>
      </c>
      <c r="F90" s="44">
        <v>75945.5595783681</v>
      </c>
      <c r="G90" s="44">
        <v>75869.81216464</v>
      </c>
      <c r="H90" s="44">
        <v>0</v>
      </c>
      <c r="I90" s="44">
        <v>0</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54.14832020059384</v>
      </c>
      <c r="C92" s="44">
        <v>50.96090214436812</v>
      </c>
      <c r="D92" s="44">
        <v>51.06752537687857</v>
      </c>
      <c r="E92" s="45">
        <v>52.40711349940572</v>
      </c>
      <c r="F92" s="44">
        <v>53.96119527121912</v>
      </c>
      <c r="G92" s="44">
        <v>53.61165763</v>
      </c>
      <c r="H92" s="44">
        <v>0</v>
      </c>
      <c r="I92" s="44">
        <v>0</v>
      </c>
    </row>
    <row r="93" spans="1:9" ht="15">
      <c r="A93" s="43" t="str">
        <f>HLOOKUP(INDICE!$F$2,Nombres!$C$3:$D$636,57,FALSE)</f>
        <v>Otros activos</v>
      </c>
      <c r="B93" s="58">
        <f aca="true" t="shared" si="15" ref="B93:I93">+B94-B92-B89-B88-B87-B91</f>
        <v>880.8754692224456</v>
      </c>
      <c r="C93" s="58">
        <f t="shared" si="15"/>
        <v>1796.8931248559193</v>
      </c>
      <c r="D93" s="58">
        <f t="shared" si="15"/>
        <v>1735.9881274919444</v>
      </c>
      <c r="E93" s="64">
        <f t="shared" si="15"/>
        <v>721.6611218294202</v>
      </c>
      <c r="F93" s="58">
        <f t="shared" si="15"/>
        <v>1921.365401638006</v>
      </c>
      <c r="G93" s="58">
        <f t="shared" si="15"/>
        <v>13754.806426469993</v>
      </c>
      <c r="H93" s="58">
        <f t="shared" si="15"/>
        <v>0</v>
      </c>
      <c r="I93" s="58">
        <f t="shared" si="15"/>
        <v>0</v>
      </c>
    </row>
    <row r="94" spans="1:9" ht="15">
      <c r="A94" s="47" t="str">
        <f>HLOOKUP(INDICE!$F$2,Nombres!$C$3:$D$636,58,FALSE)</f>
        <v>Total activo / pasivo</v>
      </c>
      <c r="B94" s="47">
        <v>210863.47717552327</v>
      </c>
      <c r="C94" s="47">
        <v>220349.06259555707</v>
      </c>
      <c r="D94" s="47">
        <v>221396.9305850642</v>
      </c>
      <c r="E94" s="70">
        <v>214977.62276774156</v>
      </c>
      <c r="F94" s="51">
        <v>227912.45217648198</v>
      </c>
      <c r="G94" s="51">
        <v>265563.04480046005</v>
      </c>
      <c r="H94" s="51">
        <v>0</v>
      </c>
      <c r="I94" s="51">
        <v>0</v>
      </c>
    </row>
    <row r="95" spans="1:9" ht="15">
      <c r="A95" s="43" t="str">
        <f>HLOOKUP(INDICE!$F$2,Nombres!$C$3:$D$636,59,FALSE)</f>
        <v>Pasivos financieros mantenidos para negociar y designados a valor razonable con cambios en resultados</v>
      </c>
      <c r="B95" s="58">
        <v>93945.34865728188</v>
      </c>
      <c r="C95" s="58">
        <v>105600.18139941365</v>
      </c>
      <c r="D95" s="58">
        <v>104882.05964687406</v>
      </c>
      <c r="E95" s="64">
        <v>99855.37543863604</v>
      </c>
      <c r="F95" s="44">
        <v>105549.92692324733</v>
      </c>
      <c r="G95" s="44">
        <v>129517.00718761998</v>
      </c>
      <c r="H95" s="44">
        <v>0</v>
      </c>
      <c r="I95" s="44">
        <v>0</v>
      </c>
    </row>
    <row r="96" spans="1:9" ht="15">
      <c r="A96" s="43" t="str">
        <f>HLOOKUP(INDICE!$F$2,Nombres!$C$3:$D$636,60,FALSE)</f>
        <v>Depósitos de bancos centrales y entidades de crédito</v>
      </c>
      <c r="B96" s="58">
        <v>16341.778471356076</v>
      </c>
      <c r="C96" s="58">
        <v>21047.542677547965</v>
      </c>
      <c r="D96" s="58">
        <v>22402.50648694127</v>
      </c>
      <c r="E96" s="64">
        <v>21093.007479369993</v>
      </c>
      <c r="F96" s="44">
        <v>25376.64130367756</v>
      </c>
      <c r="G96" s="44">
        <v>27113.901144600004</v>
      </c>
      <c r="H96" s="44">
        <v>0</v>
      </c>
      <c r="I96" s="44">
        <v>0</v>
      </c>
    </row>
    <row r="97" spans="1:9" ht="15">
      <c r="A97" s="43" t="str">
        <f>HLOOKUP(INDICE!$F$2,Nombres!$C$3:$D$636,61,FALSE)</f>
        <v>Depósitos de la clientela</v>
      </c>
      <c r="B97" s="58">
        <v>38877.09637273977</v>
      </c>
      <c r="C97" s="58">
        <v>39459.46374131834</v>
      </c>
      <c r="D97" s="58">
        <v>42883.5060021949</v>
      </c>
      <c r="E97" s="64">
        <v>48269.25333976167</v>
      </c>
      <c r="F97" s="44">
        <v>52834.105269370986</v>
      </c>
      <c r="G97" s="44">
        <v>55330.84467683</v>
      </c>
      <c r="H97" s="44">
        <v>0</v>
      </c>
      <c r="I97" s="44">
        <v>0</v>
      </c>
    </row>
    <row r="98" spans="1:9" ht="15">
      <c r="A98" s="43" t="str">
        <f>HLOOKUP(INDICE!$F$2,Nombres!$C$3:$D$636,62,FALSE)</f>
        <v>Valores representativos de deuda emitidos</v>
      </c>
      <c r="B98" s="44">
        <v>4416.040344259407</v>
      </c>
      <c r="C98" s="44">
        <v>5120.094359151833</v>
      </c>
      <c r="D98" s="44">
        <v>5410.367335741212</v>
      </c>
      <c r="E98" s="45">
        <v>5359.448345641956</v>
      </c>
      <c r="F98" s="44">
        <v>5868.295946823126</v>
      </c>
      <c r="G98" s="44">
        <v>5756.550559650001</v>
      </c>
      <c r="H98" s="44">
        <v>0</v>
      </c>
      <c r="I98" s="44">
        <v>0</v>
      </c>
    </row>
    <row r="99" spans="1:9" ht="15">
      <c r="A99" s="43" t="str">
        <f>HLOOKUP(INDICE!$F$2,Nombres!$C$3:$D$636,122,FALSE)</f>
        <v>Posiciones inter-áreas pasivo</v>
      </c>
      <c r="B99" s="44">
        <v>44447.70476099441</v>
      </c>
      <c r="C99" s="44">
        <v>33872.73211132591</v>
      </c>
      <c r="D99" s="44">
        <v>29951.97948171466</v>
      </c>
      <c r="E99" s="45">
        <v>25356.12894750323</v>
      </c>
      <c r="F99" s="44">
        <v>21844.821383681938</v>
      </c>
      <c r="G99" s="44">
        <v>30158.593754540092</v>
      </c>
      <c r="H99" s="44">
        <v>0</v>
      </c>
      <c r="I99" s="44">
        <v>0</v>
      </c>
    </row>
    <row r="100" spans="1:9" ht="15">
      <c r="A100" s="43" t="str">
        <f>HLOOKUP(INDICE!$F$2,Nombres!$C$3:$D$636,63,FALSE)</f>
        <v>Otros pasivos</v>
      </c>
      <c r="B100" s="44">
        <f aca="true" t="shared" si="16" ref="B100:G100">+B94-B95-B96-B97-B98-B101-B99</f>
        <v>2640.7906987783863</v>
      </c>
      <c r="C100" s="44">
        <f t="shared" si="16"/>
        <v>4330.0260996561265</v>
      </c>
      <c r="D100" s="44">
        <f t="shared" si="16"/>
        <v>4661.601791346497</v>
      </c>
      <c r="E100" s="45">
        <f t="shared" si="16"/>
        <v>4451.916572350863</v>
      </c>
      <c r="F100" s="44">
        <f t="shared" si="16"/>
        <v>5914.832962785109</v>
      </c>
      <c r="G100" s="44">
        <f t="shared" si="16"/>
        <v>6564.711066409171</v>
      </c>
      <c r="H100" s="44">
        <f>+H94-H95-H96-H97-H98-H101-H99</f>
        <v>0</v>
      </c>
      <c r="I100" s="44">
        <f>+I94-I95-I96-I97-I98-I101-I99</f>
        <v>0</v>
      </c>
    </row>
    <row r="101" spans="1:9" ht="15">
      <c r="A101" s="43" t="str">
        <f>HLOOKUP(INDICE!$F$2,Nombres!$C$3:$D$636,282,FALSE)</f>
        <v>Dotación de capital regulatorio</v>
      </c>
      <c r="B101" s="44">
        <v>10194.717870113347</v>
      </c>
      <c r="C101" s="44">
        <v>10919.022207143262</v>
      </c>
      <c r="D101" s="44">
        <v>11204.909840251594</v>
      </c>
      <c r="E101" s="45">
        <v>10592.492644477812</v>
      </c>
      <c r="F101" s="44">
        <v>10523.828386895924</v>
      </c>
      <c r="G101" s="44">
        <v>11121.4364108108</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43" t="str">
        <f>HLOOKUP(INDICE!$F$2,Nombres!$C$3:$D$636,66,FALSE)</f>
        <v>Préstamos y anticipos a la clientela bruto (*)</v>
      </c>
      <c r="B107" s="44">
        <v>69588.4538529573</v>
      </c>
      <c r="C107" s="44">
        <v>71488.44839864675</v>
      </c>
      <c r="D107" s="44">
        <v>75985.6107478249</v>
      </c>
      <c r="E107" s="45">
        <v>77290.66427250401</v>
      </c>
      <c r="F107" s="44">
        <v>76536.469805191</v>
      </c>
      <c r="G107" s="44">
        <v>76485.34563862</v>
      </c>
      <c r="H107" s="44">
        <v>0</v>
      </c>
      <c r="I107" s="44">
        <v>0</v>
      </c>
    </row>
    <row r="108" spans="1:9" ht="15">
      <c r="A108" s="43" t="str">
        <f>HLOOKUP(INDICE!$F$2,Nombres!$C$3:$D$636,67,FALSE)</f>
        <v>Depósitos de clientes en gestión (**)</v>
      </c>
      <c r="B108" s="44">
        <v>38318.70735853256</v>
      </c>
      <c r="C108" s="44">
        <v>38888.03005544077</v>
      </c>
      <c r="D108" s="44">
        <v>42217.341153318375</v>
      </c>
      <c r="E108" s="45">
        <v>47355.82780352223</v>
      </c>
      <c r="F108" s="44">
        <v>47409.00048388301</v>
      </c>
      <c r="G108" s="44">
        <v>48632.529337240005</v>
      </c>
      <c r="H108" s="44">
        <v>0</v>
      </c>
      <c r="I108" s="44">
        <v>0</v>
      </c>
    </row>
    <row r="109" spans="1:9" ht="15">
      <c r="A109" s="43" t="str">
        <f>HLOOKUP(INDICE!$F$2,Nombres!$C$3:$D$636,68,FALSE)</f>
        <v>Fondos de inversión y carteras gestionadas</v>
      </c>
      <c r="B109" s="44">
        <v>932.7999120025995</v>
      </c>
      <c r="C109" s="44">
        <v>915.2532961614306</v>
      </c>
      <c r="D109" s="44">
        <v>1053.034828743267</v>
      </c>
      <c r="E109" s="45">
        <v>1377.1996461278839</v>
      </c>
      <c r="F109" s="44">
        <v>2559.750145846158</v>
      </c>
      <c r="G109" s="44">
        <v>3704.7147958600003</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161.3224700208139</v>
      </c>
      <c r="C111" s="44">
        <v>401.1423399385898</v>
      </c>
      <c r="D111" s="44">
        <v>326.88067850287047</v>
      </c>
      <c r="E111" s="45">
        <v>178.55909736930877</v>
      </c>
      <c r="F111" s="44">
        <v>413.56177869973345</v>
      </c>
      <c r="G111" s="44">
        <v>461.62464199000004</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391</v>
      </c>
    </row>
  </sheetData>
  <sheetProtection/>
  <mergeCells count="5">
    <mergeCell ref="B6:E6"/>
    <mergeCell ref="B62:E62"/>
    <mergeCell ref="F6:I6"/>
    <mergeCell ref="F62:I62"/>
    <mergeCell ref="A2:I2"/>
  </mergeCells>
  <conditionalFormatting sqref="H82:I82">
    <cfRule type="cellIs" priority="6" dxfId="196" operator="notBetween">
      <formula>0.5</formula>
      <formula>-0.5</formula>
    </cfRule>
  </conditionalFormatting>
  <conditionalFormatting sqref="H26:I26">
    <cfRule type="cellIs" priority="5" dxfId="196" operator="notBetween">
      <formula>0.5</formula>
      <formula>-0.5</formula>
    </cfRule>
  </conditionalFormatting>
  <conditionalFormatting sqref="H82:I82">
    <cfRule type="cellIs" priority="4" dxfId="196" operator="notBetween">
      <formula>0.5</formula>
      <formula>-0.5</formula>
    </cfRule>
  </conditionalFormatting>
  <conditionalFormatting sqref="C82:G82">
    <cfRule type="cellIs" priority="3" dxfId="196" operator="notBetween">
      <formula>0.5</formula>
      <formula>-0.5</formula>
    </cfRule>
  </conditionalFormatting>
  <conditionalFormatting sqref="B26:G26">
    <cfRule type="cellIs" priority="2" dxfId="196" operator="notBetween">
      <formula>0.5</formula>
      <formula>-0.5</formula>
    </cfRule>
  </conditionalFormatting>
  <conditionalFormatting sqref="B82:G82">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5" customWidth="1"/>
    <col min="2" max="7" width="10.00390625" style="95" customWidth="1"/>
    <col min="8" max="9" width="10.00390625" style="95" hidden="1" customWidth="1"/>
    <col min="10" max="255" width="12.57421875" style="95" customWidth="1"/>
  </cols>
  <sheetData>
    <row r="1" spans="1:9" ht="18">
      <c r="A1" s="93" t="str">
        <f>HLOOKUP(INDICE!$F$2,Nombres!$C$3:$D$636,82,FALSE)</f>
        <v>Eficiencia (*)</v>
      </c>
      <c r="B1" s="94"/>
      <c r="C1" s="94"/>
      <c r="D1" s="94"/>
      <c r="E1" s="94"/>
      <c r="F1" s="94"/>
      <c r="G1" s="94"/>
      <c r="H1" s="94"/>
      <c r="I1" s="94"/>
    </row>
    <row r="2" spans="1:9" ht="15">
      <c r="A2" s="96" t="str">
        <f>HLOOKUP(INDICE!$F$2,Nombres!$C$3:$D$636,84,FALSE)</f>
        <v>(Porcentaje)</v>
      </c>
      <c r="B2" s="97"/>
      <c r="C2" s="97"/>
      <c r="D2" s="97"/>
      <c r="E2" s="97"/>
      <c r="F2" s="97"/>
      <c r="G2" s="97"/>
      <c r="H2" s="97"/>
      <c r="I2" s="97"/>
    </row>
    <row r="3" spans="1:9" ht="15.75">
      <c r="A3" s="98"/>
      <c r="B3" s="99">
        <f>+España!B32</f>
        <v>44651</v>
      </c>
      <c r="C3" s="99">
        <f>+España!C32</f>
        <v>44742</v>
      </c>
      <c r="D3" s="99">
        <f>+España!D32</f>
        <v>44834</v>
      </c>
      <c r="E3" s="99">
        <f>+España!E32</f>
        <v>44926</v>
      </c>
      <c r="F3" s="99">
        <f>+España!F32</f>
        <v>45016</v>
      </c>
      <c r="G3" s="99">
        <f>+España!G32</f>
        <v>45107</v>
      </c>
      <c r="H3" s="99">
        <f>+España!H32</f>
        <v>45199</v>
      </c>
      <c r="I3" s="99">
        <f>+España!I32</f>
        <v>45291</v>
      </c>
    </row>
    <row r="4" spans="1:9" ht="15">
      <c r="A4" s="97"/>
      <c r="B4" s="100"/>
      <c r="C4" s="100"/>
      <c r="D4" s="100"/>
      <c r="E4" s="101"/>
      <c r="F4" s="100"/>
      <c r="G4" s="100"/>
      <c r="H4" s="97"/>
      <c r="I4" s="97"/>
    </row>
    <row r="5" spans="1:255" ht="15">
      <c r="A5" s="102" t="str">
        <f>HLOOKUP(INDICE!$F$2,Nombres!$C$3:$D$636,276,FALSE)</f>
        <v>Grupo BBVA  (**)</v>
      </c>
      <c r="B5" s="103">
        <v>44.59259388451612</v>
      </c>
      <c r="C5" s="103">
        <v>44.001841508908576</v>
      </c>
      <c r="D5" s="103">
        <v>42.87307214250945</v>
      </c>
      <c r="E5" s="104">
        <v>43.24923969786968</v>
      </c>
      <c r="F5" s="287">
        <v>43.34636941003954</v>
      </c>
      <c r="G5" s="287">
        <v>41.973478290060775</v>
      </c>
      <c r="H5" s="241">
        <v>0</v>
      </c>
      <c r="I5" s="241">
        <v>0</v>
      </c>
      <c r="J5" s="105"/>
      <c r="K5" s="10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7"/>
      <c r="B6" s="106"/>
      <c r="C6" s="106"/>
      <c r="D6" s="106"/>
      <c r="E6" s="107"/>
      <c r="F6" s="106"/>
      <c r="G6" s="106"/>
      <c r="H6" s="106"/>
      <c r="I6" s="106"/>
      <c r="J6" s="108"/>
      <c r="K6" s="108"/>
      <c r="L6" s="108"/>
    </row>
    <row r="7" spans="1:255" ht="15">
      <c r="A7" s="59" t="str">
        <f>HLOOKUP(INDICE!$F$2,Nombres!$C$3:$D$636,7,FALSE)</f>
        <v>España</v>
      </c>
      <c r="B7" s="109">
        <v>42.84039281030648</v>
      </c>
      <c r="C7" s="109">
        <v>46.732030343016795</v>
      </c>
      <c r="D7" s="109">
        <v>46.398640970219155</v>
      </c>
      <c r="E7" s="110">
        <v>47.4718216877395</v>
      </c>
      <c r="F7" s="111">
        <v>43.60589696318787</v>
      </c>
      <c r="G7" s="111">
        <v>41.78695856657007</v>
      </c>
      <c r="H7" s="111">
        <v>0</v>
      </c>
      <c r="I7" s="111">
        <v>0</v>
      </c>
      <c r="J7" s="105"/>
      <c r="K7" s="105"/>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7"/>
      <c r="B8" s="106"/>
      <c r="C8" s="106"/>
      <c r="D8" s="106"/>
      <c r="E8" s="107"/>
      <c r="F8" s="106"/>
      <c r="G8" s="106"/>
      <c r="H8" s="106"/>
      <c r="I8" s="106"/>
      <c r="J8" s="112"/>
      <c r="K8" s="108"/>
      <c r="L8" s="108"/>
    </row>
    <row r="9" spans="1:255" ht="15">
      <c r="A9" s="59" t="str">
        <f>HLOOKUP(INDICE!$F$2,Nombres!$C$3:$D$636,11,FALSE)</f>
        <v>México</v>
      </c>
      <c r="B9" s="109">
        <v>33.351765505321424</v>
      </c>
      <c r="C9" s="109">
        <v>32.267805009091255</v>
      </c>
      <c r="D9" s="109">
        <v>31.88609209794172</v>
      </c>
      <c r="E9" s="110">
        <v>31.650687790582488</v>
      </c>
      <c r="F9" s="111">
        <v>29.887358001877363</v>
      </c>
      <c r="G9" s="111">
        <v>30.365311026334542</v>
      </c>
      <c r="H9" s="111">
        <v>0</v>
      </c>
      <c r="I9" s="111">
        <v>0</v>
      </c>
      <c r="J9" s="112"/>
      <c r="K9" s="108"/>
      <c r="L9" s="1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7"/>
      <c r="B10" s="106"/>
      <c r="C10" s="106"/>
      <c r="D10" s="106"/>
      <c r="E10" s="107"/>
      <c r="F10" s="106"/>
      <c r="G10" s="106"/>
      <c r="H10" s="106"/>
      <c r="I10" s="106"/>
      <c r="J10" s="112"/>
      <c r="K10" s="108"/>
      <c r="L10" s="108"/>
    </row>
    <row r="11" spans="1:13" ht="15">
      <c r="A11" s="59" t="str">
        <f>HLOOKUP(INDICE!$F$2,Nombres!$C$3:$D$636,12,FALSE)</f>
        <v>Turquía </v>
      </c>
      <c r="B11" s="109">
        <v>47.56928900345278</v>
      </c>
      <c r="C11" s="109">
        <v>37.21537766908219</v>
      </c>
      <c r="D11" s="109">
        <v>33.491743665047736</v>
      </c>
      <c r="E11" s="110">
        <v>33.45406875665871</v>
      </c>
      <c r="F11" s="111">
        <v>49.73030491184325</v>
      </c>
      <c r="G11" s="111">
        <v>39.94940439947987</v>
      </c>
      <c r="H11" s="111">
        <v>0</v>
      </c>
      <c r="I11" s="111">
        <v>0</v>
      </c>
      <c r="J11" s="105"/>
      <c r="K11" s="105"/>
      <c r="L11"/>
      <c r="M11"/>
    </row>
    <row r="12" spans="1:12" ht="15">
      <c r="A12" s="97"/>
      <c r="B12" s="106"/>
      <c r="C12" s="106"/>
      <c r="D12" s="106"/>
      <c r="E12" s="107"/>
      <c r="F12" s="106"/>
      <c r="G12" s="106"/>
      <c r="H12" s="106"/>
      <c r="I12" s="106"/>
      <c r="J12" s="108"/>
      <c r="K12" s="108"/>
      <c r="L12" s="108"/>
    </row>
    <row r="13" spans="1:255" ht="15">
      <c r="A13" s="59" t="str">
        <f>HLOOKUP(INDICE!$F$2,Nombres!$C$3:$D$636,13,FALSE)</f>
        <v>América del Sur </v>
      </c>
      <c r="B13" s="109">
        <v>46.60627601368955</v>
      </c>
      <c r="C13" s="109">
        <v>46.57188905657827</v>
      </c>
      <c r="D13" s="109">
        <v>46.865560964657014</v>
      </c>
      <c r="E13" s="110">
        <v>46.32062689063764</v>
      </c>
      <c r="F13" s="111">
        <v>45.384538107713304</v>
      </c>
      <c r="G13" s="111">
        <v>44.837899735560974</v>
      </c>
      <c r="H13" s="111">
        <v>0</v>
      </c>
      <c r="I13" s="111">
        <v>0</v>
      </c>
      <c r="J13" s="105"/>
      <c r="K13" s="10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7"/>
      <c r="B14" s="106"/>
      <c r="C14" s="106"/>
      <c r="D14" s="106"/>
      <c r="E14" s="107"/>
      <c r="F14" s="106"/>
      <c r="G14" s="106"/>
      <c r="H14" s="106"/>
      <c r="I14" s="106"/>
      <c r="J14" s="108"/>
      <c r="K14" s="108"/>
      <c r="L14" s="108"/>
    </row>
    <row r="15" spans="1:255" ht="15">
      <c r="A15" s="59" t="str">
        <f>HLOOKUP(INDICE!$F$2,Nombres!$C$3:$D$636,263,FALSE)</f>
        <v>Resto de Negocios</v>
      </c>
      <c r="B15" s="109">
        <v>56.77350472560222</v>
      </c>
      <c r="C15" s="109">
        <v>60.87352469325814</v>
      </c>
      <c r="D15" s="109">
        <v>62.8656313590521</v>
      </c>
      <c r="E15" s="110">
        <v>65.034255143379</v>
      </c>
      <c r="F15" s="111">
        <v>53.07053245709896</v>
      </c>
      <c r="G15" s="111">
        <v>49.00538346718666</v>
      </c>
      <c r="H15" s="111">
        <v>0</v>
      </c>
      <c r="I15" s="111">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7"/>
      <c r="B16" s="113"/>
      <c r="C16" s="113"/>
      <c r="D16" s="113"/>
      <c r="E16" s="113"/>
      <c r="F16" s="113"/>
      <c r="G16" s="113"/>
      <c r="H16" s="97"/>
      <c r="I16" s="264"/>
      <c r="J16" s="108"/>
      <c r="K16" s="108"/>
      <c r="L16" s="108"/>
    </row>
    <row r="17" spans="1:12" ht="15">
      <c r="A17" s="114" t="str">
        <f>HLOOKUP(INDICE!$F$2,Nombres!$C$3:$D$636,83,FALSE)</f>
        <v>(*) Gastos de explotación / Margen bruto. Incluye amortizaciones</v>
      </c>
      <c r="B17" s="97"/>
      <c r="C17" s="97"/>
      <c r="D17" s="97"/>
      <c r="E17" s="97"/>
      <c r="F17" s="97"/>
      <c r="G17" s="97"/>
      <c r="H17" s="97"/>
      <c r="I17" s="264"/>
      <c r="J17" s="108"/>
      <c r="K17" s="108"/>
      <c r="L17" s="108"/>
    </row>
    <row r="18" spans="1:12" ht="15">
      <c r="A18" s="115"/>
      <c r="B18" s="115"/>
      <c r="C18" s="115"/>
      <c r="D18" s="115"/>
      <c r="E18" s="115"/>
      <c r="F18" s="115"/>
      <c r="G18" s="115"/>
      <c r="H18" s="115"/>
      <c r="I18" s="265"/>
      <c r="J18" s="108"/>
      <c r="K18" s="108"/>
      <c r="L18" s="108"/>
    </row>
    <row r="19" spans="1:9" ht="15">
      <c r="A19" s="114"/>
      <c r="B19" s="115"/>
      <c r="C19" s="115"/>
      <c r="D19" s="115"/>
      <c r="E19" s="115"/>
      <c r="F19" s="115"/>
      <c r="G19" s="115"/>
      <c r="H19" s="115"/>
      <c r="I19" s="115"/>
    </row>
    <row r="998" ht="15">
      <c r="A998" s="95" t="s">
        <v>391</v>
      </c>
    </row>
  </sheetData>
  <sheetProtection/>
  <conditionalFormatting sqref="C82:I82">
    <cfRule type="cellIs" priority="3" dxfId="196" operator="notBetween">
      <formula>0.5</formula>
      <formula>-0.5</formula>
    </cfRule>
  </conditionalFormatting>
  <conditionalFormatting sqref="B26:I26">
    <cfRule type="cellIs" priority="2" dxfId="196" operator="notBetween">
      <formula>0.5</formula>
      <formula>-0.5</formula>
    </cfRule>
  </conditionalFormatting>
  <conditionalFormatting sqref="B82:I82">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1" customWidth="1"/>
    <col min="2" max="6" width="10.8515625" style="95" customWidth="1" collapsed="1"/>
    <col min="7" max="7" width="10.8515625" style="95" customWidth="1"/>
    <col min="8" max="9" width="10.8515625" style="117" hidden="1" customWidth="1"/>
    <col min="10" max="11" width="9.57421875" style="117" customWidth="1"/>
    <col min="12" max="255" width="12.57421875" style="117" customWidth="1"/>
  </cols>
  <sheetData>
    <row r="1" spans="1:9" ht="19.5">
      <c r="A1" s="93" t="str">
        <f>HLOOKUP(INDICE!$F$2,Nombres!$C$3:$D$636,85,FALSE)</f>
        <v>Tasa de mora</v>
      </c>
      <c r="B1" s="116"/>
      <c r="C1" s="116"/>
      <c r="D1" s="116"/>
      <c r="E1" s="116"/>
      <c r="F1" s="116"/>
      <c r="G1" s="94"/>
      <c r="H1" s="94"/>
      <c r="I1" s="94"/>
    </row>
    <row r="2" spans="1:9" ht="15">
      <c r="A2" s="96" t="str">
        <f>HLOOKUP(INDICE!$F$2,Nombres!$C$3:$D$636,84,FALSE)</f>
        <v>(Porcentaje)</v>
      </c>
      <c r="B2" s="97"/>
      <c r="C2" s="97"/>
      <c r="D2" s="97"/>
      <c r="E2" s="97"/>
      <c r="F2" s="97"/>
      <c r="G2" s="97"/>
      <c r="H2" s="97"/>
      <c r="I2" s="97"/>
    </row>
    <row r="3" spans="1:9" ht="15.75">
      <c r="A3" s="97"/>
      <c r="B3" s="118">
        <f>+España!B$32</f>
        <v>44651</v>
      </c>
      <c r="C3" s="118">
        <f>+España!C$32</f>
        <v>44742</v>
      </c>
      <c r="D3" s="118">
        <f>+España!D$32</f>
        <v>44834</v>
      </c>
      <c r="E3" s="118">
        <f>+España!E$32</f>
        <v>44926</v>
      </c>
      <c r="F3" s="118">
        <f>+España!F$32</f>
        <v>45016</v>
      </c>
      <c r="G3" s="118">
        <f>+España!G$32</f>
        <v>45107</v>
      </c>
      <c r="H3" s="118">
        <f>+España!H$32</f>
        <v>45199</v>
      </c>
      <c r="I3" s="118">
        <f>+España!I$32</f>
        <v>45291</v>
      </c>
    </row>
    <row r="4" spans="1:9" ht="15">
      <c r="A4" s="97"/>
      <c r="B4" s="100"/>
      <c r="C4" s="100"/>
      <c r="D4" s="97"/>
      <c r="E4" s="119"/>
      <c r="F4" s="100"/>
      <c r="G4" s="100"/>
      <c r="H4" s="97"/>
      <c r="I4" s="97"/>
    </row>
    <row r="5" spans="1:255" ht="15">
      <c r="A5" s="102" t="str">
        <f>HLOOKUP(INDICE!$F$2,Nombres!$C$3:$D$636,275,FALSE)</f>
        <v>Grupo BBVA  (*)</v>
      </c>
      <c r="B5" s="103">
        <v>3.953917482020503</v>
      </c>
      <c r="C5" s="103">
        <v>3.747477826871732</v>
      </c>
      <c r="D5" s="103">
        <v>3.541900415322738</v>
      </c>
      <c r="E5" s="104">
        <v>3.4137052001922643</v>
      </c>
      <c r="F5" s="103">
        <v>3.300749736577279</v>
      </c>
      <c r="G5" s="287">
        <v>3.3681816396138924</v>
      </c>
      <c r="H5" s="287">
        <v>0</v>
      </c>
      <c r="I5" s="287">
        <v>0</v>
      </c>
      <c r="J5" s="120"/>
      <c r="K5" s="121"/>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7"/>
      <c r="B6" s="106"/>
      <c r="C6" s="106"/>
      <c r="D6" s="106"/>
      <c r="E6" s="107"/>
      <c r="F6" s="106"/>
      <c r="G6" s="106"/>
      <c r="H6" s="106"/>
      <c r="I6" s="106"/>
      <c r="J6" s="120"/>
      <c r="K6" s="121"/>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row>
    <row r="7" spans="1:255" ht="15">
      <c r="A7" s="59" t="str">
        <f>HLOOKUP(INDICE!$F$2,Nombres!$C$3:$D$636,7,FALSE)</f>
        <v>España</v>
      </c>
      <c r="B7" s="109">
        <v>4.178077818615378</v>
      </c>
      <c r="C7" s="109">
        <v>4.0379924217929295</v>
      </c>
      <c r="D7" s="109">
        <v>3.909175765111224</v>
      </c>
      <c r="E7" s="110">
        <v>3.938966283453662</v>
      </c>
      <c r="F7" s="109">
        <v>3.8913902636108206</v>
      </c>
      <c r="G7" s="111">
        <v>4.04429005967463</v>
      </c>
      <c r="H7" s="111">
        <v>0</v>
      </c>
      <c r="I7" s="111">
        <v>0</v>
      </c>
      <c r="J7" s="120"/>
      <c r="K7" s="1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7"/>
      <c r="B8" s="106"/>
      <c r="C8" s="106"/>
      <c r="D8" s="106"/>
      <c r="E8" s="107"/>
      <c r="F8" s="106"/>
      <c r="G8" s="106"/>
      <c r="H8" s="106"/>
      <c r="I8" s="106"/>
      <c r="J8" s="120"/>
      <c r="K8" s="123"/>
    </row>
    <row r="9" spans="1:255" ht="15">
      <c r="A9" s="59" t="str">
        <f>HLOOKUP(INDICE!$F$2,Nombres!$C$3:$D$636,11,FALSE)</f>
        <v>México</v>
      </c>
      <c r="B9" s="109">
        <v>2.9742155731406323</v>
      </c>
      <c r="C9" s="109">
        <v>2.8285712072663385</v>
      </c>
      <c r="D9" s="109">
        <v>2.541893659021946</v>
      </c>
      <c r="E9" s="110">
        <v>2.5107924596677957</v>
      </c>
      <c r="F9" s="109">
        <v>2.3333530903875235</v>
      </c>
      <c r="G9" s="111">
        <v>2.466013262493771</v>
      </c>
      <c r="H9" s="111">
        <v>0</v>
      </c>
      <c r="I9" s="111">
        <v>0</v>
      </c>
      <c r="J9" s="120"/>
      <c r="K9" s="12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7"/>
      <c r="B10" s="106"/>
      <c r="C10" s="106"/>
      <c r="D10" s="106"/>
      <c r="E10" s="107"/>
      <c r="F10" s="106"/>
      <c r="G10" s="106"/>
      <c r="H10" s="106"/>
      <c r="I10" s="106"/>
      <c r="J10" s="120"/>
      <c r="K10" s="123"/>
    </row>
    <row r="11" spans="1:13" ht="15">
      <c r="A11" s="59" t="str">
        <f>HLOOKUP(INDICE!$F$2,Nombres!$C$3:$D$636,12,FALSE)</f>
        <v>Turquía </v>
      </c>
      <c r="B11" s="109">
        <v>6.698800791801732</v>
      </c>
      <c r="C11" s="109">
        <v>5.919127384056333</v>
      </c>
      <c r="D11" s="109">
        <v>5.599938647841903</v>
      </c>
      <c r="E11" s="110">
        <v>5.08234793442285</v>
      </c>
      <c r="F11" s="109">
        <v>4.309474416942526</v>
      </c>
      <c r="G11" s="111">
        <v>4.189769748161</v>
      </c>
      <c r="H11" s="111">
        <v>0</v>
      </c>
      <c r="I11" s="111">
        <v>0</v>
      </c>
      <c r="J11" s="120"/>
      <c r="K11"/>
      <c r="L11"/>
      <c r="M11"/>
    </row>
    <row r="12" spans="1:11" ht="15">
      <c r="A12" s="97"/>
      <c r="B12" s="106"/>
      <c r="C12" s="106"/>
      <c r="D12" s="106"/>
      <c r="E12" s="107"/>
      <c r="F12" s="106"/>
      <c r="G12" s="106"/>
      <c r="H12" s="106"/>
      <c r="I12" s="106"/>
      <c r="J12" s="120"/>
      <c r="K12" s="123"/>
    </row>
    <row r="13" spans="1:255" ht="15">
      <c r="A13" s="59" t="str">
        <f>HLOOKUP(INDICE!$F$2,Nombres!$C$3:$D$636,13,FALSE)</f>
        <v>América del Sur </v>
      </c>
      <c r="B13" s="109">
        <v>4.284321593196776</v>
      </c>
      <c r="C13" s="109">
        <v>4.158127481179529</v>
      </c>
      <c r="D13" s="109">
        <v>4.121804637551528</v>
      </c>
      <c r="E13" s="110">
        <v>4.102382240738093</v>
      </c>
      <c r="F13" s="109">
        <v>4.25658640482325</v>
      </c>
      <c r="G13" s="111">
        <v>4.349103076951501</v>
      </c>
      <c r="H13" s="111">
        <v>0</v>
      </c>
      <c r="I13" s="111">
        <v>0</v>
      </c>
      <c r="J13" s="12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7"/>
      <c r="B14" s="124"/>
      <c r="C14" s="124"/>
      <c r="D14" s="124"/>
      <c r="E14" s="288"/>
      <c r="F14" s="124"/>
      <c r="G14" s="289"/>
      <c r="H14" s="289"/>
      <c r="I14" s="289"/>
      <c r="J14" s="120"/>
      <c r="K14" s="123"/>
      <c r="L14" s="122"/>
      <c r="M14" s="122"/>
    </row>
    <row r="15" spans="1:255" ht="15">
      <c r="A15" s="59" t="str">
        <f>HLOOKUP(INDICE!$F$2,Nombres!$C$3:$D$636,263,FALSE)</f>
        <v>Resto de Negocios</v>
      </c>
      <c r="B15" s="109">
        <v>0.5653319412795116</v>
      </c>
      <c r="C15" s="109">
        <v>0.5487597965212433</v>
      </c>
      <c r="D15" s="109">
        <v>0.38241011703822275</v>
      </c>
      <c r="E15" s="110">
        <v>0.37083506306028896</v>
      </c>
      <c r="F15" s="109">
        <v>0.5009380645660598</v>
      </c>
      <c r="G15" s="111">
        <v>0.4944907644175156</v>
      </c>
      <c r="H15" s="111">
        <v>0</v>
      </c>
      <c r="I15" s="111">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5"/>
      <c r="B16" s="124"/>
      <c r="C16" s="124"/>
      <c r="D16" s="290"/>
      <c r="E16" s="290"/>
      <c r="F16" s="124"/>
      <c r="G16" s="124"/>
      <c r="H16" s="290"/>
      <c r="I16" s="290"/>
      <c r="J16" s="123"/>
      <c r="K16" s="123"/>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row>
    <row r="17" spans="1:11" ht="15">
      <c r="A17" s="97"/>
      <c r="B17" s="124"/>
      <c r="C17" s="124"/>
      <c r="D17" s="126"/>
      <c r="E17" s="126"/>
      <c r="F17" s="124"/>
      <c r="G17" s="124"/>
      <c r="H17" s="126"/>
      <c r="I17" s="126"/>
      <c r="J17" s="123"/>
      <c r="K17" s="123"/>
    </row>
    <row r="18" spans="1:255" ht="18">
      <c r="A18" s="93" t="str">
        <f>HLOOKUP(INDICE!$F$2,Nombres!$C$3:$D$636,86,FALSE)</f>
        <v>Tasa de cobertura</v>
      </c>
      <c r="B18" s="127"/>
      <c r="C18" s="127"/>
      <c r="D18" s="128"/>
      <c r="E18" s="128"/>
      <c r="F18" s="127"/>
      <c r="G18" s="127"/>
      <c r="H18" s="128"/>
      <c r="I18" s="128"/>
      <c r="J18" s="123"/>
      <c r="K18" s="123"/>
      <c r="L18" s="129"/>
      <c r="M18" s="129"/>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row>
    <row r="19" spans="1:11" ht="15">
      <c r="A19" s="96" t="str">
        <f>HLOOKUP(INDICE!$F$2,Nombres!$C$3:$D$636,84,FALSE)</f>
        <v>(Porcentaje)</v>
      </c>
      <c r="B19" s="113"/>
      <c r="C19" s="113"/>
      <c r="D19" s="126"/>
      <c r="E19" s="126"/>
      <c r="F19" s="113"/>
      <c r="G19" s="113"/>
      <c r="H19" s="126"/>
      <c r="I19" s="126"/>
      <c r="J19" s="123"/>
      <c r="K19" s="123"/>
    </row>
    <row r="20" spans="1:255" ht="15.75">
      <c r="A20" s="97"/>
      <c r="B20" s="118">
        <f aca="true" t="shared" si="0" ref="B20:I20">+B$3</f>
        <v>44651</v>
      </c>
      <c r="C20" s="118">
        <f t="shared" si="0"/>
        <v>44742</v>
      </c>
      <c r="D20" s="118">
        <f t="shared" si="0"/>
        <v>44834</v>
      </c>
      <c r="E20" s="118">
        <f t="shared" si="0"/>
        <v>44926</v>
      </c>
      <c r="F20" s="118">
        <f t="shared" si="0"/>
        <v>45016</v>
      </c>
      <c r="G20" s="118">
        <f t="shared" si="0"/>
        <v>45107</v>
      </c>
      <c r="H20" s="118">
        <f t="shared" si="0"/>
        <v>45199</v>
      </c>
      <c r="I20" s="118">
        <f t="shared" si="0"/>
        <v>45291</v>
      </c>
      <c r="J20" s="123"/>
      <c r="K20" s="123"/>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row>
    <row r="21" spans="1:11" ht="15">
      <c r="A21" s="97"/>
      <c r="B21" s="130"/>
      <c r="C21" s="130"/>
      <c r="D21" s="126"/>
      <c r="E21" s="126"/>
      <c r="F21" s="130"/>
      <c r="G21" s="130"/>
      <c r="H21" s="126"/>
      <c r="I21" s="126"/>
      <c r="J21" s="123"/>
      <c r="K21" s="123"/>
    </row>
    <row r="22" spans="1:13" ht="15">
      <c r="A22" s="102" t="str">
        <f>HLOOKUP(INDICE!$F$2,Nombres!$C$3:$D$636,275,FALSE)</f>
        <v>Grupo BBVA  (*)</v>
      </c>
      <c r="B22" s="131">
        <v>75.90959260579432</v>
      </c>
      <c r="C22" s="131">
        <v>78.44317836158264</v>
      </c>
      <c r="D22" s="131">
        <v>82.90490483475553</v>
      </c>
      <c r="E22" s="132">
        <v>81.34031740533463</v>
      </c>
      <c r="F22" s="131">
        <v>82.46398208703984</v>
      </c>
      <c r="G22" s="238">
        <v>79.6213853029347</v>
      </c>
      <c r="H22" s="238">
        <v>0</v>
      </c>
      <c r="I22" s="238">
        <v>0</v>
      </c>
      <c r="J22" s="133"/>
      <c r="K22"/>
      <c r="L22"/>
      <c r="M22"/>
    </row>
    <row r="23" spans="1:13" ht="15">
      <c r="A23" s="97"/>
      <c r="B23" s="134"/>
      <c r="C23" s="134"/>
      <c r="D23" s="134"/>
      <c r="E23" s="135"/>
      <c r="F23" s="134"/>
      <c r="G23" s="134"/>
      <c r="H23" s="134"/>
      <c r="I23" s="134"/>
      <c r="J23" s="133"/>
      <c r="K23" s="123"/>
      <c r="L23" s="122"/>
      <c r="M23" s="122"/>
    </row>
    <row r="24" spans="1:255" ht="15">
      <c r="A24" s="59" t="str">
        <f>HLOOKUP(INDICE!$F$2,Nombres!$C$3:$D$636,7,FALSE)</f>
        <v>España</v>
      </c>
      <c r="B24" s="136">
        <v>61.43107082733417</v>
      </c>
      <c r="C24" s="136">
        <v>61.47458778999283</v>
      </c>
      <c r="D24" s="136">
        <v>64.02578141219166</v>
      </c>
      <c r="E24" s="137">
        <v>60.932596217374446</v>
      </c>
      <c r="F24" s="136">
        <v>58.65475746024477</v>
      </c>
      <c r="G24" s="239">
        <v>56.62990733260397</v>
      </c>
      <c r="H24" s="239">
        <v>0</v>
      </c>
      <c r="I24" s="239">
        <v>0</v>
      </c>
      <c r="J24" s="133"/>
      <c r="K24" s="138"/>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7"/>
      <c r="B25" s="134"/>
      <c r="C25" s="134"/>
      <c r="D25" s="134"/>
      <c r="E25" s="135"/>
      <c r="F25" s="134"/>
      <c r="G25" s="134"/>
      <c r="H25" s="134"/>
      <c r="I25" s="134"/>
      <c r="J25" s="133"/>
      <c r="K25" s="123"/>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row>
    <row r="26" spans="1:255" ht="15">
      <c r="A26" s="59" t="str">
        <f>HLOOKUP(INDICE!$F$2,Nombres!$C$3:$D$636,11,FALSE)</f>
        <v>México</v>
      </c>
      <c r="B26" s="136">
        <v>115.32998289468945</v>
      </c>
      <c r="C26" s="136">
        <v>118.86552892861486</v>
      </c>
      <c r="D26" s="136">
        <v>133.31832481070737</v>
      </c>
      <c r="E26" s="137">
        <v>128.8645225885075</v>
      </c>
      <c r="F26" s="136">
        <v>137.06742757462104</v>
      </c>
      <c r="G26" s="239">
        <v>129.24640407780984</v>
      </c>
      <c r="H26" s="239">
        <v>0</v>
      </c>
      <c r="I26" s="239">
        <v>0</v>
      </c>
      <c r="J26" s="13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7"/>
      <c r="B27" s="134"/>
      <c r="C27" s="134"/>
      <c r="D27" s="134"/>
      <c r="E27" s="135"/>
      <c r="F27" s="134"/>
      <c r="G27" s="134"/>
      <c r="H27" s="134"/>
      <c r="I27" s="134"/>
      <c r="J27" s="133"/>
      <c r="K27"/>
      <c r="L27"/>
      <c r="M27"/>
    </row>
    <row r="28" spans="1:255" ht="15">
      <c r="A28" s="59" t="str">
        <f>HLOOKUP(INDICE!$F$2,Nombres!$C$3:$D$636,12,FALSE)</f>
        <v>Turquía </v>
      </c>
      <c r="B28" s="136">
        <v>74.76965437494731</v>
      </c>
      <c r="C28" s="136">
        <v>82.60315255904412</v>
      </c>
      <c r="D28" s="136">
        <v>86.05853473922438</v>
      </c>
      <c r="E28" s="137">
        <v>90.42479667675309</v>
      </c>
      <c r="F28" s="136">
        <v>98.55999197638175</v>
      </c>
      <c r="G28" s="239">
        <v>97.19711764119351</v>
      </c>
      <c r="H28" s="239">
        <v>0</v>
      </c>
      <c r="I28" s="239">
        <v>0</v>
      </c>
      <c r="J28" s="133"/>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7"/>
      <c r="B29" s="134"/>
      <c r="C29" s="134"/>
      <c r="D29" s="134"/>
      <c r="E29" s="135"/>
      <c r="F29" s="134"/>
      <c r="G29" s="134"/>
      <c r="H29" s="134"/>
      <c r="I29" s="134"/>
      <c r="J29" s="133"/>
      <c r="K29" s="123"/>
    </row>
    <row r="30" spans="1:255" ht="15">
      <c r="A30" s="59" t="str">
        <f>HLOOKUP(INDICE!$F$2,Nombres!$C$3:$D$636,13,FALSE)</f>
        <v>América del Sur </v>
      </c>
      <c r="B30" s="136">
        <v>99.13889189453238</v>
      </c>
      <c r="C30" s="136">
        <v>99.95403110476879</v>
      </c>
      <c r="D30" s="136">
        <v>99.68469214441657</v>
      </c>
      <c r="E30" s="137">
        <v>100.74038921512967</v>
      </c>
      <c r="F30" s="136">
        <v>99.17788049015059</v>
      </c>
      <c r="G30" s="239">
        <v>95.20998020280496</v>
      </c>
      <c r="H30" s="239">
        <v>0</v>
      </c>
      <c r="I30" s="239">
        <v>0</v>
      </c>
      <c r="J30" s="133"/>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7"/>
      <c r="B31" s="139"/>
      <c r="C31" s="139"/>
      <c r="D31" s="139"/>
      <c r="E31" s="140"/>
      <c r="F31" s="139"/>
      <c r="G31" s="240"/>
      <c r="H31" s="240"/>
      <c r="I31" s="240"/>
      <c r="J31" s="133"/>
      <c r="K31" s="123"/>
      <c r="L31" s="122"/>
      <c r="M31" s="122"/>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Resto de Negocios</v>
      </c>
      <c r="B32" s="136">
        <v>116.20250793137077</v>
      </c>
      <c r="C32" s="136">
        <v>120.38337582944483</v>
      </c>
      <c r="D32" s="136">
        <v>158.1811853476769</v>
      </c>
      <c r="E32" s="137">
        <v>130.66737621004722</v>
      </c>
      <c r="F32" s="136">
        <v>100.7975027839465</v>
      </c>
      <c r="G32" s="239">
        <v>96.27303569322623</v>
      </c>
      <c r="H32" s="239">
        <v>0</v>
      </c>
      <c r="I32" s="239">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5"/>
      <c r="B33" s="141"/>
      <c r="C33" s="141"/>
      <c r="D33" s="126"/>
      <c r="E33" s="126"/>
      <c r="F33" s="141"/>
      <c r="G33" s="141"/>
      <c r="H33" s="126"/>
      <c r="I33" s="126"/>
      <c r="J33" s="123"/>
      <c r="K33" s="123"/>
      <c r="L33" s="122"/>
      <c r="M33" s="122"/>
    </row>
    <row r="34" spans="1:255" ht="15">
      <c r="A34" s="97"/>
      <c r="B34" s="141"/>
      <c r="C34" s="141"/>
      <c r="D34" s="126"/>
      <c r="E34" s="126"/>
      <c r="F34" s="141"/>
      <c r="G34" s="141"/>
      <c r="H34" s="126"/>
      <c r="I34" s="126"/>
      <c r="J34" s="123"/>
      <c r="K34" s="12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3" t="str">
        <f>HLOOKUP(INDICE!$F$2,Nombres!$C$3:$D$636,87,FALSE)</f>
        <v>Coste del riesgo acumulado</v>
      </c>
      <c r="B35" s="127"/>
      <c r="C35" s="127"/>
      <c r="D35" s="128"/>
      <c r="E35" s="128"/>
      <c r="F35" s="127"/>
      <c r="G35" s="127"/>
      <c r="H35" s="128"/>
      <c r="I35" s="128"/>
      <c r="J35" s="123"/>
      <c r="K35" s="123"/>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row>
    <row r="36" spans="1:11" ht="15">
      <c r="A36" s="96" t="str">
        <f>HLOOKUP(INDICE!$F$2,Nombres!$C$3:$D$636,84,FALSE)</f>
        <v>(Porcentaje)</v>
      </c>
      <c r="B36" s="141"/>
      <c r="C36" s="141"/>
      <c r="D36" s="126"/>
      <c r="E36" s="126"/>
      <c r="F36" s="141"/>
      <c r="G36" s="141"/>
      <c r="H36" s="126"/>
      <c r="I36" s="126"/>
      <c r="J36" s="123"/>
      <c r="K36" s="123"/>
    </row>
    <row r="37" spans="1:255" ht="15.75">
      <c r="A37" s="97"/>
      <c r="B37" s="118">
        <f aca="true" t="shared" si="1" ref="B37:I37">+B$3</f>
        <v>44651</v>
      </c>
      <c r="C37" s="118">
        <f t="shared" si="1"/>
        <v>44742</v>
      </c>
      <c r="D37" s="118">
        <f t="shared" si="1"/>
        <v>44834</v>
      </c>
      <c r="E37" s="118">
        <f t="shared" si="1"/>
        <v>44926</v>
      </c>
      <c r="F37" s="118">
        <f t="shared" si="1"/>
        <v>45016</v>
      </c>
      <c r="G37" s="118">
        <f t="shared" si="1"/>
        <v>45107</v>
      </c>
      <c r="H37" s="118">
        <f t="shared" si="1"/>
        <v>45199</v>
      </c>
      <c r="I37" s="118">
        <f t="shared" si="1"/>
        <v>45291</v>
      </c>
      <c r="J37" s="123"/>
      <c r="K37" s="123"/>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row>
    <row r="38" spans="1:11" ht="15">
      <c r="A38" s="97"/>
      <c r="B38" s="130"/>
      <c r="C38" s="130"/>
      <c r="D38" s="126"/>
      <c r="E38" s="126"/>
      <c r="F38" s="130"/>
      <c r="G38" s="130"/>
      <c r="H38" s="126"/>
      <c r="I38" s="126"/>
      <c r="J38" s="123"/>
      <c r="K38" s="123"/>
    </row>
    <row r="39" spans="1:13" ht="15">
      <c r="A39" s="102" t="str">
        <f>HLOOKUP(INDICE!$F$2,Nombres!$C$3:$D$636,275,FALSE)</f>
        <v>Grupo BBVA  (*)</v>
      </c>
      <c r="B39" s="142">
        <v>0.8155986952391824</v>
      </c>
      <c r="C39" s="142">
        <v>0.8070490788616349</v>
      </c>
      <c r="D39" s="142">
        <v>0.8638078285393995</v>
      </c>
      <c r="E39" s="143">
        <v>0.9132038791617962</v>
      </c>
      <c r="F39" s="142">
        <v>1.0461780866401273</v>
      </c>
      <c r="G39" s="142">
        <v>1.0397676564131588</v>
      </c>
      <c r="H39" s="241">
        <v>0</v>
      </c>
      <c r="I39" s="241">
        <v>0</v>
      </c>
      <c r="J39" s="105"/>
      <c r="K39"/>
      <c r="L39"/>
      <c r="M39"/>
    </row>
    <row r="40" spans="1:13" ht="15">
      <c r="A40" s="97"/>
      <c r="B40" s="144"/>
      <c r="C40" s="144"/>
      <c r="D40" s="144"/>
      <c r="E40" s="145"/>
      <c r="F40" s="144"/>
      <c r="G40" s="144"/>
      <c r="H40" s="144"/>
      <c r="I40" s="144"/>
      <c r="J40" s="123"/>
      <c r="K40" s="123"/>
      <c r="L40" s="122"/>
      <c r="M40" s="122"/>
    </row>
    <row r="41" spans="1:13" ht="15">
      <c r="A41" s="59" t="str">
        <f>HLOOKUP(INDICE!$F$2,Nombres!$C$3:$D$636,7,FALSE)</f>
        <v>España</v>
      </c>
      <c r="B41" s="146">
        <v>0.16651458403934324</v>
      </c>
      <c r="C41" s="146">
        <v>0.2006528444635625</v>
      </c>
      <c r="D41" s="146">
        <v>0.236374292451908</v>
      </c>
      <c r="E41" s="147">
        <v>0.2845246615123951</v>
      </c>
      <c r="F41" s="146">
        <v>0.26676018510131627</v>
      </c>
      <c r="G41" s="242">
        <v>0.2749151192442661</v>
      </c>
      <c r="H41" s="242">
        <v>0</v>
      </c>
      <c r="I41" s="242">
        <v>0</v>
      </c>
      <c r="J41" s="105"/>
      <c r="K41"/>
      <c r="L41"/>
      <c r="M41"/>
    </row>
    <row r="42" spans="1:13" ht="15">
      <c r="A42" s="97"/>
      <c r="B42" s="144"/>
      <c r="C42" s="144"/>
      <c r="D42" s="144"/>
      <c r="E42" s="145"/>
      <c r="F42" s="144"/>
      <c r="G42" s="144"/>
      <c r="H42" s="144"/>
      <c r="I42" s="144"/>
      <c r="J42" s="105"/>
      <c r="K42"/>
      <c r="L42"/>
      <c r="M42"/>
    </row>
    <row r="43" spans="1:255" ht="15">
      <c r="A43" s="59" t="str">
        <f>HLOOKUP(INDICE!$F$2,Nombres!$C$3:$D$636,11,FALSE)</f>
        <v>México</v>
      </c>
      <c r="B43" s="146">
        <v>2.8539751186157454</v>
      </c>
      <c r="C43" s="146">
        <v>2.5869715095204815</v>
      </c>
      <c r="D43" s="146">
        <v>2.5912679297384478</v>
      </c>
      <c r="E43" s="147">
        <v>2.487269989089657</v>
      </c>
      <c r="F43" s="146">
        <v>2.88173543480886</v>
      </c>
      <c r="G43" s="242">
        <v>2.8607913671655503</v>
      </c>
      <c r="H43" s="242">
        <v>0</v>
      </c>
      <c r="I43" s="242">
        <v>0</v>
      </c>
      <c r="J43" s="10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7"/>
      <c r="B44" s="144"/>
      <c r="C44" s="144"/>
      <c r="D44" s="144"/>
      <c r="E44" s="145"/>
      <c r="F44" s="144"/>
      <c r="G44" s="144"/>
      <c r="H44" s="144"/>
      <c r="I44" s="144"/>
      <c r="J44" s="123"/>
      <c r="K44" s="123"/>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2"/>
      <c r="IP44" s="122"/>
      <c r="IQ44" s="122"/>
      <c r="IR44" s="122"/>
      <c r="IS44" s="122"/>
      <c r="IT44" s="122"/>
      <c r="IU44" s="122"/>
    </row>
    <row r="45" spans="1:255" ht="15">
      <c r="A45" s="59" t="str">
        <f>HLOOKUP(INDICE!$F$2,Nombres!$C$3:$D$636,12,FALSE)</f>
        <v>Turquía </v>
      </c>
      <c r="B45" s="146">
        <v>0.9923298524529925</v>
      </c>
      <c r="C45" s="146">
        <v>0.8826030774853713</v>
      </c>
      <c r="D45" s="146">
        <v>0.8922152967813575</v>
      </c>
      <c r="E45" s="147">
        <v>0.9367779079075232</v>
      </c>
      <c r="F45" s="146">
        <v>0.5178951955506698</v>
      </c>
      <c r="G45" s="242">
        <v>0.22820085527974912</v>
      </c>
      <c r="H45" s="242">
        <v>0</v>
      </c>
      <c r="I45" s="242">
        <v>0</v>
      </c>
      <c r="J45" s="10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7"/>
      <c r="B46" s="144"/>
      <c r="C46" s="144"/>
      <c r="D46" s="144"/>
      <c r="E46" s="145"/>
      <c r="F46" s="144"/>
      <c r="G46" s="144"/>
      <c r="H46" s="144"/>
      <c r="I46" s="144"/>
      <c r="J46" s="123"/>
      <c r="K46" s="123"/>
    </row>
    <row r="47" spans="1:255" ht="15">
      <c r="A47" s="59" t="str">
        <f>HLOOKUP(INDICE!$F$2,Nombres!$C$3:$D$636,13,FALSE)</f>
        <v>América del Sur </v>
      </c>
      <c r="B47" s="146">
        <v>1.1698478580990255</v>
      </c>
      <c r="C47" s="146">
        <v>1.242325751645526</v>
      </c>
      <c r="D47" s="146">
        <v>1.4285602755730216</v>
      </c>
      <c r="E47" s="147">
        <v>1.6888714589062457</v>
      </c>
      <c r="F47" s="146">
        <v>2.183473672640772</v>
      </c>
      <c r="G47" s="242">
        <v>2.3360372185084475</v>
      </c>
      <c r="H47" s="242">
        <v>0</v>
      </c>
      <c r="I47" s="242">
        <v>0</v>
      </c>
      <c r="J47" s="10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7"/>
      <c r="B48" s="148"/>
      <c r="C48" s="148"/>
      <c r="D48" s="148"/>
      <c r="E48" s="149"/>
      <c r="F48" s="148"/>
      <c r="G48" s="243"/>
      <c r="H48" s="243"/>
      <c r="I48" s="243"/>
      <c r="J48" s="123"/>
      <c r="K48" s="123"/>
      <c r="L48" s="122"/>
      <c r="M48" s="12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Resto de Negocios</v>
      </c>
      <c r="B49" s="146">
        <v>-0.10382136162482422</v>
      </c>
      <c r="C49" s="146">
        <v>0.000887280529842365</v>
      </c>
      <c r="D49" s="146">
        <v>0.016140154405523275</v>
      </c>
      <c r="E49" s="147">
        <v>0.04107059930871794</v>
      </c>
      <c r="F49" s="146">
        <v>0.20706999025765302</v>
      </c>
      <c r="G49" s="242">
        <v>0.12919843091876942</v>
      </c>
      <c r="H49" s="242">
        <v>0</v>
      </c>
      <c r="I49" s="242">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5"/>
      <c r="B50" s="97"/>
      <c r="C50" s="141"/>
      <c r="D50" s="141"/>
      <c r="E50" s="141"/>
      <c r="F50" s="97"/>
      <c r="G50" s="244"/>
      <c r="H50" s="244"/>
      <c r="I50" s="244"/>
    </row>
    <row r="51" spans="1:255" ht="15">
      <c r="A51" s="114"/>
      <c r="B51" s="97"/>
      <c r="C51" s="97"/>
      <c r="D51" s="97"/>
      <c r="E51" s="97"/>
      <c r="F51" s="97"/>
      <c r="G51" s="97"/>
      <c r="H51" s="97"/>
      <c r="I51" s="97"/>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7"/>
      <c r="B52" s="97"/>
      <c r="C52" s="97"/>
      <c r="D52" s="97"/>
      <c r="E52" s="97"/>
      <c r="F52" s="97"/>
      <c r="G52" s="97"/>
      <c r="H52" s="97"/>
      <c r="I52" s="97"/>
    </row>
    <row r="53" spans="1:255" ht="15">
      <c r="A53" s="150"/>
      <c r="B53" s="115"/>
      <c r="C53" s="115"/>
      <c r="D53" s="115"/>
      <c r="E53" s="115"/>
      <c r="F53" s="115"/>
      <c r="G53" s="115"/>
      <c r="H53" s="150"/>
      <c r="I53" s="150"/>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c r="IU54" s="122"/>
    </row>
    <row r="994" ht="15">
      <c r="A994" s="151" t="s">
        <v>391</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997"/>
  <sheetViews>
    <sheetView showGridLines="0" zoomScalePageLayoutView="0" workbookViewId="0" topLeftCell="A1">
      <selection activeCell="A1" sqref="A1"/>
    </sheetView>
  </sheetViews>
  <sheetFormatPr defaultColWidth="11.421875" defaultRowHeight="15"/>
  <cols>
    <col min="1" max="1" width="23.8515625" style="0" customWidth="1"/>
    <col min="8" max="9" width="0" style="0" hidden="1" customWidth="1"/>
  </cols>
  <sheetData>
    <row r="1" spans="1:41" ht="18">
      <c r="A1" s="245" t="str">
        <f>HLOOKUP(INDICE!$F$2,Nombres!$C$3:$D$636,123,FALSE)</f>
        <v>Oficinas</v>
      </c>
      <c r="B1" s="152"/>
      <c r="C1" s="152"/>
      <c r="D1" s="153"/>
      <c r="E1" s="153"/>
      <c r="F1" s="153"/>
      <c r="G1" s="153"/>
      <c r="H1" s="153"/>
      <c r="I1" s="153"/>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4"/>
      <c r="B2" s="99">
        <f>+España!B32</f>
        <v>44651</v>
      </c>
      <c r="C2" s="99">
        <f>+España!C32</f>
        <v>44742</v>
      </c>
      <c r="D2" s="99">
        <f>+España!D32</f>
        <v>44834</v>
      </c>
      <c r="E2" s="99">
        <f>+España!E32</f>
        <v>44926</v>
      </c>
      <c r="F2" s="99">
        <f>+España!F32</f>
        <v>45016</v>
      </c>
      <c r="G2" s="99">
        <f>+España!G32</f>
        <v>45107</v>
      </c>
      <c r="H2" s="99">
        <f>+España!H32</f>
        <v>45199</v>
      </c>
      <c r="I2" s="99">
        <f>+España!I32</f>
        <v>45291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46" t="str">
        <f>HLOOKUP(INDICE!$F$2,Nombres!$C$3:$D$636,7,FALSE)</f>
        <v>España</v>
      </c>
      <c r="B3" s="41">
        <v>1886</v>
      </c>
      <c r="C3" s="41">
        <v>1886</v>
      </c>
      <c r="D3" s="41">
        <v>1886</v>
      </c>
      <c r="E3" s="41">
        <v>1886</v>
      </c>
      <c r="F3" s="41">
        <v>1883</v>
      </c>
      <c r="G3" s="41">
        <v>1883</v>
      </c>
      <c r="H3" s="41">
        <v>0</v>
      </c>
      <c r="I3" s="41">
        <v>0</v>
      </c>
      <c r="J3" s="54"/>
      <c r="K3" s="31"/>
      <c r="L3" s="115"/>
      <c r="M3" s="115"/>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46" t="str">
        <f>HLOOKUP(INDICE!$F$2,Nombres!$C$3:$D$636,11,FALSE)</f>
        <v>México</v>
      </c>
      <c r="B4" s="41">
        <v>1722</v>
      </c>
      <c r="C4" s="41">
        <v>1726</v>
      </c>
      <c r="D4" s="41">
        <v>1727</v>
      </c>
      <c r="E4" s="41">
        <v>1733</v>
      </c>
      <c r="F4" s="41">
        <v>1735</v>
      </c>
      <c r="G4" s="41">
        <v>1736</v>
      </c>
      <c r="H4" s="41">
        <v>0</v>
      </c>
      <c r="I4" s="41">
        <v>0</v>
      </c>
      <c r="J4" s="54"/>
      <c r="K4" s="31"/>
      <c r="L4" s="115"/>
      <c r="M4" s="11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46" t="str">
        <f>HLOOKUP(INDICE!$F$2,Nombres!$C$3:$D$636,12,FALSE)</f>
        <v>Turquía </v>
      </c>
      <c r="B5" s="41">
        <v>1003</v>
      </c>
      <c r="C5" s="41">
        <v>992</v>
      </c>
      <c r="D5" s="41">
        <v>984</v>
      </c>
      <c r="E5" s="41">
        <v>972</v>
      </c>
      <c r="F5" s="41">
        <v>969</v>
      </c>
      <c r="G5" s="41">
        <v>958</v>
      </c>
      <c r="H5" s="41">
        <v>0</v>
      </c>
      <c r="I5" s="41">
        <v>0</v>
      </c>
      <c r="J5" s="54"/>
      <c r="K5" s="31"/>
      <c r="L5" s="115"/>
      <c r="M5" s="11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46" t="str">
        <f>HLOOKUP(INDICE!$F$2,Nombres!$C$3:$D$636,13,FALSE)</f>
        <v>América del Sur </v>
      </c>
      <c r="B6" s="41">
        <v>1428</v>
      </c>
      <c r="C6" s="41">
        <v>1427</v>
      </c>
      <c r="D6" s="41">
        <v>1422</v>
      </c>
      <c r="E6" s="41">
        <v>1418</v>
      </c>
      <c r="F6" s="41">
        <v>1433</v>
      </c>
      <c r="G6" s="41">
        <v>1400</v>
      </c>
      <c r="H6" s="41">
        <v>0</v>
      </c>
      <c r="I6" s="41">
        <v>0</v>
      </c>
      <c r="J6" s="54"/>
      <c r="K6" s="31"/>
      <c r="L6" s="115"/>
      <c r="M6" s="115"/>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155" t="str">
        <f>HLOOKUP(INDICE!$F$2,Nombres!$C$3:$D$636,14,FALSE)</f>
        <v>Argentina</v>
      </c>
      <c r="B7" s="247">
        <v>243</v>
      </c>
      <c r="C7" s="247">
        <v>243</v>
      </c>
      <c r="D7" s="247">
        <v>243</v>
      </c>
      <c r="E7" s="247">
        <v>243</v>
      </c>
      <c r="F7" s="247">
        <v>243</v>
      </c>
      <c r="G7" s="247">
        <v>243</v>
      </c>
      <c r="H7" s="247">
        <v>0</v>
      </c>
      <c r="I7" s="247">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5" t="str">
        <f>HLOOKUP(INDICE!$F$2,Nombres!$C$3:$D$636,15,FALSE)</f>
        <v>Chile</v>
      </c>
      <c r="B8" s="44">
        <v>10</v>
      </c>
      <c r="C8" s="44">
        <v>11</v>
      </c>
      <c r="D8" s="44">
        <v>11</v>
      </c>
      <c r="E8" s="44">
        <v>10</v>
      </c>
      <c r="F8" s="44">
        <v>10</v>
      </c>
      <c r="G8" s="44">
        <v>10</v>
      </c>
      <c r="H8" s="44">
        <v>0</v>
      </c>
      <c r="I8" s="44">
        <v>0</v>
      </c>
      <c r="J8" s="54"/>
      <c r="K8" s="31"/>
      <c r="L8" s="115"/>
      <c r="M8" s="115"/>
      <c r="N8" s="25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248" t="str">
        <f>HLOOKUP(INDICE!$F$2,Nombres!$C$3:$D$636,16,FALSE)</f>
        <v>Colombia</v>
      </c>
      <c r="B9" s="44">
        <v>517</v>
      </c>
      <c r="C9" s="44">
        <v>517</v>
      </c>
      <c r="D9" s="44">
        <v>512</v>
      </c>
      <c r="E9" s="44">
        <v>513</v>
      </c>
      <c r="F9" s="44">
        <v>528</v>
      </c>
      <c r="G9" s="44">
        <v>508</v>
      </c>
      <c r="H9" s="44">
        <v>0</v>
      </c>
      <c r="I9" s="44">
        <v>0</v>
      </c>
      <c r="J9" s="54"/>
      <c r="K9" s="31"/>
      <c r="L9" s="115"/>
      <c r="M9" s="115"/>
      <c r="N9" s="25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48" t="str">
        <f>HLOOKUP(INDICE!$F$2,Nombres!$C$3:$D$636,17,FALSE)</f>
        <v>Perú</v>
      </c>
      <c r="B10" s="44">
        <v>315</v>
      </c>
      <c r="C10" s="44">
        <v>314</v>
      </c>
      <c r="D10" s="44">
        <v>314</v>
      </c>
      <c r="E10" s="44">
        <v>314</v>
      </c>
      <c r="F10" s="44">
        <v>314</v>
      </c>
      <c r="G10" s="44">
        <v>308</v>
      </c>
      <c r="H10" s="44">
        <v>0</v>
      </c>
      <c r="I10" s="44">
        <v>0</v>
      </c>
      <c r="J10" s="54"/>
      <c r="K10" s="115"/>
      <c r="L10" s="115"/>
      <c r="M10" s="115"/>
      <c r="N10" s="25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48" t="str">
        <f>HLOOKUP(INDICE!$F$2,Nombres!$C$3:$D$636,89,FALSE)</f>
        <v>Resto de América del Sur</v>
      </c>
      <c r="B11" s="44">
        <v>343</v>
      </c>
      <c r="C11" s="44">
        <v>342</v>
      </c>
      <c r="D11" s="44">
        <v>342</v>
      </c>
      <c r="E11" s="44">
        <v>338</v>
      </c>
      <c r="F11" s="44">
        <v>338</v>
      </c>
      <c r="G11" s="44">
        <v>331</v>
      </c>
      <c r="H11" s="44">
        <v>0</v>
      </c>
      <c r="I11" s="44">
        <v>0</v>
      </c>
      <c r="J11" s="54"/>
      <c r="K11" s="115"/>
      <c r="L11" s="115"/>
      <c r="M11" s="115"/>
      <c r="N11" s="25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46" t="str">
        <f>HLOOKUP(INDICE!$F$2,Nombres!$C$3:$D$636,279,FALSE)</f>
        <v>Resto de geografías</v>
      </c>
      <c r="B12" s="41">
        <v>32</v>
      </c>
      <c r="C12" s="41">
        <v>31</v>
      </c>
      <c r="D12" s="41">
        <v>31</v>
      </c>
      <c r="E12" s="41">
        <v>31</v>
      </c>
      <c r="F12" s="41">
        <v>31</v>
      </c>
      <c r="G12" s="41">
        <v>31</v>
      </c>
      <c r="H12" s="41">
        <v>0</v>
      </c>
      <c r="I12" s="41">
        <v>0</v>
      </c>
      <c r="J12" s="54"/>
      <c r="K12" s="115"/>
      <c r="L12" s="115"/>
      <c r="M12" s="115"/>
      <c r="N12" s="25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46" t="s">
        <v>5</v>
      </c>
      <c r="B13" s="41">
        <f aca="true" t="shared" si="0" ref="B13:G13">+SUM(B3:B5,B7:B12)</f>
        <v>6071</v>
      </c>
      <c r="C13" s="41">
        <f t="shared" si="0"/>
        <v>6062</v>
      </c>
      <c r="D13" s="41">
        <f t="shared" si="0"/>
        <v>6050</v>
      </c>
      <c r="E13" s="41">
        <f t="shared" si="0"/>
        <v>6040</v>
      </c>
      <c r="F13" s="41">
        <f t="shared" si="0"/>
        <v>6051</v>
      </c>
      <c r="G13" s="41">
        <f t="shared" si="0"/>
        <v>6008</v>
      </c>
      <c r="H13" s="41">
        <f>+SUM(H3:H5,H7:H12)</f>
        <v>0</v>
      </c>
      <c r="I13" s="41">
        <f>+SUM(I3:I5,I7:I12)</f>
        <v>0</v>
      </c>
      <c r="J13" s="54"/>
      <c r="K13" s="115"/>
      <c r="L13" s="115"/>
      <c r="M13" s="115"/>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156"/>
      <c r="B14" s="157">
        <v>0</v>
      </c>
      <c r="C14" s="157">
        <v>0</v>
      </c>
      <c r="D14" s="157">
        <v>0</v>
      </c>
      <c r="E14" s="157">
        <v>0</v>
      </c>
      <c r="F14" s="157">
        <v>0</v>
      </c>
      <c r="G14" s="157">
        <v>0</v>
      </c>
      <c r="H14" s="157">
        <v>0</v>
      </c>
      <c r="I14" s="157">
        <v>0</v>
      </c>
      <c r="J14" s="54"/>
      <c r="K14" s="115"/>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6"/>
      <c r="B15" s="157"/>
      <c r="C15" s="157"/>
      <c r="D15" s="157"/>
      <c r="E15" s="157"/>
      <c r="F15" s="157"/>
      <c r="G15" s="157"/>
      <c r="H15" s="157"/>
      <c r="I15" s="157"/>
      <c r="J15" s="31"/>
      <c r="K15" s="115"/>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8">
      <c r="A16" s="245" t="str">
        <f>HLOOKUP(INDICE!$F$2,Nombres!$C$3:$D$636,124,FALSE)</f>
        <v>Empleados</v>
      </c>
      <c r="B16" s="152"/>
      <c r="C16" s="152"/>
      <c r="D16" s="153"/>
      <c r="E16" s="153"/>
      <c r="F16" s="153"/>
      <c r="G16" s="153"/>
      <c r="H16" s="153"/>
      <c r="I16" s="153"/>
      <c r="J16" s="31"/>
      <c r="K16" s="115"/>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5.75">
      <c r="A17" s="154"/>
      <c r="B17" s="99">
        <f aca="true" t="shared" si="1" ref="B17:G17">+B$2</f>
        <v>44651</v>
      </c>
      <c r="C17" s="99">
        <f t="shared" si="1"/>
        <v>44742</v>
      </c>
      <c r="D17" s="99">
        <f t="shared" si="1"/>
        <v>44834</v>
      </c>
      <c r="E17" s="99">
        <f t="shared" si="1"/>
        <v>44926</v>
      </c>
      <c r="F17" s="99">
        <f t="shared" si="1"/>
        <v>45016</v>
      </c>
      <c r="G17" s="99">
        <f t="shared" si="1"/>
        <v>45107</v>
      </c>
      <c r="H17" s="99">
        <f>+H$2</f>
        <v>45199</v>
      </c>
      <c r="I17" s="99">
        <f>+I$2</f>
        <v>45291</v>
      </c>
      <c r="J17" s="158"/>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246" t="str">
        <f>HLOOKUP(INDICE!$F$2,Nombres!$C$3:$D$636,7,FALSE)</f>
        <v>España</v>
      </c>
      <c r="B18" s="41">
        <v>24797</v>
      </c>
      <c r="C18" s="41">
        <v>24995</v>
      </c>
      <c r="D18" s="41">
        <v>25676</v>
      </c>
      <c r="E18" s="41">
        <v>25945</v>
      </c>
      <c r="F18" s="41">
        <v>26380</v>
      </c>
      <c r="G18" s="41">
        <v>26764</v>
      </c>
      <c r="H18" s="41">
        <v>0</v>
      </c>
      <c r="I18" s="41">
        <v>0</v>
      </c>
      <c r="J18" s="158"/>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46" t="str">
        <f>HLOOKUP(INDICE!$F$2,Nombres!$C$3:$D$636,11,FALSE)</f>
        <v>México</v>
      </c>
      <c r="B19" s="41">
        <v>41139</v>
      </c>
      <c r="C19" s="41">
        <v>41477</v>
      </c>
      <c r="D19" s="41">
        <v>42362</v>
      </c>
      <c r="E19" s="41">
        <v>43511</v>
      </c>
      <c r="F19" s="41">
        <v>44158</v>
      </c>
      <c r="G19" s="41">
        <v>45515</v>
      </c>
      <c r="H19" s="41">
        <v>0</v>
      </c>
      <c r="I19" s="41">
        <v>0</v>
      </c>
      <c r="J19" s="115"/>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46" t="str">
        <f>HLOOKUP(INDICE!$F$2,Nombres!$C$3:$D$636,12,FALSE)</f>
        <v>Turquía </v>
      </c>
      <c r="B20" s="41">
        <v>21680</v>
      </c>
      <c r="C20" s="41">
        <v>21917</v>
      </c>
      <c r="D20" s="41">
        <v>21916</v>
      </c>
      <c r="E20" s="41">
        <v>21684</v>
      </c>
      <c r="F20" s="41">
        <v>21610</v>
      </c>
      <c r="G20" s="41">
        <v>21775</v>
      </c>
      <c r="H20" s="41">
        <v>0</v>
      </c>
      <c r="I20" s="41">
        <v>0</v>
      </c>
      <c r="J20" s="115"/>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46" t="str">
        <f>HLOOKUP(INDICE!$F$2,Nombres!$C$3:$D$636,13,FALSE)</f>
        <v>América del Sur </v>
      </c>
      <c r="B21" s="41">
        <v>22472</v>
      </c>
      <c r="C21" s="41">
        <v>22771</v>
      </c>
      <c r="D21" s="41">
        <v>22994</v>
      </c>
      <c r="E21" s="41">
        <v>23149</v>
      </c>
      <c r="F21" s="41">
        <v>23361</v>
      </c>
      <c r="G21" s="41">
        <v>23588</v>
      </c>
      <c r="H21" s="41">
        <v>0</v>
      </c>
      <c r="I21" s="41">
        <v>0</v>
      </c>
      <c r="J21" s="115"/>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155" t="str">
        <f>HLOOKUP(INDICE!$F$2,Nombres!$C$3:$D$636,14,FALSE)</f>
        <v>Argentina</v>
      </c>
      <c r="B22" s="44">
        <v>5847</v>
      </c>
      <c r="C22" s="44">
        <v>5815</v>
      </c>
      <c r="D22" s="44">
        <v>5849</v>
      </c>
      <c r="E22" s="44">
        <v>5869</v>
      </c>
      <c r="F22" s="44">
        <v>5916</v>
      </c>
      <c r="G22" s="44">
        <v>5970</v>
      </c>
      <c r="H22" s="44">
        <v>0</v>
      </c>
      <c r="I22" s="44">
        <v>0</v>
      </c>
      <c r="J22" s="115"/>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155" t="str">
        <f>HLOOKUP(INDICE!$F$2,Nombres!$C$3:$D$636,15,FALSE)</f>
        <v>Chile</v>
      </c>
      <c r="B23" s="44">
        <v>722</v>
      </c>
      <c r="C23" s="44">
        <v>747</v>
      </c>
      <c r="D23" s="44">
        <v>779</v>
      </c>
      <c r="E23" s="44">
        <v>767</v>
      </c>
      <c r="F23" s="44">
        <v>784</v>
      </c>
      <c r="G23" s="44">
        <v>784</v>
      </c>
      <c r="H23" s="44">
        <v>0</v>
      </c>
      <c r="I23" s="44">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248" t="str">
        <f>HLOOKUP(INDICE!$F$2,Nombres!$C$3:$D$636,16,FALSE)</f>
        <v>Colombia</v>
      </c>
      <c r="B24" s="44">
        <v>6826</v>
      </c>
      <c r="C24" s="44">
        <v>6950</v>
      </c>
      <c r="D24" s="44">
        <v>6871</v>
      </c>
      <c r="E24" s="44">
        <v>6678</v>
      </c>
      <c r="F24" s="44">
        <v>6727</v>
      </c>
      <c r="G24" s="44">
        <v>6735</v>
      </c>
      <c r="H24" s="44">
        <v>0</v>
      </c>
      <c r="I24" s="44">
        <v>0</v>
      </c>
      <c r="J24" s="54"/>
      <c r="K24" s="44"/>
      <c r="L24" s="115"/>
      <c r="M24" s="54"/>
      <c r="N24" s="26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248" t="str">
        <f>HLOOKUP(INDICE!$F$2,Nombres!$C$3:$D$636,17,FALSE)</f>
        <v>Perú</v>
      </c>
      <c r="B25" s="44">
        <v>6290</v>
      </c>
      <c r="C25" s="44">
        <v>6514</v>
      </c>
      <c r="D25" s="44">
        <v>6696</v>
      </c>
      <c r="E25" s="44">
        <v>6985</v>
      </c>
      <c r="F25" s="44">
        <v>7098</v>
      </c>
      <c r="G25" s="44">
        <v>7286</v>
      </c>
      <c r="H25" s="44">
        <v>0</v>
      </c>
      <c r="I25" s="44">
        <v>0</v>
      </c>
      <c r="J25" s="54"/>
      <c r="K25" s="44"/>
      <c r="L25" s="115"/>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48" t="str">
        <f>HLOOKUP(INDICE!$F$2,Nombres!$C$3:$D$636,89,FALSE)</f>
        <v>Resto de América del Sur</v>
      </c>
      <c r="B26" s="44">
        <v>2787</v>
      </c>
      <c r="C26" s="44">
        <v>2745</v>
      </c>
      <c r="D26" s="44">
        <v>2799</v>
      </c>
      <c r="E26" s="44">
        <v>2850</v>
      </c>
      <c r="F26" s="44">
        <v>2836</v>
      </c>
      <c r="G26" s="44">
        <v>2813</v>
      </c>
      <c r="H26" s="44">
        <v>0</v>
      </c>
      <c r="I26" s="44">
        <v>0</v>
      </c>
      <c r="J26" s="54"/>
      <c r="K26" s="44"/>
      <c r="L26" s="115"/>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46" t="str">
        <f>HLOOKUP(INDICE!$F$2,Nombres!$C$3:$D$636,279,FALSE)</f>
        <v>Resto de geografías</v>
      </c>
      <c r="B27" s="41">
        <v>1314</v>
      </c>
      <c r="C27" s="41">
        <v>1305</v>
      </c>
      <c r="D27" s="41">
        <v>1363</v>
      </c>
      <c r="E27" s="41">
        <v>1386</v>
      </c>
      <c r="F27" s="41">
        <v>1414</v>
      </c>
      <c r="G27" s="41">
        <v>1428</v>
      </c>
      <c r="H27" s="41">
        <v>0</v>
      </c>
      <c r="I27" s="41">
        <v>0</v>
      </c>
      <c r="J27" s="54"/>
      <c r="K27" s="44"/>
      <c r="L27" s="115"/>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46" t="s">
        <v>5</v>
      </c>
      <c r="B28" s="41">
        <f aca="true" t="shared" si="2" ref="B28:G28">+SUM(B18:B20,B22:B27)</f>
        <v>111402</v>
      </c>
      <c r="C28" s="41">
        <f t="shared" si="2"/>
        <v>112465</v>
      </c>
      <c r="D28" s="41">
        <f t="shared" si="2"/>
        <v>114311</v>
      </c>
      <c r="E28" s="41">
        <f t="shared" si="2"/>
        <v>115675</v>
      </c>
      <c r="F28" s="41">
        <f t="shared" si="2"/>
        <v>116923</v>
      </c>
      <c r="G28" s="41">
        <f t="shared" si="2"/>
        <v>119070</v>
      </c>
      <c r="H28" s="41">
        <f>+SUM(H18:H20,H22:H27)</f>
        <v>0</v>
      </c>
      <c r="I28" s="41">
        <f>+SUM(I18:I20,I22:I27)</f>
        <v>0</v>
      </c>
      <c r="J28" s="54"/>
      <c r="K28" s="44"/>
      <c r="L28" s="115"/>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156"/>
      <c r="B29" s="157">
        <v>0</v>
      </c>
      <c r="C29" s="157">
        <v>0</v>
      </c>
      <c r="D29" s="157">
        <v>0</v>
      </c>
      <c r="E29" s="157">
        <v>0</v>
      </c>
      <c r="F29" s="157">
        <v>0</v>
      </c>
      <c r="G29" s="157">
        <v>0</v>
      </c>
      <c r="H29" s="157">
        <v>0</v>
      </c>
      <c r="I29" s="157">
        <v>0</v>
      </c>
      <c r="J29" s="115"/>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156"/>
      <c r="B30" s="157"/>
      <c r="C30" s="157"/>
      <c r="D30" s="157"/>
      <c r="E30" s="157"/>
      <c r="F30" s="157"/>
      <c r="G30" s="157"/>
      <c r="H30" s="157"/>
      <c r="I30" s="157"/>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8">
      <c r="A31" s="245" t="str">
        <f>HLOOKUP(INDICE!$F$2,Nombres!$C$3:$D$636,125,FALSE)</f>
        <v>Cajeros automáticos</v>
      </c>
      <c r="B31" s="152"/>
      <c r="C31" s="152"/>
      <c r="D31" s="153"/>
      <c r="E31" s="153"/>
      <c r="F31" s="153"/>
      <c r="G31" s="153"/>
      <c r="H31" s="153"/>
      <c r="I31" s="153"/>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75">
      <c r="A32" s="141"/>
      <c r="B32" s="99">
        <f aca="true" t="shared" si="3" ref="B32:G32">+B$2</f>
        <v>44651</v>
      </c>
      <c r="C32" s="99">
        <f t="shared" si="3"/>
        <v>44742</v>
      </c>
      <c r="D32" s="99">
        <f t="shared" si="3"/>
        <v>44834</v>
      </c>
      <c r="E32" s="99">
        <f t="shared" si="3"/>
        <v>44926</v>
      </c>
      <c r="F32" s="99">
        <f t="shared" si="3"/>
        <v>45016</v>
      </c>
      <c r="G32" s="99">
        <f t="shared" si="3"/>
        <v>45107</v>
      </c>
      <c r="H32" s="99">
        <f>+H$2</f>
        <v>45199</v>
      </c>
      <c r="I32" s="99">
        <f>+I$2</f>
        <v>45291</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5">
      <c r="A33" s="246" t="str">
        <f>HLOOKUP(INDICE!$F$2,Nombres!$C$3:$D$636,7,FALSE)</f>
        <v>España</v>
      </c>
      <c r="B33" s="41">
        <v>4890</v>
      </c>
      <c r="C33" s="41">
        <v>4870</v>
      </c>
      <c r="D33" s="41">
        <v>4851</v>
      </c>
      <c r="E33" s="41">
        <v>4773</v>
      </c>
      <c r="F33" s="41">
        <v>4754</v>
      </c>
      <c r="G33" s="41">
        <v>4732</v>
      </c>
      <c r="H33" s="41">
        <v>0</v>
      </c>
      <c r="I33" s="41">
        <v>0</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246" t="str">
        <f>HLOOKUP(INDICE!$F$2,Nombres!$C$3:$D$636,11,FALSE)</f>
        <v>México</v>
      </c>
      <c r="B34" s="41">
        <v>13558</v>
      </c>
      <c r="C34" s="41">
        <v>13672</v>
      </c>
      <c r="D34" s="41">
        <v>13783</v>
      </c>
      <c r="E34" s="41">
        <v>14019</v>
      </c>
      <c r="F34" s="41">
        <v>14160</v>
      </c>
      <c r="G34" s="41">
        <v>14232</v>
      </c>
      <c r="H34" s="41">
        <v>0</v>
      </c>
      <c r="I34" s="41">
        <v>0</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46" t="str">
        <f>HLOOKUP(INDICE!$F$2,Nombres!$C$3:$D$636,12,FALSE)</f>
        <v>Turquía </v>
      </c>
      <c r="B35" s="41">
        <v>5606</v>
      </c>
      <c r="C35" s="41">
        <v>5632</v>
      </c>
      <c r="D35" s="41">
        <v>5651</v>
      </c>
      <c r="E35" s="41">
        <v>5659</v>
      </c>
      <c r="F35" s="41">
        <v>5606</v>
      </c>
      <c r="G35" s="41">
        <v>5593</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46" t="str">
        <f>HLOOKUP(INDICE!$F$2,Nombres!$C$3:$D$636,13,FALSE)</f>
        <v>América del Sur </v>
      </c>
      <c r="B36" s="41">
        <v>5302</v>
      </c>
      <c r="C36" s="41">
        <v>5307</v>
      </c>
      <c r="D36" s="41">
        <v>5314</v>
      </c>
      <c r="E36" s="41">
        <v>5334</v>
      </c>
      <c r="F36" s="41">
        <v>5340</v>
      </c>
      <c r="G36" s="41">
        <v>5312</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155" t="str">
        <f>HLOOKUP(INDICE!$F$2,Nombres!$C$3:$D$636,14,FALSE)</f>
        <v>Argentina</v>
      </c>
      <c r="B37" s="44">
        <v>1708</v>
      </c>
      <c r="C37" s="44">
        <v>1707</v>
      </c>
      <c r="D37" s="44">
        <v>1704</v>
      </c>
      <c r="E37" s="44">
        <v>1703</v>
      </c>
      <c r="F37" s="44">
        <v>1703</v>
      </c>
      <c r="G37" s="44">
        <v>1700</v>
      </c>
      <c r="H37" s="44">
        <v>0</v>
      </c>
      <c r="I37" s="44">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155" t="str">
        <f>HLOOKUP(INDICE!$F$2,Nombres!$C$3:$D$636,15,FALSE)</f>
        <v>Chile</v>
      </c>
      <c r="B38" s="44">
        <v>0</v>
      </c>
      <c r="C38" s="44">
        <v>0</v>
      </c>
      <c r="D38" s="44">
        <v>0</v>
      </c>
      <c r="E38" s="44">
        <v>0</v>
      </c>
      <c r="F38" s="44">
        <v>0</v>
      </c>
      <c r="G38" s="44">
        <v>0</v>
      </c>
      <c r="H38" s="44">
        <v>0</v>
      </c>
      <c r="I38" s="44">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48" t="str">
        <f>HLOOKUP(INDICE!$F$2,Nombres!$C$3:$D$636,16,FALSE)</f>
        <v>Colombia</v>
      </c>
      <c r="B39" s="44">
        <v>1451</v>
      </c>
      <c r="C39" s="44">
        <v>1457</v>
      </c>
      <c r="D39" s="44">
        <v>1485</v>
      </c>
      <c r="E39" s="44">
        <v>1495</v>
      </c>
      <c r="F39" s="44">
        <v>1493</v>
      </c>
      <c r="G39" s="44">
        <v>1483</v>
      </c>
      <c r="H39" s="44">
        <v>0</v>
      </c>
      <c r="I39" s="44">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248" t="str">
        <f>HLOOKUP(INDICE!$F$2,Nombres!$C$3:$D$636,17,FALSE)</f>
        <v>Perú</v>
      </c>
      <c r="B40" s="44">
        <v>1916</v>
      </c>
      <c r="C40" s="44">
        <v>1916</v>
      </c>
      <c r="D40" s="44">
        <v>1898</v>
      </c>
      <c r="E40" s="44">
        <v>1909</v>
      </c>
      <c r="F40" s="44">
        <v>1918</v>
      </c>
      <c r="G40" s="44">
        <v>1914</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248" t="str">
        <f>HLOOKUP(INDICE!$F$2,Nombres!$C$3:$D$636,89,FALSE)</f>
        <v>Resto de América del Sur</v>
      </c>
      <c r="B41" s="44">
        <v>227</v>
      </c>
      <c r="C41" s="44">
        <v>227</v>
      </c>
      <c r="D41" s="44">
        <v>227</v>
      </c>
      <c r="E41" s="44">
        <v>227</v>
      </c>
      <c r="F41" s="44">
        <v>226</v>
      </c>
      <c r="G41" s="44">
        <v>215</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46" t="str">
        <f>HLOOKUP(INDICE!$F$2,Nombres!$C$3:$D$636,279,FALSE)</f>
        <v>Resto de geografías</v>
      </c>
      <c r="B42" s="41">
        <v>23</v>
      </c>
      <c r="C42" s="41">
        <v>23</v>
      </c>
      <c r="D42" s="41">
        <v>22</v>
      </c>
      <c r="E42" s="41">
        <v>22</v>
      </c>
      <c r="F42" s="41">
        <v>22</v>
      </c>
      <c r="G42" s="41">
        <v>22</v>
      </c>
      <c r="H42" s="41">
        <v>0</v>
      </c>
      <c r="I42" s="41">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46" t="s">
        <v>5</v>
      </c>
      <c r="B43" s="41">
        <f aca="true" t="shared" si="4" ref="B43:G43">+SUM(B33:B35,B37:B42)</f>
        <v>29379</v>
      </c>
      <c r="C43" s="41">
        <f t="shared" si="4"/>
        <v>29504</v>
      </c>
      <c r="D43" s="41">
        <f t="shared" si="4"/>
        <v>29621</v>
      </c>
      <c r="E43" s="41">
        <f t="shared" si="4"/>
        <v>29807</v>
      </c>
      <c r="F43" s="41">
        <f t="shared" si="4"/>
        <v>29882</v>
      </c>
      <c r="G43" s="41">
        <f t="shared" si="4"/>
        <v>29891</v>
      </c>
      <c r="H43" s="41">
        <f>+SUM(H33:H35,H37:H42)</f>
        <v>0</v>
      </c>
      <c r="I43" s="41">
        <f>+SUM(I33:I35,I37:I42)</f>
        <v>0</v>
      </c>
      <c r="J43" s="31"/>
      <c r="K43" s="31"/>
      <c r="L43" s="158"/>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97"/>
      <c r="B44" s="157">
        <v>0</v>
      </c>
      <c r="C44" s="157">
        <v>0</v>
      </c>
      <c r="D44" s="157">
        <v>0</v>
      </c>
      <c r="E44" s="157">
        <v>0</v>
      </c>
      <c r="F44" s="157">
        <v>0</v>
      </c>
      <c r="G44" s="157">
        <v>0</v>
      </c>
      <c r="H44" s="157">
        <v>0</v>
      </c>
      <c r="I44" s="157">
        <v>0</v>
      </c>
      <c r="J44" s="31"/>
      <c r="K44" s="31"/>
      <c r="L44" s="158"/>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49"/>
      <c r="B45" s="97"/>
      <c r="C45" s="97"/>
      <c r="D45" s="97"/>
      <c r="E45" s="97"/>
      <c r="F45" s="97"/>
      <c r="G45" s="97"/>
      <c r="H45" s="97"/>
      <c r="I45" s="97"/>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49"/>
      <c r="B46" s="97"/>
      <c r="C46" s="97"/>
      <c r="D46" s="97"/>
      <c r="E46" s="97"/>
      <c r="F46" s="97"/>
      <c r="G46" s="97"/>
      <c r="H46" s="97"/>
      <c r="I46" s="97"/>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7"/>
      <c r="B47" s="97"/>
      <c r="C47" s="97"/>
      <c r="D47" s="97"/>
      <c r="E47" s="97"/>
      <c r="F47" s="97"/>
      <c r="G47" s="97"/>
      <c r="H47" s="97"/>
      <c r="I47" s="97"/>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97"/>
      <c r="B48" s="97"/>
      <c r="C48" s="97"/>
      <c r="D48" s="97"/>
      <c r="E48" s="97"/>
      <c r="F48" s="97"/>
      <c r="G48" s="97"/>
      <c r="H48" s="97"/>
      <c r="I48" s="97"/>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97"/>
      <c r="B49" s="97"/>
      <c r="C49" s="97"/>
      <c r="D49" s="97"/>
      <c r="E49" s="97"/>
      <c r="F49" s="97"/>
      <c r="G49" s="97"/>
      <c r="H49" s="97"/>
      <c r="I49" s="97"/>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7"/>
      <c r="B50" s="97"/>
      <c r="C50" s="97"/>
      <c r="D50" s="97"/>
      <c r="E50" s="97"/>
      <c r="F50" s="97"/>
      <c r="G50" s="97"/>
      <c r="H50" s="97"/>
      <c r="I50" s="97"/>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7"/>
      <c r="B51" s="97"/>
      <c r="C51" s="97"/>
      <c r="D51" s="97"/>
      <c r="E51" s="97"/>
      <c r="F51" s="97"/>
      <c r="G51" s="97"/>
      <c r="H51" s="97"/>
      <c r="I51" s="97"/>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7"/>
      <c r="B52" s="97"/>
      <c r="C52" s="97"/>
      <c r="D52" s="97"/>
      <c r="E52" s="97"/>
      <c r="F52" s="97"/>
      <c r="G52" s="97"/>
      <c r="H52" s="97"/>
      <c r="I52" s="97"/>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7"/>
      <c r="B53" s="97"/>
      <c r="C53" s="97"/>
      <c r="D53" s="97"/>
      <c r="E53" s="97"/>
      <c r="F53" s="97"/>
      <c r="G53" s="97"/>
      <c r="H53" s="97"/>
      <c r="I53" s="97"/>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7"/>
      <c r="B54" s="97"/>
      <c r="C54" s="97"/>
      <c r="D54" s="97"/>
      <c r="E54" s="97"/>
      <c r="F54" s="97"/>
      <c r="G54" s="97"/>
      <c r="H54" s="97"/>
      <c r="I54" s="97"/>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7"/>
      <c r="B55" s="97"/>
      <c r="C55" s="97"/>
      <c r="D55" s="97"/>
      <c r="E55" s="97"/>
      <c r="F55" s="97"/>
      <c r="G55" s="97"/>
      <c r="H55" s="97"/>
      <c r="I55" s="97"/>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7"/>
      <c r="B56" s="97"/>
      <c r="C56" s="97"/>
      <c r="D56" s="97"/>
      <c r="E56" s="97"/>
      <c r="F56" s="97"/>
      <c r="G56" s="97"/>
      <c r="H56" s="97"/>
      <c r="I56" s="97"/>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7"/>
      <c r="B57" s="97"/>
      <c r="C57" s="97"/>
      <c r="D57" s="97"/>
      <c r="E57" s="97"/>
      <c r="F57" s="97"/>
      <c r="G57" s="97"/>
      <c r="H57" s="97"/>
      <c r="I57" s="97"/>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pans="1:9" s="31" customFormat="1" ht="15">
      <c r="A406"/>
      <c r="B406"/>
      <c r="C406"/>
      <c r="D406"/>
      <c r="E406"/>
      <c r="F406"/>
      <c r="G406"/>
      <c r="H406"/>
      <c r="I406"/>
    </row>
    <row r="407" spans="1:9" s="31" customFormat="1" ht="15">
      <c r="A407"/>
      <c r="B407"/>
      <c r="C407"/>
      <c r="D407"/>
      <c r="E407"/>
      <c r="F407"/>
      <c r="G407"/>
      <c r="H407"/>
      <c r="I407"/>
    </row>
    <row r="408" spans="1:9" s="31" customFormat="1" ht="15">
      <c r="A408"/>
      <c r="B408"/>
      <c r="C408"/>
      <c r="D408"/>
      <c r="E408"/>
      <c r="F408"/>
      <c r="G408"/>
      <c r="H408"/>
      <c r="I408"/>
    </row>
    <row r="997" ht="15">
      <c r="A997" t="s">
        <v>391</v>
      </c>
    </row>
  </sheetData>
  <sheetProtection/>
  <conditionalFormatting sqref="H14:I15">
    <cfRule type="cellIs" priority="9" dxfId="36" operator="notEqual">
      <formula>0</formula>
    </cfRule>
  </conditionalFormatting>
  <conditionalFormatting sqref="H29:I30">
    <cfRule type="cellIs" priority="8" dxfId="36" operator="notEqual">
      <formula>0</formula>
    </cfRule>
  </conditionalFormatting>
  <conditionalFormatting sqref="H44:I44">
    <cfRule type="cellIs" priority="7" dxfId="36" operator="notEqual">
      <formula>0</formula>
    </cfRule>
  </conditionalFormatting>
  <conditionalFormatting sqref="B14:B15">
    <cfRule type="cellIs" priority="6" dxfId="36" operator="notEqual">
      <formula>0</formula>
    </cfRule>
  </conditionalFormatting>
  <conditionalFormatting sqref="C14:C15">
    <cfRule type="cellIs" priority="5" dxfId="36" operator="notEqual">
      <formula>0</formula>
    </cfRule>
  </conditionalFormatting>
  <conditionalFormatting sqref="D14:D15">
    <cfRule type="cellIs" priority="4" dxfId="36" operator="notEqual">
      <formula>0</formula>
    </cfRule>
  </conditionalFormatting>
  <conditionalFormatting sqref="E14:G15">
    <cfRule type="cellIs" priority="3" dxfId="36" operator="notEqual">
      <formula>0</formula>
    </cfRule>
  </conditionalFormatting>
  <conditionalFormatting sqref="B29:G30">
    <cfRule type="cellIs" priority="2" dxfId="36" operator="notEqual">
      <formula>0</formula>
    </cfRule>
  </conditionalFormatting>
  <conditionalFormatting sqref="B44:G44">
    <cfRule type="cellIs" priority="1" dxfId="36"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3" t="str">
        <f>HLOOKUP(INDICE!$F$2,Nombres!$C$3:$D$636,161,FALSE)</f>
        <v>Tipos de cambio</v>
      </c>
      <c r="B1" s="93"/>
      <c r="C1" s="94"/>
      <c r="D1" s="94"/>
      <c r="E1" s="94"/>
      <c r="F1" s="94"/>
      <c r="G1" s="94"/>
      <c r="H1" s="94"/>
      <c r="I1" s="94"/>
      <c r="J1" s="115"/>
      <c r="K1" s="95"/>
      <c r="L1" s="95"/>
      <c r="M1" s="95"/>
      <c r="N1" s="159"/>
      <c r="O1" s="159"/>
      <c r="P1" s="159"/>
      <c r="Q1" s="159"/>
      <c r="R1" s="159"/>
      <c r="S1" s="159"/>
      <c r="T1" s="159"/>
      <c r="U1" s="159"/>
      <c r="V1" s="159"/>
      <c r="W1" s="159"/>
    </row>
    <row r="2" spans="1:13" ht="15">
      <c r="A2" s="160" t="str">
        <f>HLOOKUP(INDICE!$F$2,Nombres!$C$3:$D$636,162,FALSE)</f>
        <v>(Expresados en divisa/euro)</v>
      </c>
      <c r="B2" s="160"/>
      <c r="C2" s="161"/>
      <c r="D2" s="161"/>
      <c r="E2" s="161"/>
      <c r="F2" s="161"/>
      <c r="G2" s="161"/>
      <c r="H2" s="161"/>
      <c r="I2" s="161"/>
      <c r="J2" s="115"/>
      <c r="K2" s="95"/>
      <c r="L2" s="95"/>
      <c r="M2" s="95"/>
    </row>
    <row r="3" spans="1:9" ht="19.5">
      <c r="A3" s="162"/>
      <c r="B3" s="162"/>
      <c r="C3" s="304" t="str">
        <f>HLOOKUP(INDICE!$F$2,Nombres!$C$3:$D$636,163,FALSE)</f>
        <v>Cambios finales (*)</v>
      </c>
      <c r="D3" s="304"/>
      <c r="E3" s="304"/>
      <c r="F3" s="163"/>
      <c r="G3" s="164"/>
      <c r="H3" s="304" t="str">
        <f>HLOOKUP(INDICE!$F$2,Nombres!$C$3:$D$636,164,FALSE)</f>
        <v>Cambios medios (**)</v>
      </c>
      <c r="I3" s="304"/>
    </row>
    <row r="4" spans="1:9" ht="15.75">
      <c r="A4" s="98"/>
      <c r="B4" s="98"/>
      <c r="C4" s="75"/>
      <c r="D4" s="165" t="str">
        <f>HLOOKUP(INDICE!$F$2,Nombres!$C$3:$D$636,165,FALSE)</f>
        <v>∆% sobre</v>
      </c>
      <c r="E4" s="165" t="str">
        <f>HLOOKUP(INDICE!$F$2,Nombres!$C$3:$D$636,165,FALSE)</f>
        <v>∆% sobre</v>
      </c>
      <c r="F4" s="163"/>
      <c r="G4" s="164"/>
      <c r="H4" s="166"/>
      <c r="I4" s="165" t="str">
        <f>HLOOKUP(INDICE!$F$2,Nombres!$C$3:$D$636,165,FALSE)</f>
        <v>∆% sobre</v>
      </c>
    </row>
    <row r="5" spans="1:9" ht="15.75">
      <c r="A5" s="98"/>
      <c r="B5" s="98"/>
      <c r="C5" s="167">
        <v>45107</v>
      </c>
      <c r="D5" s="167">
        <f>DATE(YEAR(C5),MONTH(C5)-12,DAY(C5))</f>
        <v>44742</v>
      </c>
      <c r="E5" s="167">
        <v>44926</v>
      </c>
      <c r="F5" s="168"/>
      <c r="G5" s="169"/>
      <c r="H5" s="167">
        <f>+C5</f>
        <v>45107</v>
      </c>
      <c r="I5" s="170">
        <f>+D5</f>
        <v>44742</v>
      </c>
    </row>
    <row r="6" spans="1:9" ht="15">
      <c r="A6" s="59" t="str">
        <f>HLOOKUP(INDICE!$F$2,Nombres!$C$3:$D$636,152,FALSE)</f>
        <v>Peso mexicano</v>
      </c>
      <c r="B6" s="59"/>
      <c r="C6" s="171">
        <v>18.56140000008704</v>
      </c>
      <c r="D6" s="172">
        <v>0.12944605471916404</v>
      </c>
      <c r="E6" s="172">
        <v>0.12362214056507126</v>
      </c>
      <c r="F6" s="173"/>
      <c r="G6" s="58"/>
      <c r="H6" s="171">
        <v>19.649462000029427</v>
      </c>
      <c r="I6" s="172">
        <v>0.1278576482004672</v>
      </c>
    </row>
    <row r="7" spans="1:9" ht="15">
      <c r="A7" s="59" t="str">
        <f>HLOOKUP(INDICE!$F$2,Nombres!$C$3:$D$636,153,FALSE)</f>
        <v>Dólar estadounidense</v>
      </c>
      <c r="B7" s="59"/>
      <c r="C7" s="171">
        <v>1.0865999999997111</v>
      </c>
      <c r="D7" s="172">
        <v>-0.04408245904672414</v>
      </c>
      <c r="E7" s="172">
        <v>-0.018406037179579893</v>
      </c>
      <c r="F7" s="141"/>
      <c r="G7" s="58"/>
      <c r="H7" s="171">
        <v>1.0808760000005246</v>
      </c>
      <c r="I7" s="172">
        <v>0.011593374262952372</v>
      </c>
    </row>
    <row r="8" spans="1:9" ht="15">
      <c r="A8" s="59" t="str">
        <f>HLOOKUP(INDICE!$F$2,Nombres!$C$3:$D$636,154,FALSE)</f>
        <v>Peso argentino</v>
      </c>
      <c r="B8" s="269" t="s">
        <v>420</v>
      </c>
      <c r="C8" s="270">
        <v>278.43223103529596</v>
      </c>
      <c r="D8" s="172">
        <v>-0.5335157804378808</v>
      </c>
      <c r="E8" s="172">
        <v>-0.3229433126926381</v>
      </c>
      <c r="F8" s="141"/>
      <c r="G8" s="58"/>
      <c r="H8" s="266" t="s">
        <v>413</v>
      </c>
      <c r="I8" s="266" t="s">
        <v>413</v>
      </c>
    </row>
    <row r="9" spans="1:9" ht="15">
      <c r="A9" s="59" t="str">
        <f>HLOOKUP(INDICE!$F$2,Nombres!$C$3:$D$636,155,FALSE)</f>
        <v>Peso chileno</v>
      </c>
      <c r="B9" s="59"/>
      <c r="C9" s="171">
        <v>872.192087796614</v>
      </c>
      <c r="D9" s="172">
        <v>0.09559906820181352</v>
      </c>
      <c r="E9" s="172">
        <v>0.051091128978204337</v>
      </c>
      <c r="F9" s="141"/>
      <c r="G9" s="58"/>
      <c r="H9" s="171">
        <v>871.7214210843752</v>
      </c>
      <c r="I9" s="172">
        <v>0.035274547340468754</v>
      </c>
    </row>
    <row r="10" spans="1:9" ht="15">
      <c r="A10" s="59" t="str">
        <f>HLOOKUP(INDICE!$F$2,Nombres!$C$3:$D$636,156,FALSE)</f>
        <v>Peso colombiano</v>
      </c>
      <c r="B10" s="59"/>
      <c r="C10" s="171">
        <v>4554.2448383247865</v>
      </c>
      <c r="D10" s="172">
        <v>-0.05863578950971471</v>
      </c>
      <c r="E10" s="172">
        <v>0.1265444657392869</v>
      </c>
      <c r="F10" s="141"/>
      <c r="G10" s="58"/>
      <c r="H10" s="171">
        <v>4963.929260553142</v>
      </c>
      <c r="I10" s="172">
        <v>-0.13756743923313242</v>
      </c>
    </row>
    <row r="11" spans="1:9" ht="15">
      <c r="A11" s="59" t="str">
        <f>HLOOKUP(INDICE!$F$2,Nombres!$C$3:$D$636,157,FALSE)</f>
        <v>Sol peruano</v>
      </c>
      <c r="B11" s="59"/>
      <c r="C11" s="171">
        <v>3.940229000007563</v>
      </c>
      <c r="D11" s="172">
        <v>-0.004039612929016778</v>
      </c>
      <c r="E11" s="172">
        <v>0.029696497333230765</v>
      </c>
      <c r="F11" s="141"/>
      <c r="G11" s="58"/>
      <c r="H11" s="171">
        <v>4.056427000004184</v>
      </c>
      <c r="I11" s="172">
        <v>0.016834519638357026</v>
      </c>
    </row>
    <row r="12" spans="1:9" ht="15">
      <c r="A12" s="59" t="str">
        <f>HLOOKUP(INDICE!$F$2,Nombres!$C$3:$D$636,158,FALSE)</f>
        <v>Lira turca</v>
      </c>
      <c r="B12" s="269" t="s">
        <v>420</v>
      </c>
      <c r="C12" s="171">
        <v>28.319300000343645</v>
      </c>
      <c r="D12" s="172">
        <v>-0.38833233872782447</v>
      </c>
      <c r="E12" s="172">
        <v>-0.295007291855495</v>
      </c>
      <c r="F12" s="141"/>
      <c r="G12" s="58"/>
      <c r="H12" s="266" t="s">
        <v>413</v>
      </c>
      <c r="I12" s="266" t="s">
        <v>413</v>
      </c>
    </row>
    <row r="13" spans="1:9" ht="15">
      <c r="A13" s="97"/>
      <c r="B13" s="97"/>
      <c r="D13" s="174"/>
      <c r="E13" s="174"/>
      <c r="F13" s="174"/>
      <c r="G13" s="174"/>
      <c r="H13" s="97"/>
      <c r="I13" s="97"/>
    </row>
    <row r="14" spans="1:9" ht="15">
      <c r="A14" s="97"/>
      <c r="B14" s="97"/>
      <c r="C14" s="175"/>
      <c r="D14" s="174"/>
      <c r="E14" s="174"/>
      <c r="F14" s="174"/>
      <c r="G14" s="174"/>
      <c r="H14" s="97"/>
      <c r="I14" s="97"/>
    </row>
    <row r="15" spans="1:9" ht="15">
      <c r="A15" s="114" t="str">
        <f>HLOOKUP(INDICE!$F$2,Nombres!$C$3:$D$636,159,FALSE)</f>
        <v>(*) Utilizados en el cálculo de euros constantes de los datos de balance y actividad</v>
      </c>
      <c r="B15" s="114"/>
      <c r="C15" s="125"/>
      <c r="D15" s="125"/>
      <c r="E15" s="125"/>
      <c r="F15" s="174"/>
      <c r="G15" s="174"/>
      <c r="H15" s="97"/>
      <c r="I15" s="97"/>
    </row>
    <row r="16" spans="1:9" ht="15">
      <c r="A16" s="114" t="str">
        <f>HLOOKUP(INDICE!$F$2,Nombres!$C$3:$D$636,160,FALSE)</f>
        <v>(**) Utilizados en el cálculo de euros constantes de los datos de resultados</v>
      </c>
      <c r="B16" s="114"/>
      <c r="C16" s="125"/>
      <c r="D16" s="125"/>
      <c r="E16" s="125"/>
      <c r="F16" s="174"/>
      <c r="G16" s="174"/>
      <c r="H16" s="97"/>
      <c r="I16" s="97"/>
    </row>
    <row r="17" ht="15">
      <c r="A17" s="114" t="str">
        <f>HLOOKUP(INDICE!$F$2,Nombres!$C$3:$D$636,313,FALSE)</f>
        <v>(1) En aplicación de la NIC 21 "Efectos de las variaciones en los tipos de cambio de la moneda extranjera", la conversión de la cuenta de resultados de Turquía y Argentina se hace empleando el tipo de cambio final.</v>
      </c>
    </row>
    <row r="20" ht="15">
      <c r="D20" s="174"/>
    </row>
    <row r="25" spans="3:5" ht="15">
      <c r="C25" s="298"/>
      <c r="D25" s="298"/>
      <c r="E25" s="298"/>
    </row>
    <row r="27" ht="15">
      <c r="E27" s="298"/>
    </row>
    <row r="1000" ht="15">
      <c r="A1000" t="s">
        <v>391</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C31" sqref="C31"/>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2022-2023</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36"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6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0"/>
      <c r="D37" s="300"/>
      <c r="E37" s="300"/>
      <c r="F37" s="300"/>
      <c r="G37" s="300"/>
      <c r="H37" s="300"/>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72"/>
    </row>
    <row r="1003" ht="23.25" customHeight="1">
      <c r="A1003" s="1" t="s">
        <v>391</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77" customWidth="1"/>
    <col min="2" max="7" width="10.7109375" style="177" customWidth="1"/>
    <col min="8" max="9" width="10.7109375" style="177" hidden="1" customWidth="1"/>
    <col min="10" max="13" width="11.57421875" style="177" customWidth="1"/>
    <col min="14" max="255" width="11.421875" style="177" customWidth="1"/>
  </cols>
  <sheetData>
    <row r="1" spans="1:9" ht="19.5">
      <c r="A1" s="93" t="str">
        <f>HLOOKUP(INDICE!$F$2,Nombres!$C$3:$D$636,171,FALSE)</f>
        <v>Diferenciales de la clientela (*)</v>
      </c>
      <c r="B1" s="176"/>
      <c r="C1" s="176"/>
      <c r="D1" s="176"/>
      <c r="E1" s="176"/>
      <c r="F1" s="176"/>
      <c r="G1" s="250"/>
      <c r="H1" s="250"/>
      <c r="I1" s="250"/>
    </row>
    <row r="2" spans="1:9" ht="19.5">
      <c r="A2" s="178" t="str">
        <f>HLOOKUP(INDICE!$F$2,Nombres!$C$3:$D$636,172,FALSE)</f>
        <v>(Porcentaje)</v>
      </c>
      <c r="B2" s="179"/>
      <c r="C2" s="179"/>
      <c r="D2" s="179"/>
      <c r="E2" s="179"/>
      <c r="F2" s="179"/>
      <c r="G2" s="180"/>
      <c r="H2" s="180"/>
      <c r="I2" s="180"/>
    </row>
    <row r="3" spans="1:9" ht="15.75">
      <c r="A3" s="180"/>
      <c r="B3" s="305">
        <f>+España!B6</f>
        <v>2022</v>
      </c>
      <c r="C3" s="305"/>
      <c r="D3" s="305"/>
      <c r="E3" s="305"/>
      <c r="F3" s="305">
        <f>+España!F6</f>
        <v>2023</v>
      </c>
      <c r="G3" s="305"/>
      <c r="H3" s="305"/>
      <c r="I3" s="305"/>
    </row>
    <row r="4" spans="1:9" ht="15.75">
      <c r="A4" s="141"/>
      <c r="B4" s="181" t="str">
        <f>HLOOKUP(INDICE!$F$2,Nombres!$C$3:$D$636,167,FALSE)</f>
        <v>1er Trim.</v>
      </c>
      <c r="C4" s="181" t="str">
        <f>HLOOKUP(INDICE!$F$2,Nombres!$C$3:$D$636,168,FALSE)</f>
        <v>2º Trim.</v>
      </c>
      <c r="D4" s="181" t="str">
        <f>HLOOKUP(INDICE!$F$2,Nombres!$C$3:$D$636,169,FALSE)</f>
        <v>3er Trim.</v>
      </c>
      <c r="E4" s="181" t="str">
        <f>HLOOKUP(INDICE!$F$2,Nombres!$C$3:$D$636,170,FALSE)</f>
        <v>4º Trim.</v>
      </c>
      <c r="F4" s="181" t="str">
        <f>HLOOKUP(INDICE!$F$2,Nombres!$C$3:$D$636,167,FALSE)</f>
        <v>1er Trim.</v>
      </c>
      <c r="G4" s="181" t="str">
        <f>HLOOKUP(INDICE!$F$2,Nombres!$C$3:$D$636,168,FALSE)</f>
        <v>2º Trim.</v>
      </c>
      <c r="H4" s="181" t="str">
        <f>HLOOKUP(INDICE!$F$2,Nombres!$C$3:$D$636,169,FALSE)</f>
        <v>3er Trim.</v>
      </c>
      <c r="I4" s="181" t="str">
        <f>HLOOKUP(INDICE!$F$2,Nombres!$C$3:$D$636,170,FALSE)</f>
        <v>4º Trim.</v>
      </c>
    </row>
    <row r="5" spans="1:9" ht="15">
      <c r="A5" s="141"/>
      <c r="B5" s="100"/>
      <c r="C5" s="100"/>
      <c r="D5" s="100"/>
      <c r="E5" s="100"/>
      <c r="F5" s="100"/>
      <c r="G5" s="180"/>
      <c r="H5" s="180"/>
      <c r="I5" s="180"/>
    </row>
    <row r="6" spans="1:30" ht="15">
      <c r="A6" s="182" t="str">
        <f>HLOOKUP(INDICE!$F$2,Nombres!$C$3:$D$636,173,FALSE)</f>
        <v>Rentabilidad de los prestamos</v>
      </c>
      <c r="B6" s="183">
        <v>0.017100471610330813</v>
      </c>
      <c r="C6" s="183">
        <v>0.0174293725158536</v>
      </c>
      <c r="D6" s="183">
        <v>0.01930581484305085</v>
      </c>
      <c r="E6" s="183">
        <v>0.02415878095690275</v>
      </c>
      <c r="F6" s="183">
        <v>0.031132326439448202</v>
      </c>
      <c r="G6" s="183">
        <v>0.036440019311857905</v>
      </c>
      <c r="H6" s="183">
        <v>0</v>
      </c>
      <c r="I6" s="183">
        <v>0</v>
      </c>
      <c r="J6" s="291"/>
      <c r="K6" s="283"/>
      <c r="L6" s="283"/>
      <c r="M6" s="283"/>
      <c r="O6" s="184"/>
      <c r="P6" s="184"/>
      <c r="Q6" s="184"/>
      <c r="R6" s="184"/>
      <c r="W6" s="184"/>
      <c r="X6" s="184"/>
      <c r="Y6" s="184"/>
      <c r="Z6" s="184"/>
      <c r="AA6" s="184"/>
      <c r="AB6" s="184"/>
      <c r="AC6" s="184"/>
      <c r="AD6" s="184"/>
    </row>
    <row r="7" spans="1:30" ht="15">
      <c r="A7" s="182" t="str">
        <f>HLOOKUP(INDICE!$F$2,Nombres!$C$3:$D$636,174,FALSE)</f>
        <v>Coste de los depositos</v>
      </c>
      <c r="B7" s="183">
        <v>-4.121262380617316E-05</v>
      </c>
      <c r="C7" s="183">
        <v>-0.000272600466156169</v>
      </c>
      <c r="D7" s="183">
        <v>-0.0007976495198733596</v>
      </c>
      <c r="E7" s="183">
        <v>-0.0020647080722731425</v>
      </c>
      <c r="F7" s="183">
        <v>-0.003673145585227048</v>
      </c>
      <c r="G7" s="183">
        <v>-0.005279021889935075</v>
      </c>
      <c r="H7" s="183">
        <v>0</v>
      </c>
      <c r="I7" s="183">
        <v>0</v>
      </c>
      <c r="J7" s="291"/>
      <c r="K7" s="283"/>
      <c r="L7" s="283"/>
      <c r="M7" s="283"/>
      <c r="O7" s="184"/>
      <c r="P7" s="184"/>
      <c r="Q7" s="184"/>
      <c r="R7" s="184"/>
      <c r="W7" s="184"/>
      <c r="X7" s="184"/>
      <c r="Y7" s="184"/>
      <c r="Z7" s="184"/>
      <c r="AA7" s="184"/>
      <c r="AB7" s="184"/>
      <c r="AC7" s="184"/>
      <c r="AD7" s="184"/>
    </row>
    <row r="8" spans="1:30" ht="15">
      <c r="A8" s="185" t="str">
        <f>HLOOKUP(INDICE!$F$2,Nombres!$C$3:$D$636,175,FALSE)</f>
        <v>Actividad bancaria en España</v>
      </c>
      <c r="B8" s="186">
        <v>0.01705925898652464</v>
      </c>
      <c r="C8" s="186">
        <v>0.01715677204969743</v>
      </c>
      <c r="D8" s="186">
        <v>0.01850816532317749</v>
      </c>
      <c r="E8" s="186">
        <v>0.022094072884629605</v>
      </c>
      <c r="F8" s="186">
        <v>0.027459180854221155</v>
      </c>
      <c r="G8" s="186">
        <v>0.03116099742192283</v>
      </c>
      <c r="H8" s="186">
        <v>0</v>
      </c>
      <c r="I8" s="186">
        <v>0</v>
      </c>
      <c r="J8" s="291"/>
      <c r="K8" s="283"/>
      <c r="L8" s="283"/>
      <c r="M8" s="283"/>
      <c r="O8" s="184"/>
      <c r="P8" s="184"/>
      <c r="Q8" s="184"/>
      <c r="R8" s="184"/>
      <c r="W8" s="184"/>
      <c r="X8" s="184"/>
      <c r="Y8" s="184"/>
      <c r="Z8" s="184"/>
      <c r="AA8" s="184"/>
      <c r="AB8" s="184"/>
      <c r="AC8" s="184"/>
      <c r="AD8" s="184"/>
    </row>
    <row r="9" spans="1:30" ht="15">
      <c r="A9" s="141"/>
      <c r="B9" s="187"/>
      <c r="C9" s="187"/>
      <c r="D9" s="187"/>
      <c r="E9" s="187"/>
      <c r="F9" s="187"/>
      <c r="G9" s="187"/>
      <c r="H9" s="187"/>
      <c r="I9" s="187"/>
      <c r="O9" s="184"/>
      <c r="P9" s="184"/>
      <c r="Q9" s="184"/>
      <c r="R9" s="184"/>
      <c r="W9" s="184"/>
      <c r="X9" s="184"/>
      <c r="Y9" s="184"/>
      <c r="Z9" s="184"/>
      <c r="AA9" s="184"/>
      <c r="AB9" s="184"/>
      <c r="AC9" s="184"/>
      <c r="AD9" s="184"/>
    </row>
    <row r="10" spans="1:30" ht="15">
      <c r="A10" s="182" t="str">
        <f>HLOOKUP(INDICE!$F$2,Nombres!$C$3:$D$636,173,FALSE)</f>
        <v>Rentabilidad de los prestamos</v>
      </c>
      <c r="B10" s="183">
        <v>0.12791434793621811</v>
      </c>
      <c r="C10" s="183">
        <v>0.1330929827154512</v>
      </c>
      <c r="D10" s="183">
        <v>0.13943192250933265</v>
      </c>
      <c r="E10" s="183">
        <v>0.14564164157963333</v>
      </c>
      <c r="F10" s="183">
        <v>0.15209351695188247</v>
      </c>
      <c r="G10" s="183">
        <v>0.15471226068079091</v>
      </c>
      <c r="H10" s="183">
        <v>0</v>
      </c>
      <c r="I10" s="183">
        <v>0</v>
      </c>
      <c r="J10" s="291"/>
      <c r="K10" s="283"/>
      <c r="L10" s="283"/>
      <c r="M10" s="283"/>
      <c r="O10" s="184"/>
      <c r="P10" s="184"/>
      <c r="Q10" s="184"/>
      <c r="R10" s="184"/>
      <c r="W10" s="184"/>
      <c r="X10" s="184"/>
      <c r="Y10" s="184"/>
      <c r="Z10" s="184"/>
      <c r="AA10" s="184"/>
      <c r="AB10" s="184"/>
      <c r="AC10" s="184"/>
      <c r="AD10" s="184"/>
    </row>
    <row r="11" spans="1:30" ht="15">
      <c r="A11" s="182" t="str">
        <f>HLOOKUP(INDICE!$F$2,Nombres!$C$3:$D$636,174,FALSE)</f>
        <v>Coste de los depositos</v>
      </c>
      <c r="B11" s="183">
        <v>-0.01424762298179531</v>
      </c>
      <c r="C11" s="183">
        <v>-0.016749668729310278</v>
      </c>
      <c r="D11" s="183">
        <v>-0.020255336759463217</v>
      </c>
      <c r="E11" s="183">
        <v>-0.024024176866180122</v>
      </c>
      <c r="F11" s="183">
        <v>-0.02650338884121314</v>
      </c>
      <c r="G11" s="183">
        <v>-0.027466895601772307</v>
      </c>
      <c r="H11" s="183">
        <v>0</v>
      </c>
      <c r="I11" s="183">
        <v>0</v>
      </c>
      <c r="J11" s="291"/>
      <c r="K11" s="283"/>
      <c r="L11" s="283"/>
      <c r="M11" s="283"/>
      <c r="O11" s="184"/>
      <c r="P11" s="184"/>
      <c r="Q11" s="184"/>
      <c r="R11" s="184"/>
      <c r="W11" s="184"/>
      <c r="X11" s="184"/>
      <c r="Y11" s="184"/>
      <c r="Z11" s="184"/>
      <c r="AA11" s="184"/>
      <c r="AB11" s="184"/>
      <c r="AC11" s="184"/>
      <c r="AD11" s="184"/>
    </row>
    <row r="12" spans="1:30" ht="15">
      <c r="A12" s="185" t="str">
        <f>HLOOKUP(INDICE!$F$2,Nombres!$C$3:$D$636,177,FALSE)</f>
        <v>México pesos mexicanos</v>
      </c>
      <c r="B12" s="186">
        <v>0.1136667249544228</v>
      </c>
      <c r="C12" s="186">
        <v>0.11634331398614092</v>
      </c>
      <c r="D12" s="186">
        <v>0.11917658574986943</v>
      </c>
      <c r="E12" s="186">
        <v>0.12161746471345321</v>
      </c>
      <c r="F12" s="186">
        <v>0.12559012811066933</v>
      </c>
      <c r="G12" s="186">
        <v>0.1272453650790186</v>
      </c>
      <c r="H12" s="186">
        <v>0</v>
      </c>
      <c r="I12" s="186">
        <v>0</v>
      </c>
      <c r="J12" s="291"/>
      <c r="K12" s="283"/>
      <c r="L12" s="283"/>
      <c r="M12" s="283"/>
      <c r="O12" s="184"/>
      <c r="P12" s="184"/>
      <c r="Q12" s="184"/>
      <c r="R12" s="184"/>
      <c r="W12" s="184"/>
      <c r="X12" s="184"/>
      <c r="Y12" s="184"/>
      <c r="Z12" s="184"/>
      <c r="AA12" s="184"/>
      <c r="AB12" s="184"/>
      <c r="AC12" s="184"/>
      <c r="AD12" s="184"/>
    </row>
    <row r="13" spans="1:30" ht="15">
      <c r="A13" s="141"/>
      <c r="B13" s="187"/>
      <c r="C13" s="187"/>
      <c r="D13" s="187"/>
      <c r="E13" s="187"/>
      <c r="F13" s="187"/>
      <c r="G13" s="187"/>
      <c r="H13" s="187"/>
      <c r="I13" s="187"/>
      <c r="O13" s="184"/>
      <c r="P13" s="184"/>
      <c r="Q13" s="184"/>
      <c r="R13" s="184"/>
      <c r="W13" s="184"/>
      <c r="X13" s="184"/>
      <c r="Y13" s="184"/>
      <c r="Z13" s="184"/>
      <c r="AA13" s="184"/>
      <c r="AB13" s="184"/>
      <c r="AC13" s="184"/>
      <c r="AD13" s="184"/>
    </row>
    <row r="14" spans="1:30" ht="15">
      <c r="A14" s="182" t="str">
        <f>HLOOKUP(INDICE!$F$2,Nombres!$C$3:$D$636,173,FALSE)</f>
        <v>Rentabilidad de los prestamos</v>
      </c>
      <c r="B14" s="187">
        <v>0.02964671805327852</v>
      </c>
      <c r="C14" s="187">
        <v>0.033828643923429984</v>
      </c>
      <c r="D14" s="187">
        <v>0.043159377584270804</v>
      </c>
      <c r="E14" s="187">
        <v>0.05495092569225726</v>
      </c>
      <c r="F14" s="187">
        <v>0.06214204968120192</v>
      </c>
      <c r="G14" s="187">
        <v>0.06621476542445039</v>
      </c>
      <c r="H14" s="187">
        <v>0</v>
      </c>
      <c r="I14" s="187">
        <v>0</v>
      </c>
      <c r="O14" s="184"/>
      <c r="P14" s="184"/>
      <c r="Q14" s="184"/>
      <c r="R14" s="184"/>
      <c r="W14" s="184"/>
      <c r="X14" s="184"/>
      <c r="Y14" s="184"/>
      <c r="Z14" s="184"/>
      <c r="AA14" s="184"/>
      <c r="AB14" s="184"/>
      <c r="AC14" s="184"/>
      <c r="AD14" s="184"/>
    </row>
    <row r="15" spans="1:30" ht="15">
      <c r="A15" s="182" t="str">
        <f>HLOOKUP(INDICE!$F$2,Nombres!$C$3:$D$636,174,FALSE)</f>
        <v>Coste de los depositos</v>
      </c>
      <c r="B15" s="187">
        <v>-0.0002230968022216293</v>
      </c>
      <c r="C15" s="187">
        <v>-0.00045790858676113456</v>
      </c>
      <c r="D15" s="187">
        <v>-0.0011847510341060005</v>
      </c>
      <c r="E15" s="187">
        <v>-0.001940562447972334</v>
      </c>
      <c r="F15" s="187">
        <v>-0.0025692484868020836</v>
      </c>
      <c r="G15" s="187">
        <v>-0.0037933121466861923</v>
      </c>
      <c r="H15" s="187">
        <v>0</v>
      </c>
      <c r="I15" s="187">
        <v>0</v>
      </c>
      <c r="O15" s="184"/>
      <c r="P15" s="184"/>
      <c r="Q15" s="184"/>
      <c r="R15" s="184"/>
      <c r="W15" s="184"/>
      <c r="X15" s="184"/>
      <c r="Y15" s="184"/>
      <c r="Z15" s="184"/>
      <c r="AA15" s="184"/>
      <c r="AB15" s="184"/>
      <c r="AC15" s="184"/>
      <c r="AD15" s="184"/>
    </row>
    <row r="16" spans="1:30" ht="15">
      <c r="A16" s="185" t="str">
        <f>HLOOKUP(INDICE!$F$2,Nombres!$C$3:$D$636,178,FALSE)</f>
        <v>México moneda extranjera</v>
      </c>
      <c r="B16" s="188">
        <v>0.02942362125105689</v>
      </c>
      <c r="C16" s="188">
        <v>0.03337073533666885</v>
      </c>
      <c r="D16" s="188">
        <v>0.041974626550164804</v>
      </c>
      <c r="E16" s="188">
        <v>0.05301036324428493</v>
      </c>
      <c r="F16" s="188">
        <v>0.05957280119439984</v>
      </c>
      <c r="G16" s="188">
        <v>0.062421453277764195</v>
      </c>
      <c r="H16" s="188">
        <v>0</v>
      </c>
      <c r="I16" s="188">
        <v>0</v>
      </c>
      <c r="O16" s="184"/>
      <c r="P16" s="184"/>
      <c r="Q16" s="184"/>
      <c r="R16" s="184"/>
      <c r="W16" s="184"/>
      <c r="X16" s="184"/>
      <c r="Y16" s="184"/>
      <c r="Z16" s="184"/>
      <c r="AA16" s="184"/>
      <c r="AB16" s="184"/>
      <c r="AC16" s="184"/>
      <c r="AD16" s="184"/>
    </row>
    <row r="17" spans="1:30" ht="15">
      <c r="A17" s="141"/>
      <c r="B17" s="187"/>
      <c r="C17" s="187"/>
      <c r="D17" s="187"/>
      <c r="E17" s="187"/>
      <c r="F17" s="187"/>
      <c r="G17" s="187"/>
      <c r="H17" s="187"/>
      <c r="I17" s="187"/>
      <c r="O17" s="184"/>
      <c r="P17" s="184"/>
      <c r="Q17" s="184"/>
      <c r="R17" s="184"/>
      <c r="W17" s="184"/>
      <c r="X17" s="184"/>
      <c r="Y17" s="184"/>
      <c r="Z17" s="184"/>
      <c r="AA17" s="184"/>
      <c r="AB17" s="184"/>
      <c r="AC17" s="184"/>
      <c r="AD17" s="184"/>
    </row>
    <row r="18" spans="1:30" ht="15">
      <c r="A18" s="182" t="str">
        <f>HLOOKUP(INDICE!$F$2,Nombres!$C$3:$D$636,173,FALSE)</f>
        <v>Rentabilidad de los prestamos</v>
      </c>
      <c r="B18" s="183">
        <v>0.17752588226577382</v>
      </c>
      <c r="C18" s="183">
        <v>0.18604372616273018</v>
      </c>
      <c r="D18" s="183">
        <v>0.20919401221665745</v>
      </c>
      <c r="E18" s="183">
        <v>0.1867422390999467</v>
      </c>
      <c r="F18" s="183">
        <v>0.16838204415435995</v>
      </c>
      <c r="G18" s="183">
        <v>0.16501229242923304</v>
      </c>
      <c r="H18" s="183">
        <v>0</v>
      </c>
      <c r="I18" s="183">
        <v>0</v>
      </c>
      <c r="J18" s="291"/>
      <c r="K18" s="283"/>
      <c r="L18" s="283"/>
      <c r="M18" s="283"/>
      <c r="O18" s="184"/>
      <c r="P18" s="184"/>
      <c r="Q18" s="184"/>
      <c r="R18" s="184"/>
      <c r="W18" s="184"/>
      <c r="X18" s="184"/>
      <c r="Y18" s="184"/>
      <c r="Z18" s="184"/>
      <c r="AA18" s="184"/>
      <c r="AB18" s="184"/>
      <c r="AC18" s="184"/>
      <c r="AD18" s="184"/>
    </row>
    <row r="19" spans="1:30" ht="15">
      <c r="A19" s="182" t="str">
        <f>HLOOKUP(INDICE!$F$2,Nombres!$C$3:$D$636,174,FALSE)</f>
        <v>Coste de los depositos</v>
      </c>
      <c r="B19" s="183">
        <v>-0.12530942865274364</v>
      </c>
      <c r="C19" s="183">
        <v>-0.11952532280685943</v>
      </c>
      <c r="D19" s="183">
        <v>-0.11919949601023076</v>
      </c>
      <c r="E19" s="183">
        <v>-0.11489173751727455</v>
      </c>
      <c r="F19" s="183">
        <v>-0.12922265266581584</v>
      </c>
      <c r="G19" s="183">
        <v>-0.15686534358462165</v>
      </c>
      <c r="H19" s="183">
        <v>0</v>
      </c>
      <c r="I19" s="183">
        <v>0</v>
      </c>
      <c r="J19" s="291"/>
      <c r="K19" s="283"/>
      <c r="L19" s="283"/>
      <c r="M19" s="283"/>
      <c r="O19" s="184"/>
      <c r="P19" s="184"/>
      <c r="Q19" s="184"/>
      <c r="R19" s="184"/>
      <c r="W19" s="184"/>
      <c r="X19" s="184"/>
      <c r="Y19" s="184"/>
      <c r="Z19" s="184"/>
      <c r="AA19" s="184"/>
      <c r="AB19" s="184"/>
      <c r="AC19" s="184"/>
      <c r="AD19" s="184"/>
    </row>
    <row r="20" spans="1:30" ht="15">
      <c r="A20" s="185" t="str">
        <f>HLOOKUP(INDICE!$F$2,Nombres!$C$3:$D$636,179,FALSE)</f>
        <v>Turquía liras turcas</v>
      </c>
      <c r="B20" s="186">
        <v>0.05221645361303018</v>
      </c>
      <c r="C20" s="186">
        <v>0.06651840335587075</v>
      </c>
      <c r="D20" s="186">
        <v>0.08999451620642669</v>
      </c>
      <c r="E20" s="186">
        <v>0.07185050158267214</v>
      </c>
      <c r="F20" s="186">
        <v>0.03915939148854411</v>
      </c>
      <c r="G20" s="186">
        <v>0.008146948844611396</v>
      </c>
      <c r="H20" s="186">
        <v>0</v>
      </c>
      <c r="I20" s="186">
        <v>0</v>
      </c>
      <c r="J20" s="291"/>
      <c r="K20" s="283"/>
      <c r="L20" s="283"/>
      <c r="M20" s="283"/>
      <c r="O20" s="184"/>
      <c r="P20" s="184"/>
      <c r="Q20" s="184"/>
      <c r="R20" s="184"/>
      <c r="W20" s="184"/>
      <c r="X20" s="184"/>
      <c r="Y20" s="184"/>
      <c r="Z20" s="184"/>
      <c r="AA20" s="184"/>
      <c r="AB20" s="184"/>
      <c r="AC20" s="184"/>
      <c r="AD20" s="184"/>
    </row>
    <row r="21" spans="1:30" ht="15">
      <c r="A21" s="185"/>
      <c r="B21" s="186"/>
      <c r="C21" s="186"/>
      <c r="D21" s="186"/>
      <c r="E21" s="186"/>
      <c r="F21" s="186"/>
      <c r="G21" s="186"/>
      <c r="H21" s="186"/>
      <c r="I21" s="186"/>
      <c r="J21" s="291"/>
      <c r="K21" s="283"/>
      <c r="L21" s="283"/>
      <c r="M21" s="283"/>
      <c r="O21" s="184"/>
      <c r="P21" s="184"/>
      <c r="Q21" s="184"/>
      <c r="R21" s="184"/>
      <c r="W21" s="184"/>
      <c r="X21" s="184"/>
      <c r="Y21" s="184"/>
      <c r="Z21" s="184"/>
      <c r="AA21" s="184"/>
      <c r="AB21" s="184"/>
      <c r="AC21" s="184"/>
      <c r="AD21" s="184"/>
    </row>
    <row r="22" spans="1:30" ht="15">
      <c r="A22" s="182" t="str">
        <f>HLOOKUP(INDICE!$F$2,Nombres!$C$3:$D$636,173,FALSE)</f>
        <v>Rentabilidad de los prestamos</v>
      </c>
      <c r="B22" s="189">
        <v>0.051878005521567495</v>
      </c>
      <c r="C22" s="189">
        <v>0.06017340203625279</v>
      </c>
      <c r="D22" s="189">
        <v>0.0710309839601613</v>
      </c>
      <c r="E22" s="189">
        <v>0.07979526521593448</v>
      </c>
      <c r="F22" s="189">
        <v>0.08582757964408358</v>
      </c>
      <c r="G22" s="189">
        <v>0.09071804865642907</v>
      </c>
      <c r="H22" s="189">
        <v>0</v>
      </c>
      <c r="I22" s="189">
        <v>0</v>
      </c>
      <c r="J22" s="291"/>
      <c r="K22" s="283"/>
      <c r="L22" s="283"/>
      <c r="M22" s="283"/>
      <c r="O22" s="184"/>
      <c r="P22" s="184"/>
      <c r="Q22" s="184"/>
      <c r="R22" s="184"/>
      <c r="W22" s="184"/>
      <c r="X22" s="184"/>
      <c r="Y22" s="184"/>
      <c r="Z22" s="184"/>
      <c r="AA22" s="184"/>
      <c r="AB22" s="184"/>
      <c r="AC22" s="184"/>
      <c r="AD22" s="184"/>
    </row>
    <row r="23" spans="1:30" ht="15">
      <c r="A23" s="182" t="str">
        <f>HLOOKUP(INDICE!$F$2,Nombres!$C$3:$D$636,174,FALSE)</f>
        <v>Coste de los depositos</v>
      </c>
      <c r="B23" s="189">
        <v>-0.0020077497649421522</v>
      </c>
      <c r="C23" s="189">
        <v>-0.0030379782769070812</v>
      </c>
      <c r="D23" s="189">
        <v>-0.005924188647877249</v>
      </c>
      <c r="E23" s="189">
        <v>-0.004923538097256944</v>
      </c>
      <c r="F23" s="189">
        <v>-0.003113921508916749</v>
      </c>
      <c r="G23" s="189">
        <v>-0.0028701427498035097</v>
      </c>
      <c r="H23" s="189">
        <v>0</v>
      </c>
      <c r="I23" s="189">
        <v>0</v>
      </c>
      <c r="J23" s="291"/>
      <c r="K23" s="283"/>
      <c r="L23" s="283"/>
      <c r="M23" s="283"/>
      <c r="O23" s="184"/>
      <c r="P23" s="184"/>
      <c r="Q23" s="184"/>
      <c r="R23" s="184"/>
      <c r="W23" s="184"/>
      <c r="X23" s="184"/>
      <c r="Y23" s="184"/>
      <c r="Z23" s="184"/>
      <c r="AA23" s="184"/>
      <c r="AB23" s="184"/>
      <c r="AC23" s="184"/>
      <c r="AD23" s="184"/>
    </row>
    <row r="24" spans="1:30" ht="15">
      <c r="A24" s="185" t="str">
        <f>HLOOKUP(INDICE!$F$2,Nombres!$C$3:$D$636,180,FALSE)</f>
        <v>Turquía moneda extranjera</v>
      </c>
      <c r="B24" s="186">
        <v>0.04987025575662534</v>
      </c>
      <c r="C24" s="186">
        <v>0.05713542375934571</v>
      </c>
      <c r="D24" s="186">
        <v>0.06510679531228405</v>
      </c>
      <c r="E24" s="186">
        <v>0.07487172711867754</v>
      </c>
      <c r="F24" s="186">
        <v>0.08271365813516683</v>
      </c>
      <c r="G24" s="186">
        <v>0.08784790590662557</v>
      </c>
      <c r="H24" s="186">
        <v>0</v>
      </c>
      <c r="I24" s="186">
        <v>0</v>
      </c>
      <c r="J24" s="291"/>
      <c r="K24" s="283"/>
      <c r="L24" s="283"/>
      <c r="M24" s="283"/>
      <c r="O24" s="184"/>
      <c r="P24" s="184"/>
      <c r="Q24" s="184"/>
      <c r="R24" s="184"/>
      <c r="W24" s="184"/>
      <c r="X24" s="184"/>
      <c r="Y24" s="184"/>
      <c r="Z24" s="184"/>
      <c r="AA24" s="184"/>
      <c r="AB24" s="184"/>
      <c r="AC24" s="184"/>
      <c r="AD24" s="184"/>
    </row>
    <row r="25" spans="1:30" ht="15">
      <c r="A25" s="141"/>
      <c r="B25" s="187"/>
      <c r="C25" s="187"/>
      <c r="D25" s="187"/>
      <c r="E25" s="187"/>
      <c r="F25" s="187"/>
      <c r="G25" s="187"/>
      <c r="H25" s="187"/>
      <c r="I25" s="187"/>
      <c r="O25" s="184"/>
      <c r="P25" s="184"/>
      <c r="Q25" s="184"/>
      <c r="R25" s="184"/>
      <c r="W25" s="184"/>
      <c r="X25" s="184"/>
      <c r="Y25" s="184"/>
      <c r="Z25" s="184"/>
      <c r="AA25" s="184"/>
      <c r="AB25" s="184"/>
      <c r="AC25" s="184"/>
      <c r="AD25" s="184"/>
    </row>
    <row r="26" spans="1:30" ht="15">
      <c r="A26" s="182" t="str">
        <f>HLOOKUP(INDICE!$F$2,Nombres!$C$3:$D$636,173,FALSE)</f>
        <v>Rentabilidad de los prestamos</v>
      </c>
      <c r="B26" s="183">
        <v>0.2973933995524442</v>
      </c>
      <c r="C26" s="183">
        <v>0.33132658218614175</v>
      </c>
      <c r="D26" s="183">
        <v>0.3898487710954352</v>
      </c>
      <c r="E26" s="183">
        <v>0.45825587723950134</v>
      </c>
      <c r="F26" s="183">
        <v>0.49968580319204314</v>
      </c>
      <c r="G26" s="183">
        <v>0.5441640096591478</v>
      </c>
      <c r="H26" s="183">
        <v>0</v>
      </c>
      <c r="I26" s="183">
        <v>0</v>
      </c>
      <c r="J26" s="291"/>
      <c r="K26" s="283"/>
      <c r="L26" s="283"/>
      <c r="M26" s="283"/>
      <c r="O26" s="184"/>
      <c r="P26" s="184"/>
      <c r="Q26" s="184"/>
      <c r="R26" s="184"/>
      <c r="W26" s="184"/>
      <c r="X26" s="184"/>
      <c r="Y26" s="184"/>
      <c r="Z26" s="184"/>
      <c r="AA26" s="184"/>
      <c r="AB26" s="184"/>
      <c r="AC26" s="184"/>
      <c r="AD26" s="184"/>
    </row>
    <row r="27" spans="1:30" ht="15">
      <c r="A27" s="182" t="str">
        <f>HLOOKUP(INDICE!$F$2,Nombres!$C$3:$D$636,174,FALSE)</f>
        <v>Coste de los depositos</v>
      </c>
      <c r="B27" s="183">
        <v>-0.14988952400084696</v>
      </c>
      <c r="C27" s="183">
        <v>-0.19459625926706398</v>
      </c>
      <c r="D27" s="183">
        <v>-0.25283613980743225</v>
      </c>
      <c r="E27" s="183">
        <v>-0.30693616527794026</v>
      </c>
      <c r="F27" s="183">
        <v>-0.3127239735382609</v>
      </c>
      <c r="G27" s="183">
        <v>-0.39672704430464395</v>
      </c>
      <c r="H27" s="183">
        <v>0</v>
      </c>
      <c r="I27" s="183">
        <v>0</v>
      </c>
      <c r="J27" s="291"/>
      <c r="K27" s="283"/>
      <c r="L27" s="283"/>
      <c r="M27" s="283"/>
      <c r="O27" s="184"/>
      <c r="P27" s="184"/>
      <c r="Q27" s="184"/>
      <c r="R27" s="184"/>
      <c r="W27" s="184"/>
      <c r="X27" s="184"/>
      <c r="Y27" s="184"/>
      <c r="Z27" s="184"/>
      <c r="AA27" s="184"/>
      <c r="AB27" s="184"/>
      <c r="AC27" s="184"/>
      <c r="AD27" s="184"/>
    </row>
    <row r="28" spans="1:30" ht="15">
      <c r="A28" s="185" t="str">
        <f>HLOOKUP(INDICE!$F$2,Nombres!$C$3:$D$636,181,FALSE)</f>
        <v>Argentina</v>
      </c>
      <c r="B28" s="190">
        <v>0.14750387555159725</v>
      </c>
      <c r="C28" s="190">
        <v>0.13673032291907777</v>
      </c>
      <c r="D28" s="190">
        <v>0.13701263128800295</v>
      </c>
      <c r="E28" s="190">
        <v>0.15131971196156108</v>
      </c>
      <c r="F28" s="190">
        <v>0.18696182965378222</v>
      </c>
      <c r="G28" s="190">
        <v>0.14743696535450385</v>
      </c>
      <c r="H28" s="190">
        <v>0</v>
      </c>
      <c r="I28" s="190">
        <v>0</v>
      </c>
      <c r="J28" s="291"/>
      <c r="K28" s="283"/>
      <c r="L28" s="283"/>
      <c r="M28" s="283"/>
      <c r="O28" s="184"/>
      <c r="P28" s="184"/>
      <c r="Q28" s="184"/>
      <c r="R28" s="184"/>
      <c r="W28" s="184"/>
      <c r="X28" s="184"/>
      <c r="Y28" s="184"/>
      <c r="Z28" s="184"/>
      <c r="AA28" s="184"/>
      <c r="AB28" s="184"/>
      <c r="AC28" s="184"/>
      <c r="AD28" s="184"/>
    </row>
    <row r="29" spans="1:30" ht="15">
      <c r="A29" s="141"/>
      <c r="B29" s="187"/>
      <c r="C29" s="187"/>
      <c r="D29" s="187"/>
      <c r="E29" s="187"/>
      <c r="F29" s="187"/>
      <c r="G29" s="187"/>
      <c r="H29" s="187"/>
      <c r="I29" s="187"/>
      <c r="O29" s="184"/>
      <c r="P29" s="184"/>
      <c r="Q29" s="184"/>
      <c r="R29" s="184"/>
      <c r="W29" s="184"/>
      <c r="X29" s="184"/>
      <c r="Y29" s="184"/>
      <c r="Z29" s="184"/>
      <c r="AA29" s="184"/>
      <c r="AB29" s="184"/>
      <c r="AC29" s="184"/>
      <c r="AD29" s="184"/>
    </row>
    <row r="30" spans="1:30" ht="15">
      <c r="A30" s="182" t="str">
        <f>HLOOKUP(INDICE!$F$2,Nombres!$C$3:$D$636,173,FALSE)</f>
        <v>Rentabilidad de los prestamos</v>
      </c>
      <c r="B30" s="183">
        <v>0.08900064858658696</v>
      </c>
      <c r="C30" s="183">
        <v>0.09630849130574694</v>
      </c>
      <c r="D30" s="183">
        <v>0.10607812340548976</v>
      </c>
      <c r="E30" s="183">
        <v>0.11859395232300568</v>
      </c>
      <c r="F30" s="183">
        <v>0.12763442490573437</v>
      </c>
      <c r="G30" s="183">
        <v>0.13481884091683827</v>
      </c>
      <c r="H30" s="183">
        <v>0</v>
      </c>
      <c r="I30" s="183">
        <v>0</v>
      </c>
      <c r="J30" s="291"/>
      <c r="K30" s="283"/>
      <c r="L30" s="283"/>
      <c r="M30" s="283"/>
      <c r="O30" s="184"/>
      <c r="P30" s="184"/>
      <c r="Q30" s="184"/>
      <c r="R30" s="184"/>
      <c r="W30" s="184"/>
      <c r="X30" s="184"/>
      <c r="Y30" s="184"/>
      <c r="Z30" s="184"/>
      <c r="AA30" s="184"/>
      <c r="AB30" s="184"/>
      <c r="AC30" s="184"/>
      <c r="AD30" s="184"/>
    </row>
    <row r="31" spans="1:30" ht="15">
      <c r="A31" s="182" t="str">
        <f>HLOOKUP(INDICE!$F$2,Nombres!$C$3:$D$636,174,FALSE)</f>
        <v>Coste de los depositos</v>
      </c>
      <c r="B31" s="183">
        <v>-0.027742387054646944</v>
      </c>
      <c r="C31" s="183">
        <v>-0.038729047049828116</v>
      </c>
      <c r="D31" s="183">
        <v>-0.05369069967905554</v>
      </c>
      <c r="E31" s="183">
        <v>-0.0706086014466819</v>
      </c>
      <c r="F31" s="183">
        <v>-0.08735199272587707</v>
      </c>
      <c r="G31" s="183">
        <v>-0.09192396115202603</v>
      </c>
      <c r="H31" s="183">
        <v>0</v>
      </c>
      <c r="I31" s="183">
        <v>0</v>
      </c>
      <c r="J31" s="291"/>
      <c r="K31" s="283"/>
      <c r="L31" s="283"/>
      <c r="M31" s="283"/>
      <c r="O31" s="184"/>
      <c r="P31" s="184"/>
      <c r="Q31" s="184"/>
      <c r="R31" s="184"/>
      <c r="W31" s="184"/>
      <c r="X31" s="184"/>
      <c r="Y31" s="184"/>
      <c r="Z31" s="184"/>
      <c r="AA31" s="184"/>
      <c r="AB31" s="184"/>
      <c r="AC31" s="184"/>
      <c r="AD31" s="184"/>
    </row>
    <row r="32" spans="1:30" ht="15">
      <c r="A32" s="185" t="str">
        <f>HLOOKUP(INDICE!$F$2,Nombres!$C$3:$D$636,182,FALSE)</f>
        <v>Colombia</v>
      </c>
      <c r="B32" s="186">
        <v>0.061258261531940014</v>
      </c>
      <c r="C32" s="186">
        <v>0.05757944425591882</v>
      </c>
      <c r="D32" s="186">
        <v>0.05238742372643422</v>
      </c>
      <c r="E32" s="186">
        <v>0.047985350876323773</v>
      </c>
      <c r="F32" s="186">
        <v>0.0402824321798573</v>
      </c>
      <c r="G32" s="186">
        <v>0.04289487976481224</v>
      </c>
      <c r="H32" s="186">
        <v>0</v>
      </c>
      <c r="I32" s="186">
        <v>0</v>
      </c>
      <c r="J32" s="291"/>
      <c r="K32" s="283"/>
      <c r="L32" s="283"/>
      <c r="M32" s="283"/>
      <c r="O32" s="184"/>
      <c r="P32" s="184"/>
      <c r="Q32" s="184"/>
      <c r="R32" s="184"/>
      <c r="W32" s="184"/>
      <c r="X32" s="184"/>
      <c r="Y32" s="184"/>
      <c r="Z32" s="184"/>
      <c r="AA32" s="184"/>
      <c r="AB32" s="184"/>
      <c r="AC32" s="184"/>
      <c r="AD32" s="184"/>
    </row>
    <row r="33" spans="1:30" ht="15">
      <c r="A33" s="141"/>
      <c r="B33" s="187"/>
      <c r="C33" s="187"/>
      <c r="D33" s="187"/>
      <c r="E33" s="187"/>
      <c r="F33" s="187"/>
      <c r="G33" s="187"/>
      <c r="H33" s="187"/>
      <c r="I33" s="187"/>
      <c r="O33" s="184"/>
      <c r="P33" s="184"/>
      <c r="Q33" s="184"/>
      <c r="R33" s="184"/>
      <c r="W33" s="184"/>
      <c r="X33" s="184"/>
      <c r="Y33" s="184"/>
      <c r="Z33" s="184"/>
      <c r="AA33" s="184"/>
      <c r="AB33" s="184"/>
      <c r="AC33" s="184"/>
      <c r="AD33" s="184"/>
    </row>
    <row r="34" spans="1:30" ht="15">
      <c r="A34" s="182" t="str">
        <f>HLOOKUP(INDICE!$F$2,Nombres!$C$3:$D$636,173,FALSE)</f>
        <v>Rentabilidad de los prestamos</v>
      </c>
      <c r="B34" s="183">
        <v>0.05709508322320697</v>
      </c>
      <c r="C34" s="183">
        <v>0.06476962967352312</v>
      </c>
      <c r="D34" s="183">
        <v>0.07120892765189817</v>
      </c>
      <c r="E34" s="183">
        <v>0.0785218535938365</v>
      </c>
      <c r="F34" s="183">
        <v>0.08383020372065754</v>
      </c>
      <c r="G34" s="183">
        <v>0.08823518652190425</v>
      </c>
      <c r="H34" s="183">
        <v>0</v>
      </c>
      <c r="I34" s="183">
        <v>0</v>
      </c>
      <c r="J34" s="291"/>
      <c r="K34" s="283"/>
      <c r="L34" s="283"/>
      <c r="M34" s="283"/>
      <c r="O34" s="184"/>
      <c r="P34" s="184"/>
      <c r="Q34" s="184"/>
      <c r="R34" s="184"/>
      <c r="W34" s="184"/>
      <c r="X34" s="184"/>
      <c r="Y34" s="184"/>
      <c r="Z34" s="184"/>
      <c r="AA34" s="184"/>
      <c r="AB34" s="184"/>
      <c r="AC34" s="184"/>
      <c r="AD34" s="184"/>
    </row>
    <row r="35" spans="1:30" ht="15">
      <c r="A35" s="182" t="str">
        <f>HLOOKUP(INDICE!$F$2,Nombres!$C$3:$D$636,174,FALSE)</f>
        <v>Coste de los depositos</v>
      </c>
      <c r="B35" s="183">
        <v>-0.0038206178808957826</v>
      </c>
      <c r="C35" s="183">
        <v>-0.00757246120615373</v>
      </c>
      <c r="D35" s="183">
        <v>-0.012329661745719983</v>
      </c>
      <c r="E35" s="183">
        <v>-0.016907766678212612</v>
      </c>
      <c r="F35" s="183">
        <v>-0.021545869764722187</v>
      </c>
      <c r="G35" s="183">
        <v>-0.023660198317337768</v>
      </c>
      <c r="H35" s="183">
        <v>0</v>
      </c>
      <c r="I35" s="183">
        <v>0</v>
      </c>
      <c r="J35" s="291"/>
      <c r="K35" s="283"/>
      <c r="L35" s="283"/>
      <c r="M35" s="283"/>
      <c r="O35" s="184"/>
      <c r="P35" s="184"/>
      <c r="Q35" s="184"/>
      <c r="R35" s="184"/>
      <c r="W35" s="184"/>
      <c r="X35" s="184"/>
      <c r="Y35" s="184"/>
      <c r="Z35" s="184"/>
      <c r="AA35" s="184"/>
      <c r="AB35" s="184"/>
      <c r="AC35" s="184"/>
      <c r="AD35" s="184"/>
    </row>
    <row r="36" spans="1:30" ht="15">
      <c r="A36" s="185" t="str">
        <f>HLOOKUP(INDICE!$F$2,Nombres!$C$3:$D$636,183,FALSE)</f>
        <v>Perú</v>
      </c>
      <c r="B36" s="186">
        <v>0.053274465342311186</v>
      </c>
      <c r="C36" s="186">
        <v>0.05719716846736939</v>
      </c>
      <c r="D36" s="186">
        <v>0.05887926590617818</v>
      </c>
      <c r="E36" s="186">
        <v>0.06161408691562388</v>
      </c>
      <c r="F36" s="186">
        <v>0.062284333955935356</v>
      </c>
      <c r="G36" s="186">
        <v>0.06457498820456647</v>
      </c>
      <c r="H36" s="186">
        <v>0</v>
      </c>
      <c r="I36" s="186">
        <v>0</v>
      </c>
      <c r="J36" s="291"/>
      <c r="K36" s="283"/>
      <c r="L36" s="283"/>
      <c r="M36" s="283"/>
      <c r="O36" s="184"/>
      <c r="P36" s="184"/>
      <c r="Q36" s="184"/>
      <c r="R36" s="184"/>
      <c r="W36" s="184"/>
      <c r="X36" s="184"/>
      <c r="Y36" s="184"/>
      <c r="Z36" s="184"/>
      <c r="AA36" s="184"/>
      <c r="AB36" s="184"/>
      <c r="AC36" s="184"/>
      <c r="AD36" s="184"/>
    </row>
    <row r="37" spans="1:30" ht="15">
      <c r="A37" s="141"/>
      <c r="B37" s="187"/>
      <c r="C37" s="187"/>
      <c r="D37" s="187"/>
      <c r="E37" s="187"/>
      <c r="F37" s="187"/>
      <c r="G37" s="187"/>
      <c r="H37" s="187"/>
      <c r="I37" s="187"/>
      <c r="O37" s="184"/>
      <c r="P37" s="184"/>
      <c r="Q37" s="184"/>
      <c r="R37" s="184"/>
      <c r="W37" s="184"/>
      <c r="X37" s="184"/>
      <c r="Y37" s="184"/>
      <c r="Z37" s="184"/>
      <c r="AA37" s="184"/>
      <c r="AB37" s="184"/>
      <c r="AC37" s="184"/>
      <c r="AD37" s="184"/>
    </row>
    <row r="38" spans="1:30" ht="15">
      <c r="A38" s="191" t="str">
        <f>HLOOKUP(INDICE!$F$2,Nombres!$C$3:$D$636,184,FALSE)</f>
        <v>(*) Diferencia entre el rendimiento de los préstamos y el coste de los depósitos de los clientes.</v>
      </c>
      <c r="B38" s="180"/>
      <c r="C38" s="180"/>
      <c r="D38" s="180"/>
      <c r="E38" s="180"/>
      <c r="F38" s="306"/>
      <c r="G38" s="306"/>
      <c r="H38" s="180"/>
      <c r="I38" s="180"/>
      <c r="O38" s="184"/>
      <c r="P38" s="184"/>
      <c r="Q38" s="184"/>
      <c r="R38" s="184"/>
      <c r="W38" s="184"/>
      <c r="X38" s="184"/>
      <c r="Y38" s="184"/>
      <c r="Z38" s="184"/>
      <c r="AA38" s="184"/>
      <c r="AB38" s="184"/>
      <c r="AC38" s="184"/>
      <c r="AD38" s="184"/>
    </row>
    <row r="39" spans="1:30" ht="15">
      <c r="A39" s="191"/>
      <c r="B39" s="180"/>
      <c r="C39" s="180"/>
      <c r="D39" s="180"/>
      <c r="E39" s="180"/>
      <c r="F39" s="180"/>
      <c r="G39" s="271"/>
      <c r="H39" s="180"/>
      <c r="I39" s="180"/>
      <c r="O39" s="184"/>
      <c r="P39" s="184"/>
      <c r="Q39" s="184"/>
      <c r="R39" s="184"/>
      <c r="W39" s="184"/>
      <c r="X39" s="184"/>
      <c r="Y39" s="184"/>
      <c r="Z39" s="184"/>
      <c r="AA39" s="184"/>
      <c r="AB39" s="184"/>
      <c r="AC39" s="184"/>
      <c r="AD39" s="184"/>
    </row>
    <row r="40" spans="1:30" ht="15">
      <c r="A40" s="191"/>
      <c r="O40" s="184"/>
      <c r="P40" s="184"/>
      <c r="Q40" s="184"/>
      <c r="R40" s="184"/>
      <c r="W40" s="184"/>
      <c r="X40" s="184"/>
      <c r="Y40" s="184"/>
      <c r="Z40" s="184"/>
      <c r="AA40" s="184"/>
      <c r="AB40" s="184"/>
      <c r="AC40" s="184"/>
      <c r="AD40" s="184"/>
    </row>
    <row r="41" spans="15:18" ht="15">
      <c r="O41" s="184"/>
      <c r="P41" s="184"/>
      <c r="Q41" s="184"/>
      <c r="R41" s="184"/>
    </row>
    <row r="996" ht="15">
      <c r="A996" t="s">
        <v>391</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7" width="11.421875" style="0" customWidth="1"/>
    <col min="8" max="9" width="11.421875" style="0" hidden="1" customWidth="1"/>
    <col min="10" max="10" width="11.421875" style="0" customWidth="1"/>
    <col min="11" max="12" width="14.7109375" style="0" bestFit="1" customWidth="1"/>
  </cols>
  <sheetData>
    <row r="1" spans="1:9" ht="18">
      <c r="A1" s="93" t="str">
        <f>HLOOKUP(INDICE!$F$2,Nombres!$C$3:$D$636,88,FALSE)</f>
        <v>Activos ponderados por riesgo. Desglose por áreas de negocio y principales países</v>
      </c>
      <c r="B1" s="152"/>
      <c r="C1" s="152"/>
      <c r="D1" s="153"/>
      <c r="E1" s="153"/>
      <c r="F1" s="153"/>
      <c r="G1" s="153"/>
      <c r="H1" s="153"/>
      <c r="I1" s="153"/>
    </row>
    <row r="2" spans="1:9" ht="15">
      <c r="A2" s="160" t="str">
        <f>HLOOKUP(INDICE!$F$2,Nombres!$C$3:$D$636,32,FALSE)</f>
        <v>(Millones de euros)</v>
      </c>
      <c r="B2" s="58"/>
      <c r="C2" s="58"/>
      <c r="D2" s="192"/>
      <c r="E2" s="192"/>
      <c r="F2" s="192"/>
      <c r="G2" s="192"/>
      <c r="H2" s="192"/>
      <c r="I2" s="192"/>
    </row>
    <row r="3" spans="1:9" ht="15">
      <c r="A3" s="193"/>
      <c r="B3" s="58"/>
      <c r="C3" s="58"/>
      <c r="D3" s="156"/>
      <c r="E3" s="156"/>
      <c r="F3" s="156"/>
      <c r="G3" s="156"/>
      <c r="H3" s="156"/>
      <c r="I3" s="156"/>
    </row>
    <row r="4" spans="1:9" ht="15.75" customHeight="1">
      <c r="A4" s="194"/>
      <c r="B4" s="307" t="str">
        <f>HLOOKUP(INDICE!$F$2,Nombres!$C$3:$D$636,222,FALSE)</f>
        <v>CRD IV fully loaded</v>
      </c>
      <c r="C4" s="307"/>
      <c r="D4" s="307"/>
      <c r="E4" s="307"/>
      <c r="F4" s="307"/>
      <c r="G4" s="307"/>
      <c r="H4" s="307"/>
      <c r="I4" s="307"/>
    </row>
    <row r="5" spans="1:11" ht="15.75">
      <c r="A5" s="194"/>
      <c r="B5" s="195">
        <f>+España!B32</f>
        <v>44651</v>
      </c>
      <c r="C5" s="195">
        <f>+España!C32</f>
        <v>44742</v>
      </c>
      <c r="D5" s="195">
        <f>+España!D32</f>
        <v>44834</v>
      </c>
      <c r="E5" s="195">
        <f>+España!E32</f>
        <v>44926</v>
      </c>
      <c r="F5" s="195">
        <f>+España!F32</f>
        <v>45016</v>
      </c>
      <c r="G5" s="195">
        <f>+España!G32</f>
        <v>45107</v>
      </c>
      <c r="H5" s="195">
        <f>+España!H32</f>
        <v>45199</v>
      </c>
      <c r="I5" s="195">
        <f>+España!I32</f>
        <v>45291</v>
      </c>
      <c r="K5" s="196"/>
    </row>
    <row r="6" spans="1:12" ht="15">
      <c r="A6" s="102" t="str">
        <f>HLOOKUP(INDICE!$F$2,Nombres!$C$3:$D$636,3,FALSE)</f>
        <v>Grupo BBVA</v>
      </c>
      <c r="B6" s="197">
        <v>316131.47295895</v>
      </c>
      <c r="C6" s="197">
        <v>330641.82100000005</v>
      </c>
      <c r="D6" s="197">
        <v>341448.01499999</v>
      </c>
      <c r="E6" s="197">
        <v>336884.35499267</v>
      </c>
      <c r="F6" s="197">
        <v>348598.409</v>
      </c>
      <c r="G6" s="197">
        <v>347487.5870000108</v>
      </c>
      <c r="H6" s="197">
        <v>0</v>
      </c>
      <c r="I6" s="197">
        <v>0</v>
      </c>
      <c r="K6" s="198"/>
      <c r="L6" s="199"/>
    </row>
    <row r="7" spans="1:12" ht="15">
      <c r="A7" s="59" t="str">
        <f>HLOOKUP(INDICE!$F$2,Nombres!$C$3:$D$636,7,FALSE)</f>
        <v>España</v>
      </c>
      <c r="B7" s="44">
        <v>109623.29636667999</v>
      </c>
      <c r="C7" s="44">
        <v>108912.58709538999</v>
      </c>
      <c r="D7" s="44">
        <v>108732.79225467</v>
      </c>
      <c r="E7" s="44">
        <v>114474.12433892998</v>
      </c>
      <c r="F7" s="44">
        <v>116550.06024192001</v>
      </c>
      <c r="G7" s="44">
        <v>116767.18288439</v>
      </c>
      <c r="H7" s="44">
        <v>0</v>
      </c>
      <c r="I7" s="44">
        <v>0</v>
      </c>
      <c r="K7" s="198"/>
      <c r="L7" s="199"/>
    </row>
    <row r="8" spans="1:12" ht="15">
      <c r="A8" s="59" t="str">
        <f>HLOOKUP(INDICE!$F$2,Nombres!$C$3:$D$636,11,FALSE)</f>
        <v>México</v>
      </c>
      <c r="B8" s="44">
        <v>67626.26018723001</v>
      </c>
      <c r="C8" s="44">
        <v>73868.81118761</v>
      </c>
      <c r="D8" s="44">
        <v>80491.30159789001</v>
      </c>
      <c r="E8" s="44">
        <v>71738.04201058</v>
      </c>
      <c r="F8" s="44">
        <v>78316.13399999</v>
      </c>
      <c r="G8" s="44">
        <v>85110.882</v>
      </c>
      <c r="H8" s="44">
        <v>0</v>
      </c>
      <c r="I8" s="44">
        <v>0</v>
      </c>
      <c r="K8" s="198"/>
      <c r="L8" s="199"/>
    </row>
    <row r="9" spans="1:12" ht="15">
      <c r="A9" s="59" t="str">
        <f>HLOOKUP(INDICE!$F$2,Nombres!$C$3:$D$636,12,FALSE)</f>
        <v>Turquía </v>
      </c>
      <c r="B9" s="44">
        <v>49589.47993845</v>
      </c>
      <c r="C9" s="44">
        <v>51055.00159606</v>
      </c>
      <c r="D9" s="44">
        <v>53434.99958917</v>
      </c>
      <c r="E9" s="44">
        <v>56275.034989190004</v>
      </c>
      <c r="F9" s="44">
        <v>58683.382999999994</v>
      </c>
      <c r="G9" s="44">
        <v>50671.912000000775</v>
      </c>
      <c r="H9" s="44">
        <v>0</v>
      </c>
      <c r="I9" s="44">
        <v>0</v>
      </c>
      <c r="K9" s="198"/>
      <c r="L9" s="199"/>
    </row>
    <row r="10" spans="1:12" ht="15">
      <c r="A10" s="59" t="str">
        <f>HLOOKUP(INDICE!$F$2,Nombres!$C$3:$D$636,13,FALSE)</f>
        <v>América del Sur </v>
      </c>
      <c r="B10" s="44">
        <f aca="true" t="shared" si="0" ref="B10:G10">+B11+B12+B13+B14+B15</f>
        <v>46330.37929296999</v>
      </c>
      <c r="C10" s="44">
        <f t="shared" si="0"/>
        <v>49641.27427763</v>
      </c>
      <c r="D10" s="44">
        <f t="shared" si="0"/>
        <v>51484.10021608</v>
      </c>
      <c r="E10" s="44">
        <f t="shared" si="0"/>
        <v>46833.807000659996</v>
      </c>
      <c r="F10" s="44">
        <f t="shared" si="0"/>
        <v>47340.59299999999</v>
      </c>
      <c r="G10" s="44">
        <f t="shared" si="0"/>
        <v>50143.684</v>
      </c>
      <c r="H10" s="44">
        <f>+H11+H12+H13+H14+H15</f>
        <v>0</v>
      </c>
      <c r="I10" s="44">
        <f>+I11+I12+I13+I14+I15</f>
        <v>0</v>
      </c>
      <c r="K10" s="198"/>
      <c r="L10" s="199"/>
    </row>
    <row r="11" spans="1:12" ht="15">
      <c r="A11" s="200" t="str">
        <f>HLOOKUP(INDICE!$F$2,Nombres!$C$3:$D$636,14,FALSE)</f>
        <v>Argentina</v>
      </c>
      <c r="B11" s="44">
        <v>6766.69729061</v>
      </c>
      <c r="C11" s="44">
        <v>7343.945000000001</v>
      </c>
      <c r="D11" s="44">
        <v>7574.14834403</v>
      </c>
      <c r="E11" s="44">
        <v>8088.9169983599995</v>
      </c>
      <c r="F11" s="44">
        <v>7910.191</v>
      </c>
      <c r="G11" s="44">
        <v>7309.119000000001</v>
      </c>
      <c r="H11" s="44">
        <v>0</v>
      </c>
      <c r="I11" s="44">
        <v>0</v>
      </c>
      <c r="K11" s="198"/>
      <c r="L11" s="199"/>
    </row>
    <row r="12" spans="1:12" ht="15">
      <c r="A12" s="200" t="str">
        <f>HLOOKUP(INDICE!$F$2,Nombres!$C$3:$D$636,15,FALSE)</f>
        <v>Chile</v>
      </c>
      <c r="B12" s="44">
        <v>1888.1159999999998</v>
      </c>
      <c r="C12" s="44">
        <v>1939.034</v>
      </c>
      <c r="D12" s="44">
        <v>2163.8099999999995</v>
      </c>
      <c r="E12" s="44">
        <v>2174.4330011999996</v>
      </c>
      <c r="F12" s="44">
        <v>2367.034</v>
      </c>
      <c r="G12" s="44">
        <v>2315.53</v>
      </c>
      <c r="H12" s="44">
        <v>0</v>
      </c>
      <c r="I12" s="44">
        <v>0</v>
      </c>
      <c r="K12" s="198"/>
      <c r="L12" s="199"/>
    </row>
    <row r="13" spans="1:12" ht="15">
      <c r="A13" s="200" t="str">
        <f>HLOOKUP(INDICE!$F$2,Nombres!$C$3:$D$636,16,FALSE)</f>
        <v>Colombia</v>
      </c>
      <c r="B13" s="44">
        <v>15853.15522854</v>
      </c>
      <c r="C13" s="44">
        <v>16834.32</v>
      </c>
      <c r="D13" s="44">
        <v>17133.731127479998</v>
      </c>
      <c r="E13" s="44">
        <v>15278.625000879998</v>
      </c>
      <c r="F13" s="44">
        <v>15449.793999999998</v>
      </c>
      <c r="G13" s="44">
        <v>17786.606</v>
      </c>
      <c r="H13" s="44">
        <v>0</v>
      </c>
      <c r="I13" s="44">
        <v>0</v>
      </c>
      <c r="K13" s="198"/>
      <c r="L13" s="199"/>
    </row>
    <row r="14" spans="1:12" ht="15">
      <c r="A14" s="200" t="str">
        <f>HLOOKUP(INDICE!$F$2,Nombres!$C$3:$D$636,17,FALSE)</f>
        <v>Perú</v>
      </c>
      <c r="B14" s="44">
        <v>19003.581019359997</v>
      </c>
      <c r="C14" s="44">
        <v>20344.217531450002</v>
      </c>
      <c r="D14" s="44">
        <v>21316.35688652</v>
      </c>
      <c r="E14" s="44">
        <v>17935.74500025</v>
      </c>
      <c r="F14" s="44">
        <v>18460.499</v>
      </c>
      <c r="G14" s="44">
        <v>19395.636</v>
      </c>
      <c r="H14" s="44">
        <v>0</v>
      </c>
      <c r="I14" s="44">
        <v>0</v>
      </c>
      <c r="K14" s="198"/>
      <c r="L14" s="199"/>
    </row>
    <row r="15" spans="1:12" ht="15">
      <c r="A15" s="200" t="str">
        <f>HLOOKUP(INDICE!$F$2,Nombres!$C$3:$D$636,89,FALSE)</f>
        <v>Resto de América del Sur</v>
      </c>
      <c r="B15" s="44">
        <v>2818.82975446</v>
      </c>
      <c r="C15" s="44">
        <v>3179.7577461799992</v>
      </c>
      <c r="D15" s="44">
        <v>3296.0538580499992</v>
      </c>
      <c r="E15" s="44">
        <v>3356.0869999699994</v>
      </c>
      <c r="F15" s="44">
        <v>3153.0750000000003</v>
      </c>
      <c r="G15" s="44">
        <v>3336.793</v>
      </c>
      <c r="H15" s="44">
        <v>0</v>
      </c>
      <c r="I15" s="44">
        <v>0</v>
      </c>
      <c r="K15" s="198"/>
      <c r="L15" s="199"/>
    </row>
    <row r="16" spans="1:12" ht="15">
      <c r="A16" s="280" t="str">
        <f>HLOOKUP(INDICE!$F$2,Nombres!$C$3:$D$636,263,FALSE)</f>
        <v>Resto de Negocios</v>
      </c>
      <c r="B16" s="44">
        <v>31607.232831029993</v>
      </c>
      <c r="C16" s="44">
        <v>34389.209778549994</v>
      </c>
      <c r="D16" s="44">
        <v>35558.65294882999</v>
      </c>
      <c r="E16" s="44">
        <v>35063.5094618</v>
      </c>
      <c r="F16" s="44">
        <v>33724.758736749995</v>
      </c>
      <c r="G16" s="44">
        <v>32727.728040280002</v>
      </c>
      <c r="H16" s="44">
        <v>0</v>
      </c>
      <c r="I16" s="44">
        <v>0</v>
      </c>
      <c r="K16" s="198"/>
      <c r="L16" s="199"/>
    </row>
    <row r="17" spans="1:12" ht="15">
      <c r="A17" s="59" t="str">
        <f>HLOOKUP(INDICE!$F$2,Nombres!$C$3:$D$636,272,FALSE)</f>
        <v>Centro Corporativo (1)</v>
      </c>
      <c r="B17" s="44">
        <f aca="true" t="shared" si="1" ref="B17:I17">+B6-B7-B8-B9-B11-B12-B13-B14-B15-B16</f>
        <v>11354.824342589971</v>
      </c>
      <c r="C17" s="44">
        <f t="shared" si="1"/>
        <v>12774.937064760074</v>
      </c>
      <c r="D17" s="44">
        <f t="shared" si="1"/>
        <v>11746.168393350003</v>
      </c>
      <c r="E17" s="44">
        <f t="shared" si="1"/>
        <v>12499.83719151005</v>
      </c>
      <c r="F17" s="44">
        <f t="shared" si="1"/>
        <v>13983.480021339987</v>
      </c>
      <c r="G17" s="44">
        <f t="shared" si="1"/>
        <v>12066.198075340071</v>
      </c>
      <c r="H17" s="44">
        <f t="shared" si="1"/>
        <v>0</v>
      </c>
      <c r="I17" s="44">
        <f t="shared" si="1"/>
        <v>0</v>
      </c>
      <c r="K17" s="198"/>
      <c r="L17" s="199"/>
    </row>
    <row r="18" spans="1:12" ht="15">
      <c r="A18" s="59"/>
      <c r="B18" s="44"/>
      <c r="C18" s="44"/>
      <c r="D18" s="44"/>
      <c r="E18" s="44"/>
      <c r="F18" s="44"/>
      <c r="G18" s="44"/>
      <c r="H18" s="44"/>
      <c r="I18" s="44"/>
      <c r="K18" s="198"/>
      <c r="L18" s="199"/>
    </row>
    <row r="19" spans="1:12" ht="15">
      <c r="A19" s="59"/>
      <c r="B19" s="44"/>
      <c r="C19" s="44"/>
      <c r="D19" s="44"/>
      <c r="E19" s="44"/>
      <c r="F19" s="44"/>
      <c r="G19" s="44"/>
      <c r="H19" s="44"/>
      <c r="I19" s="44"/>
      <c r="K19" s="198"/>
      <c r="L19" s="199"/>
    </row>
    <row r="20" spans="1:12" ht="15">
      <c r="A20" s="59"/>
      <c r="C20" s="44"/>
      <c r="D20" s="44"/>
      <c r="E20" s="44"/>
      <c r="F20" s="44"/>
      <c r="G20" s="44"/>
      <c r="H20" s="44"/>
      <c r="I20" s="44"/>
      <c r="K20" s="198"/>
      <c r="L20" s="199"/>
    </row>
    <row r="21" spans="1:12" ht="15">
      <c r="A21" s="59" t="str">
        <f>HLOOKUP(INDICE!$F$2,Nombres!$C$3:$D$636,320,FALSE)</f>
        <v>(*)El dato del trimestre en curso es provisional</v>
      </c>
      <c r="K21" s="198"/>
      <c r="L21" s="199"/>
    </row>
    <row r="22" spans="1:12" ht="15">
      <c r="A22" s="286"/>
      <c r="C22" s="44"/>
      <c r="D22" s="44"/>
      <c r="E22" s="44"/>
      <c r="F22" s="44"/>
      <c r="G22" s="44"/>
      <c r="H22" s="44"/>
      <c r="I22" s="56"/>
      <c r="K22" s="198"/>
      <c r="L22" s="199"/>
    </row>
    <row r="23" spans="1:12" ht="15">
      <c r="A23" s="275"/>
      <c r="B23" s="281">
        <v>0</v>
      </c>
      <c r="C23" s="281">
        <v>0</v>
      </c>
      <c r="D23" s="281">
        <v>0</v>
      </c>
      <c r="E23" s="281">
        <v>0</v>
      </c>
      <c r="F23" s="281">
        <v>0</v>
      </c>
      <c r="G23" s="281">
        <v>0</v>
      </c>
      <c r="H23" s="281">
        <v>0</v>
      </c>
      <c r="I23" s="281">
        <v>0</v>
      </c>
      <c r="K23" s="198"/>
      <c r="L23" s="199"/>
    </row>
    <row r="24" spans="1:12" ht="15">
      <c r="A24" s="59"/>
      <c r="B24" s="44"/>
      <c r="C24" s="44"/>
      <c r="D24" s="44"/>
      <c r="E24" s="44"/>
      <c r="F24" s="44"/>
      <c r="G24" s="44"/>
      <c r="H24" s="44"/>
      <c r="I24" s="44"/>
      <c r="K24" s="198"/>
      <c r="L24" s="199"/>
    </row>
    <row r="25" spans="1:6" ht="15">
      <c r="A25" s="156"/>
      <c r="B25" s="156"/>
      <c r="C25" s="156"/>
      <c r="D25" s="156"/>
      <c r="E25" s="156"/>
      <c r="F25" s="156"/>
    </row>
    <row r="26" spans="1:6" ht="15">
      <c r="A26" s="251"/>
      <c r="B26" s="201"/>
      <c r="C26" s="201"/>
      <c r="D26" s="201"/>
      <c r="E26" s="201"/>
      <c r="F26" s="201"/>
    </row>
    <row r="27" spans="2:6" ht="15">
      <c r="B27" s="105"/>
      <c r="F27" s="31"/>
    </row>
    <row r="1005" ht="15">
      <c r="A1005" t="s">
        <v>391</v>
      </c>
    </row>
  </sheetData>
  <sheetProtection/>
  <mergeCells count="1">
    <mergeCell ref="B4:I4"/>
  </mergeCells>
  <conditionalFormatting sqref="H23:I23">
    <cfRule type="cellIs" priority="2" dxfId="196" operator="notEqual">
      <formula>0</formula>
    </cfRule>
  </conditionalFormatting>
  <conditionalFormatting sqref="B23:G23">
    <cfRule type="cellIs" priority="1" dxfId="196" operator="notEqual">
      <formula>0</formula>
    </cfRule>
  </conditionalFormatting>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5" customWidth="1"/>
    <col min="2" max="2" width="13.57421875" style="205" bestFit="1" customWidth="1"/>
    <col min="3" max="4" width="11.421875" style="205" customWidth="1"/>
    <col min="5" max="5" width="11.7109375" style="205" bestFit="1" customWidth="1"/>
    <col min="6" max="7" width="11.421875" style="205" customWidth="1"/>
    <col min="8" max="9" width="11.421875" style="205" hidden="1" customWidth="1"/>
    <col min="10" max="10" width="4.7109375" style="204" customWidth="1"/>
    <col min="11" max="11" width="11.421875" style="205" customWidth="1"/>
    <col min="12" max="12" width="11.7109375" style="205" bestFit="1" customWidth="1"/>
    <col min="13" max="16384" width="11.421875" style="205" customWidth="1"/>
  </cols>
  <sheetData>
    <row r="1" spans="1:12" ht="18">
      <c r="A1" s="202" t="str">
        <f>HLOOKUP(INDICE!$F$2,Nombres!$C$3:$D$636,113,FALSE)</f>
        <v>Desglose del crédito no dudoso en gestión</v>
      </c>
      <c r="B1" s="203"/>
      <c r="C1" s="203"/>
      <c r="D1" s="203"/>
      <c r="E1" s="203"/>
      <c r="F1" s="203"/>
      <c r="G1" s="203"/>
      <c r="H1" s="203"/>
      <c r="I1" s="203"/>
      <c r="L1" s="206"/>
    </row>
    <row r="2" spans="1:12" ht="15.75">
      <c r="A2" s="207" t="str">
        <f>HLOOKUP(INDICE!$F$2,Nombres!$C$3:$D$636,73,FALSE)</f>
        <v>(Millones de euros constantes)</v>
      </c>
      <c r="B2" s="206"/>
      <c r="C2" s="206"/>
      <c r="D2" s="206"/>
      <c r="E2" s="206"/>
      <c r="F2" s="206"/>
      <c r="L2" s="206"/>
    </row>
    <row r="3" spans="1:12" ht="15.75">
      <c r="A3" s="208"/>
      <c r="B3" s="206"/>
      <c r="C3" s="206"/>
      <c r="D3" s="206"/>
      <c r="E3" s="206"/>
      <c r="F3" s="206"/>
      <c r="L3" s="206"/>
    </row>
    <row r="4" spans="1:9" ht="15.75" customHeight="1">
      <c r="A4" s="209"/>
      <c r="B4" s="308" t="str">
        <f>HLOOKUP(INDICE!$F$2,Nombres!$C$3:$D$636,7,FALSE)</f>
        <v>España</v>
      </c>
      <c r="C4" s="308"/>
      <c r="D4" s="308"/>
      <c r="E4" s="308"/>
      <c r="F4" s="308"/>
      <c r="G4" s="308"/>
      <c r="H4" s="308"/>
      <c r="I4" s="308"/>
    </row>
    <row r="5" spans="1:12" ht="15.75">
      <c r="A5" s="210"/>
      <c r="B5" s="118">
        <f>+España!B32</f>
        <v>44651</v>
      </c>
      <c r="C5" s="118">
        <f>+España!C32</f>
        <v>44742</v>
      </c>
      <c r="D5" s="118">
        <f>+España!D32</f>
        <v>44834</v>
      </c>
      <c r="E5" s="118">
        <f>+España!E32</f>
        <v>44926</v>
      </c>
      <c r="F5" s="118">
        <f>+España!F32</f>
        <v>45016</v>
      </c>
      <c r="G5" s="118">
        <f>+España!G32</f>
        <v>45107</v>
      </c>
      <c r="H5" s="118">
        <f>+España!H32</f>
        <v>45199</v>
      </c>
      <c r="I5" s="118">
        <f>+España!I32</f>
        <v>45291</v>
      </c>
      <c r="L5" s="118"/>
    </row>
    <row r="6" spans="1:14" ht="15">
      <c r="A6" s="211" t="str">
        <f>HLOOKUP(INDICE!$F$2,Nombres!$C$3:$D$636,209,FALSE)</f>
        <v>Hipotecario</v>
      </c>
      <c r="B6" s="212">
        <v>69407.809482</v>
      </c>
      <c r="C6" s="212">
        <v>68619.457928</v>
      </c>
      <c r="D6" s="212">
        <v>67591.858029</v>
      </c>
      <c r="E6" s="212">
        <v>67379.29695100001</v>
      </c>
      <c r="F6" s="212">
        <v>66583.02571900001</v>
      </c>
      <c r="G6" s="212">
        <v>65860.82216099999</v>
      </c>
      <c r="H6" s="212">
        <v>0</v>
      </c>
      <c r="I6" s="212">
        <v>0</v>
      </c>
      <c r="L6" s="212"/>
      <c r="N6" s="261"/>
    </row>
    <row r="7" spans="1:14" ht="15">
      <c r="A7" s="211" t="str">
        <f>HLOOKUP(INDICE!$F$2,Nombres!$C$3:$D$636,210,FALSE)</f>
        <v>Consumo  y tarjetas de Credito</v>
      </c>
      <c r="B7" s="212">
        <v>15277.402404</v>
      </c>
      <c r="C7" s="212">
        <v>15794.411383000002</v>
      </c>
      <c r="D7" s="212">
        <v>16008.690613</v>
      </c>
      <c r="E7" s="212">
        <v>16553.757134</v>
      </c>
      <c r="F7" s="212">
        <v>16309.445874</v>
      </c>
      <c r="G7" s="212">
        <v>16688.788373000003</v>
      </c>
      <c r="H7" s="212">
        <v>0</v>
      </c>
      <c r="I7" s="212">
        <v>0</v>
      </c>
      <c r="J7" s="292"/>
      <c r="L7" s="212"/>
      <c r="N7" s="261"/>
    </row>
    <row r="8" spans="1:14" ht="15">
      <c r="A8" s="211" t="str">
        <f>HLOOKUP(INDICE!$F$2,Nombres!$C$3:$D$636,211,FALSE)</f>
        <v>Negocios retail</v>
      </c>
      <c r="B8" s="212">
        <v>15714.141634000003</v>
      </c>
      <c r="C8" s="212">
        <v>15947.927049999998</v>
      </c>
      <c r="D8" s="212">
        <v>15880.924043999998</v>
      </c>
      <c r="E8" s="212">
        <v>15701.536307000002</v>
      </c>
      <c r="F8" s="212">
        <v>15500.645833</v>
      </c>
      <c r="G8" s="212">
        <v>15436.5911</v>
      </c>
      <c r="H8" s="212">
        <v>0</v>
      </c>
      <c r="I8" s="212">
        <v>0</v>
      </c>
      <c r="J8" s="292"/>
      <c r="L8" s="212"/>
      <c r="N8" s="261"/>
    </row>
    <row r="9" spans="1:14" ht="15">
      <c r="A9" s="211" t="str">
        <f>HLOOKUP(INDICE!$F$2,Nombres!$C$3:$D$636,212,FALSE)</f>
        <v>Empresas medianas</v>
      </c>
      <c r="B9" s="212">
        <v>20855.118694</v>
      </c>
      <c r="C9" s="212">
        <v>21578.155315000004</v>
      </c>
      <c r="D9" s="212">
        <v>21953.946127000003</v>
      </c>
      <c r="E9" s="212">
        <v>22260.690765000003</v>
      </c>
      <c r="F9" s="212">
        <v>22426.860292999998</v>
      </c>
      <c r="G9" s="212">
        <v>22651.16439</v>
      </c>
      <c r="H9" s="212">
        <v>0</v>
      </c>
      <c r="I9" s="212">
        <v>0</v>
      </c>
      <c r="J9" s="292"/>
      <c r="L9" s="212"/>
      <c r="N9" s="261"/>
    </row>
    <row r="10" spans="1:14" ht="15">
      <c r="A10" s="211" t="str">
        <f>HLOOKUP(INDICE!$F$2,Nombres!$C$3:$D$636,213,FALSE)</f>
        <v>Corporativa + CIB</v>
      </c>
      <c r="B10" s="212">
        <v>24247.977463000003</v>
      </c>
      <c r="C10" s="212">
        <v>25102.938453000002</v>
      </c>
      <c r="D10" s="212">
        <v>27163.054122999998</v>
      </c>
      <c r="E10" s="212">
        <v>26119.772457</v>
      </c>
      <c r="F10" s="212">
        <v>25697.922549</v>
      </c>
      <c r="G10" s="212">
        <v>24855.027964999997</v>
      </c>
      <c r="H10" s="212">
        <v>0</v>
      </c>
      <c r="I10" s="212">
        <v>0</v>
      </c>
      <c r="L10" s="212"/>
      <c r="N10" s="261"/>
    </row>
    <row r="11" spans="1:14" ht="15">
      <c r="A11" s="211" t="str">
        <f>HLOOKUP(INDICE!$F$2,Nombres!$C$3:$D$636,214,FALSE)</f>
        <v>Sector público</v>
      </c>
      <c r="B11" s="212">
        <v>13377.211015</v>
      </c>
      <c r="C11" s="212">
        <v>14964.181887000002</v>
      </c>
      <c r="D11" s="212">
        <v>13062.874635</v>
      </c>
      <c r="E11" s="212">
        <v>13060.760140999999</v>
      </c>
      <c r="F11" s="212">
        <v>13522.570962</v>
      </c>
      <c r="G11" s="212">
        <v>16045.844252</v>
      </c>
      <c r="H11" s="212">
        <v>0</v>
      </c>
      <c r="I11" s="212">
        <v>0</v>
      </c>
      <c r="L11" s="212"/>
      <c r="N11" s="261"/>
    </row>
    <row r="12" spans="1:14" ht="15.75" customHeight="1">
      <c r="A12" s="211" t="str">
        <f>HLOOKUP(INDICE!$F$2,Nombres!$C$3:$D$636,215,FALSE)</f>
        <v>Otros</v>
      </c>
      <c r="B12" s="212">
        <v>10129.736853000006</v>
      </c>
      <c r="C12" s="212">
        <v>11180.604179000033</v>
      </c>
      <c r="D12" s="212">
        <v>11729.414758999998</v>
      </c>
      <c r="E12" s="212">
        <v>10132.826981000017</v>
      </c>
      <c r="F12" s="212">
        <v>9174.266038000009</v>
      </c>
      <c r="G12" s="212">
        <v>9176.810057000017</v>
      </c>
      <c r="H12" s="212">
        <v>0</v>
      </c>
      <c r="I12" s="212">
        <v>0</v>
      </c>
      <c r="L12" s="212"/>
      <c r="N12" s="261"/>
    </row>
    <row r="13" spans="1:14" ht="15">
      <c r="A13" s="213" t="str">
        <f>HLOOKUP(INDICE!$F$2,Nombres!$C$3:$D$636,112,FALSE)</f>
        <v>Crédito no dudoso en gestión (*)</v>
      </c>
      <c r="B13" s="214">
        <v>169009.397545</v>
      </c>
      <c r="C13" s="214">
        <v>173187.67619500007</v>
      </c>
      <c r="D13" s="214">
        <v>173390.76233</v>
      </c>
      <c r="E13" s="214">
        <v>171208.64073600006</v>
      </c>
      <c r="F13" s="214">
        <v>169214.73726800003</v>
      </c>
      <c r="G13" s="214">
        <v>170715.04829800004</v>
      </c>
      <c r="H13" s="214">
        <v>0</v>
      </c>
      <c r="I13" s="214">
        <v>0</v>
      </c>
      <c r="L13" s="213"/>
      <c r="N13" s="261"/>
    </row>
    <row r="14" spans="1:14" ht="15.75">
      <c r="A14" s="206"/>
      <c r="B14" s="215">
        <f aca="true" t="shared" si="0" ref="B14:I14">+SUM(B6:B12)-B13</f>
        <v>0</v>
      </c>
      <c r="C14" s="215">
        <f t="shared" si="0"/>
        <v>0</v>
      </c>
      <c r="D14" s="215">
        <f t="shared" si="0"/>
        <v>0</v>
      </c>
      <c r="E14" s="215">
        <f t="shared" si="0"/>
        <v>0</v>
      </c>
      <c r="F14" s="215">
        <f t="shared" si="0"/>
        <v>0</v>
      </c>
      <c r="G14" s="215">
        <f t="shared" si="0"/>
        <v>0</v>
      </c>
      <c r="H14" s="215">
        <f t="shared" si="0"/>
        <v>0</v>
      </c>
      <c r="I14" s="215">
        <f t="shared" si="0"/>
        <v>0</v>
      </c>
      <c r="L14" s="216"/>
      <c r="N14" s="261"/>
    </row>
    <row r="15" spans="1:14" ht="15">
      <c r="A15" s="299"/>
      <c r="B15" s="212"/>
      <c r="C15" s="212"/>
      <c r="D15" s="212"/>
      <c r="E15" s="212"/>
      <c r="F15" s="212"/>
      <c r="G15" s="212"/>
      <c r="H15" s="212"/>
      <c r="I15" s="212"/>
      <c r="L15" s="212"/>
      <c r="N15" s="261"/>
    </row>
    <row r="16" spans="1:12" ht="15.75">
      <c r="A16" s="206"/>
      <c r="B16" s="217"/>
      <c r="C16" s="217"/>
      <c r="D16" s="217"/>
      <c r="E16" s="217"/>
      <c r="F16" s="217"/>
      <c r="L16" s="217"/>
    </row>
    <row r="17" spans="1:12" ht="15.75">
      <c r="A17" s="209"/>
      <c r="B17" s="308" t="str">
        <f>HLOOKUP(INDICE!$F$2,Nombres!$C$3:$D$636,204,FALSE)</f>
        <v>Mexico (***)</v>
      </c>
      <c r="C17" s="308"/>
      <c r="D17" s="308"/>
      <c r="E17" s="308"/>
      <c r="F17" s="308"/>
      <c r="G17" s="308"/>
      <c r="H17" s="308"/>
      <c r="I17" s="308"/>
      <c r="L17" s="220"/>
    </row>
    <row r="18" spans="1:12" ht="15.75">
      <c r="A18" s="210"/>
      <c r="B18" s="118">
        <f aca="true" t="shared" si="1" ref="B18:I18">+B$5</f>
        <v>44651</v>
      </c>
      <c r="C18" s="118">
        <f t="shared" si="1"/>
        <v>44742</v>
      </c>
      <c r="D18" s="118">
        <f t="shared" si="1"/>
        <v>44834</v>
      </c>
      <c r="E18" s="118">
        <f t="shared" si="1"/>
        <v>44926</v>
      </c>
      <c r="F18" s="118">
        <f t="shared" si="1"/>
        <v>45016</v>
      </c>
      <c r="G18" s="118">
        <f t="shared" si="1"/>
        <v>45107</v>
      </c>
      <c r="H18" s="118">
        <f t="shared" si="1"/>
        <v>45199</v>
      </c>
      <c r="I18" s="118">
        <f t="shared" si="1"/>
        <v>45291</v>
      </c>
      <c r="L18" s="53"/>
    </row>
    <row r="19" spans="1:14" ht="15">
      <c r="A19" s="211" t="str">
        <f>HLOOKUP(INDICE!$F$2,Nombres!$C$3:$D$636,105,FALSE)</f>
        <v>Hipotecario</v>
      </c>
      <c r="B19" s="212">
        <v>15076.03547326807</v>
      </c>
      <c r="C19" s="212">
        <v>15571.990808110462</v>
      </c>
      <c r="D19" s="212">
        <v>15993.28526627779</v>
      </c>
      <c r="E19" s="212">
        <v>16329.78802631363</v>
      </c>
      <c r="F19" s="212">
        <v>16674.481313076165</v>
      </c>
      <c r="G19" s="212">
        <v>17006.972468233875</v>
      </c>
      <c r="H19" s="212">
        <v>0</v>
      </c>
      <c r="I19" s="212">
        <v>0</v>
      </c>
      <c r="L19" s="212"/>
      <c r="N19" s="261"/>
    </row>
    <row r="20" spans="1:14" ht="15">
      <c r="A20" s="211" t="str">
        <f>HLOOKUP(INDICE!$F$2,Nombres!$C$3:$D$636,106,FALSE)</f>
        <v>Consumo</v>
      </c>
      <c r="B20" s="212">
        <v>10424.60690757826</v>
      </c>
      <c r="C20" s="212">
        <v>10851.398581707306</v>
      </c>
      <c r="D20" s="212">
        <v>11352.85982577635</v>
      </c>
      <c r="E20" s="212">
        <v>11631.155050200623</v>
      </c>
      <c r="F20" s="212">
        <v>12139.750438316672</v>
      </c>
      <c r="G20" s="212">
        <v>12678.483559656173</v>
      </c>
      <c r="H20" s="212">
        <v>0</v>
      </c>
      <c r="I20" s="212">
        <v>0</v>
      </c>
      <c r="L20" s="212"/>
      <c r="N20" s="261"/>
    </row>
    <row r="21" spans="1:14" ht="15.75" customHeight="1">
      <c r="A21" s="211" t="str">
        <f>HLOOKUP(INDICE!$F$2,Nombres!$C$3:$D$636,107,FALSE)</f>
        <v>Tarjetas de Crédito</v>
      </c>
      <c r="B21" s="212">
        <v>6424.242283976464</v>
      </c>
      <c r="C21" s="212">
        <v>6768.742574609177</v>
      </c>
      <c r="D21" s="212">
        <v>7069.536820829491</v>
      </c>
      <c r="E21" s="212">
        <v>7702.915083460275</v>
      </c>
      <c r="F21" s="212">
        <v>7831.688658394222</v>
      </c>
      <c r="G21" s="212">
        <v>8268.902561672094</v>
      </c>
      <c r="H21" s="212">
        <v>0</v>
      </c>
      <c r="I21" s="212">
        <v>0</v>
      </c>
      <c r="L21" s="212"/>
      <c r="N21" s="261"/>
    </row>
    <row r="22" spans="1:14" ht="15">
      <c r="A22" s="211" t="str">
        <f>HLOOKUP(INDICE!$F$2,Nombres!$C$3:$D$636,110,FALSE)</f>
        <v>Pymes</v>
      </c>
      <c r="B22" s="212">
        <v>4510.079898514529</v>
      </c>
      <c r="C22" s="212">
        <v>4753.400280551396</v>
      </c>
      <c r="D22" s="212">
        <v>4996.707702380949</v>
      </c>
      <c r="E22" s="212">
        <v>5122.2994320692405</v>
      </c>
      <c r="F22" s="212">
        <v>5464.7207228228535</v>
      </c>
      <c r="G22" s="212">
        <v>5742.349487069658</v>
      </c>
      <c r="H22" s="212">
        <v>0</v>
      </c>
      <c r="I22" s="212">
        <v>0</v>
      </c>
      <c r="L22" s="212"/>
      <c r="N22" s="261"/>
    </row>
    <row r="23" spans="1:14" ht="15">
      <c r="A23" s="211" t="str">
        <f>HLOOKUP(INDICE!$F$2,Nombres!$C$3:$D$636,216,FALSE)</f>
        <v>Resto Minorista</v>
      </c>
      <c r="B23" s="212">
        <v>92.60067728036933</v>
      </c>
      <c r="C23" s="212">
        <v>92.66742820433825</v>
      </c>
      <c r="D23" s="212">
        <v>92.5872161889054</v>
      </c>
      <c r="E23" s="212">
        <v>96.26325933397824</v>
      </c>
      <c r="F23" s="212">
        <v>96.16225074032873</v>
      </c>
      <c r="G23" s="212">
        <v>96.13700973425749</v>
      </c>
      <c r="H23" s="212">
        <v>0</v>
      </c>
      <c r="I23" s="212">
        <v>0</v>
      </c>
      <c r="L23" s="212"/>
      <c r="N23" s="261"/>
    </row>
    <row r="24" spans="1:14" ht="15">
      <c r="A24" s="211" t="str">
        <f>HLOOKUP(INDICE!$F$2,Nombres!$C$3:$D$636,217,FALSE)</f>
        <v>Resto Empresas</v>
      </c>
      <c r="B24" s="212">
        <v>29615.814942125657</v>
      </c>
      <c r="C24" s="212">
        <v>31490.756582187973</v>
      </c>
      <c r="D24" s="212">
        <v>32331.416139066565</v>
      </c>
      <c r="E24" s="212">
        <v>32902.380415226784</v>
      </c>
      <c r="F24" s="212">
        <v>33356.70878753511</v>
      </c>
      <c r="G24" s="212">
        <v>33685.05056597193</v>
      </c>
      <c r="H24" s="212">
        <v>0</v>
      </c>
      <c r="I24" s="212">
        <v>0</v>
      </c>
      <c r="L24" s="212"/>
      <c r="N24" s="261"/>
    </row>
    <row r="25" spans="1:14" ht="15">
      <c r="A25" s="211" t="str">
        <f>HLOOKUP(INDICE!$F$2,Nombres!$C$3:$D$636,108,FALSE)</f>
        <v>Sector público</v>
      </c>
      <c r="B25" s="212">
        <v>6302.53546635933</v>
      </c>
      <c r="C25" s="212">
        <v>6308.010513042461</v>
      </c>
      <c r="D25" s="212">
        <v>6266.953871646419</v>
      </c>
      <c r="E25" s="212">
        <v>6920.209625311065</v>
      </c>
      <c r="F25" s="212">
        <v>6929.536013920655</v>
      </c>
      <c r="G25" s="212">
        <v>6773.936309818785</v>
      </c>
      <c r="H25" s="212">
        <v>0</v>
      </c>
      <c r="I25" s="212">
        <v>0</v>
      </c>
      <c r="L25" s="212"/>
      <c r="N25" s="261"/>
    </row>
    <row r="26" spans="1:14" ht="15">
      <c r="A26" s="213" t="str">
        <f>HLOOKUP(INDICE!$F$2,Nombres!$C$3:$D$636,112,FALSE)</f>
        <v>Crédito no dudoso en gestión (*)</v>
      </c>
      <c r="B26" s="214">
        <v>72445.91564910268</v>
      </c>
      <c r="C26" s="214">
        <v>75836.96676841311</v>
      </c>
      <c r="D26" s="214">
        <v>78103.34684216646</v>
      </c>
      <c r="E26" s="214">
        <v>80705.0108919156</v>
      </c>
      <c r="F26" s="214">
        <v>82493.04818480602</v>
      </c>
      <c r="G26" s="214">
        <v>84251.83196215678</v>
      </c>
      <c r="H26" s="214">
        <v>0</v>
      </c>
      <c r="I26" s="214">
        <v>0</v>
      </c>
      <c r="J26" s="285"/>
      <c r="L26" s="218"/>
      <c r="N26" s="261"/>
    </row>
    <row r="27" spans="1:14" ht="15.75">
      <c r="A27" s="221" t="str">
        <f>HLOOKUP(INDICE!$F$2,Nombres!$C$3:$D$636,205,FALSE)</f>
        <v>Criterio Local Contable(***) </v>
      </c>
      <c r="B27" s="215">
        <f aca="true" t="shared" si="2" ref="B27:I27">+SUM(B19:B25)-B26</f>
        <v>0</v>
      </c>
      <c r="C27" s="215">
        <f t="shared" si="2"/>
        <v>0</v>
      </c>
      <c r="D27" s="215">
        <f t="shared" si="2"/>
        <v>0</v>
      </c>
      <c r="E27" s="215">
        <f t="shared" si="2"/>
        <v>0</v>
      </c>
      <c r="F27" s="215">
        <f t="shared" si="2"/>
        <v>0</v>
      </c>
      <c r="G27" s="215">
        <f t="shared" si="2"/>
        <v>0</v>
      </c>
      <c r="H27" s="215">
        <f t="shared" si="2"/>
        <v>0</v>
      </c>
      <c r="I27" s="215">
        <f t="shared" si="2"/>
        <v>0</v>
      </c>
      <c r="L27" s="219"/>
      <c r="N27" s="261"/>
    </row>
    <row r="28" spans="1:14" ht="15">
      <c r="A28" s="299"/>
      <c r="B28" s="212"/>
      <c r="C28" s="212"/>
      <c r="D28" s="212"/>
      <c r="E28" s="212"/>
      <c r="F28" s="212"/>
      <c r="G28" s="212"/>
      <c r="H28" s="212"/>
      <c r="I28" s="212"/>
      <c r="L28" s="212"/>
      <c r="N28" s="261"/>
    </row>
    <row r="29" spans="2:12" ht="15.75">
      <c r="B29" s="217"/>
      <c r="C29" s="217"/>
      <c r="D29" s="217"/>
      <c r="E29" s="217"/>
      <c r="F29" s="217"/>
      <c r="L29" s="217"/>
    </row>
    <row r="30" spans="1:13" ht="15.75" customHeight="1">
      <c r="A30" s="209"/>
      <c r="B30" s="308" t="str">
        <f>HLOOKUP(INDICE!$F$2,Nombres!$C$3:$D$636,12,FALSE)</f>
        <v>Turquía </v>
      </c>
      <c r="C30" s="308"/>
      <c r="D30" s="308"/>
      <c r="E30" s="308"/>
      <c r="F30" s="308"/>
      <c r="G30" s="308"/>
      <c r="H30" s="308"/>
      <c r="I30" s="308"/>
      <c r="L30" s="222"/>
      <c r="M30" s="222"/>
    </row>
    <row r="31" spans="1:13" ht="15.75">
      <c r="A31" s="210"/>
      <c r="B31" s="118">
        <f aca="true" t="shared" si="3" ref="B31:I31">+B$5</f>
        <v>44651</v>
      </c>
      <c r="C31" s="118">
        <f t="shared" si="3"/>
        <v>44742</v>
      </c>
      <c r="D31" s="118">
        <f t="shared" si="3"/>
        <v>44834</v>
      </c>
      <c r="E31" s="118">
        <f t="shared" si="3"/>
        <v>44926</v>
      </c>
      <c r="F31" s="118">
        <f t="shared" si="3"/>
        <v>45016</v>
      </c>
      <c r="G31" s="118">
        <f t="shared" si="3"/>
        <v>45107</v>
      </c>
      <c r="H31" s="118">
        <f t="shared" si="3"/>
        <v>45199</v>
      </c>
      <c r="I31" s="118">
        <f t="shared" si="3"/>
        <v>45291</v>
      </c>
      <c r="L31" s="53"/>
      <c r="M31" s="222"/>
    </row>
    <row r="32" spans="1:14" ht="15">
      <c r="A32" s="211" t="str">
        <f>HLOOKUP(INDICE!$F$2,Nombres!$C$3:$D$636,105,FALSE)</f>
        <v>Hipotecario</v>
      </c>
      <c r="B32" s="212">
        <v>891.630107067209</v>
      </c>
      <c r="C32" s="212">
        <v>890.7762284549708</v>
      </c>
      <c r="D32" s="212">
        <v>851.9757297225655</v>
      </c>
      <c r="E32" s="212">
        <v>791.0290021616199</v>
      </c>
      <c r="F32" s="212">
        <v>912.2826855792568</v>
      </c>
      <c r="G32" s="212">
        <v>1127.2847940099998</v>
      </c>
      <c r="H32" s="212">
        <v>0</v>
      </c>
      <c r="I32" s="212">
        <v>0</v>
      </c>
      <c r="L32" s="212"/>
      <c r="M32" s="222"/>
      <c r="N32" s="261"/>
    </row>
    <row r="33" spans="1:14" ht="15">
      <c r="A33" s="211" t="str">
        <f>HLOOKUP(INDICE!$F$2,Nombres!$C$3:$D$636,106,FALSE)</f>
        <v>Consumo</v>
      </c>
      <c r="B33" s="212">
        <v>2779.1098775011365</v>
      </c>
      <c r="C33" s="212">
        <v>3159.243959189893</v>
      </c>
      <c r="D33" s="212">
        <v>3410.4604256169578</v>
      </c>
      <c r="E33" s="212">
        <v>4050.99715617935</v>
      </c>
      <c r="F33" s="212">
        <v>4539.720107717566</v>
      </c>
      <c r="G33" s="212">
        <v>4902.96886334</v>
      </c>
      <c r="H33" s="212">
        <v>0</v>
      </c>
      <c r="I33" s="212">
        <v>0</v>
      </c>
      <c r="L33" s="212"/>
      <c r="M33" s="222"/>
      <c r="N33" s="261"/>
    </row>
    <row r="34" spans="1:14" ht="15">
      <c r="A34" s="211" t="str">
        <f>HLOOKUP(INDICE!$F$2,Nombres!$C$3:$D$636,107,FALSE)</f>
        <v>Tarjetas de Crédito</v>
      </c>
      <c r="B34" s="212">
        <v>1689.579911145319</v>
      </c>
      <c r="C34" s="212">
        <v>2036.4649030714365</v>
      </c>
      <c r="D34" s="212">
        <v>2615.273904002406</v>
      </c>
      <c r="E34" s="212">
        <v>3401.278210020236</v>
      </c>
      <c r="F34" s="212">
        <v>4409.004092092118</v>
      </c>
      <c r="G34" s="212">
        <v>5754.487</v>
      </c>
      <c r="H34" s="212">
        <v>0</v>
      </c>
      <c r="I34" s="212">
        <v>0</v>
      </c>
      <c r="L34" s="212"/>
      <c r="M34" s="222"/>
      <c r="N34" s="261"/>
    </row>
    <row r="35" spans="1:14" ht="15">
      <c r="A35" s="211" t="str">
        <f>HLOOKUP(INDICE!$F$2,Nombres!$C$3:$D$636,108,FALSE)</f>
        <v>Sector público</v>
      </c>
      <c r="B35" s="212">
        <v>160.40474270382055</v>
      </c>
      <c r="C35" s="212">
        <v>402.9715485873994</v>
      </c>
      <c r="D35" s="212">
        <v>395.6965296856444</v>
      </c>
      <c r="E35" s="212">
        <v>410.677287297294</v>
      </c>
      <c r="F35" s="212">
        <v>402.3359819422112</v>
      </c>
      <c r="G35" s="212">
        <v>1042.711</v>
      </c>
      <c r="H35" s="212">
        <v>0</v>
      </c>
      <c r="I35" s="212">
        <v>0</v>
      </c>
      <c r="L35" s="212"/>
      <c r="M35" s="222"/>
      <c r="N35" s="261"/>
    </row>
    <row r="36" spans="1:14" ht="15">
      <c r="A36" s="211" t="str">
        <f>HLOOKUP(INDICE!$F$2,Nombres!$C$3:$D$636,109,FALSE)</f>
        <v>Sociedades financieras y sociedades no financieras</v>
      </c>
      <c r="B36" s="212">
        <v>13197.080329103332</v>
      </c>
      <c r="C36" s="212">
        <v>14679.168759141754</v>
      </c>
      <c r="D36" s="212">
        <v>15594.043703692923</v>
      </c>
      <c r="E36" s="212">
        <v>16842.279322535767</v>
      </c>
      <c r="F36" s="212">
        <v>17496.578675207405</v>
      </c>
      <c r="G36" s="212">
        <v>21727.330000000005</v>
      </c>
      <c r="H36" s="212">
        <v>0</v>
      </c>
      <c r="I36" s="212">
        <v>0</v>
      </c>
      <c r="L36" s="211"/>
      <c r="M36" s="222"/>
      <c r="N36" s="261"/>
    </row>
    <row r="37" spans="1:14" ht="15">
      <c r="A37" s="211" t="str">
        <f>HLOOKUP(INDICE!$F$2,Nombres!$C$3:$D$636,111,FALSE)</f>
        <v>Otros</v>
      </c>
      <c r="B37" s="212">
        <v>243.6579107940437</v>
      </c>
      <c r="C37" s="212">
        <v>332.8599724944583</v>
      </c>
      <c r="D37" s="212">
        <v>449.9504276772424</v>
      </c>
      <c r="E37" s="212">
        <v>723.153850087177</v>
      </c>
      <c r="F37" s="212">
        <v>941.0890918372473</v>
      </c>
      <c r="G37" s="212">
        <v>1049.029342650001</v>
      </c>
      <c r="H37" s="212">
        <v>0</v>
      </c>
      <c r="I37" s="212">
        <v>0</v>
      </c>
      <c r="L37" s="211"/>
      <c r="M37" s="222"/>
      <c r="N37" s="261"/>
    </row>
    <row r="38" spans="1:14" ht="15">
      <c r="A38" s="213" t="str">
        <f>HLOOKUP(INDICE!$F$2,Nombres!$C$3:$D$636,112,FALSE)</f>
        <v>Crédito no dudoso en gestión (*)</v>
      </c>
      <c r="B38" s="214">
        <v>18961.462878314866</v>
      </c>
      <c r="C38" s="214">
        <v>21501.485370939907</v>
      </c>
      <c r="D38" s="214">
        <v>23317.400720397738</v>
      </c>
      <c r="E38" s="214">
        <v>26219.414828281442</v>
      </c>
      <c r="F38" s="214">
        <v>28701.01063437581</v>
      </c>
      <c r="G38" s="214">
        <v>35603.811</v>
      </c>
      <c r="H38" s="214">
        <v>0</v>
      </c>
      <c r="I38" s="214">
        <v>0</v>
      </c>
      <c r="L38" s="211"/>
      <c r="M38" s="222"/>
      <c r="N38" s="261"/>
    </row>
    <row r="39" spans="1:14" ht="15.75" customHeight="1">
      <c r="A39" s="213"/>
      <c r="B39" s="214"/>
      <c r="C39" s="214"/>
      <c r="D39" s="214"/>
      <c r="E39" s="214"/>
      <c r="F39" s="214"/>
      <c r="G39" s="214"/>
      <c r="H39" s="214"/>
      <c r="I39" s="214"/>
      <c r="L39" s="211"/>
      <c r="M39" s="222"/>
      <c r="N39" s="261"/>
    </row>
    <row r="40" spans="1:13" ht="15.75" customHeight="1">
      <c r="A40" s="213"/>
      <c r="B40" s="214"/>
      <c r="C40" s="214"/>
      <c r="D40" s="214"/>
      <c r="E40" s="214"/>
      <c r="F40" s="214"/>
      <c r="G40" s="214"/>
      <c r="H40" s="214"/>
      <c r="I40" s="214"/>
      <c r="L40" s="211"/>
      <c r="M40" s="222"/>
    </row>
    <row r="41" spans="1:13" ht="15">
      <c r="A41" s="213"/>
      <c r="B41" s="214"/>
      <c r="C41" s="214"/>
      <c r="D41" s="214"/>
      <c r="E41" s="214"/>
      <c r="F41" s="214"/>
      <c r="G41" s="214"/>
      <c r="H41" s="214"/>
      <c r="I41" s="214"/>
      <c r="L41" s="211"/>
      <c r="M41" s="222"/>
    </row>
    <row r="42" spans="1:13" ht="15.75" customHeight="1">
      <c r="A42" s="209"/>
      <c r="B42" s="308" t="str">
        <f>HLOOKUP(INDICE!$F$2,Nombres!$C$3:$D$636,296,FALSE)</f>
        <v>Turquia solo Banco</v>
      </c>
      <c r="C42" s="308"/>
      <c r="D42" s="308"/>
      <c r="E42" s="308"/>
      <c r="F42" s="308"/>
      <c r="G42" s="308"/>
      <c r="H42" s="308"/>
      <c r="I42" s="308"/>
      <c r="L42" s="222"/>
      <c r="M42" s="222"/>
    </row>
    <row r="43" spans="1:13" ht="15.75">
      <c r="A43" s="210"/>
      <c r="B43" s="118">
        <f aca="true" t="shared" si="4" ref="B43:I43">+B$5</f>
        <v>44651</v>
      </c>
      <c r="C43" s="118">
        <f t="shared" si="4"/>
        <v>44742</v>
      </c>
      <c r="D43" s="118">
        <f t="shared" si="4"/>
        <v>44834</v>
      </c>
      <c r="E43" s="118">
        <f t="shared" si="4"/>
        <v>44926</v>
      </c>
      <c r="F43" s="118">
        <f t="shared" si="4"/>
        <v>45016</v>
      </c>
      <c r="G43" s="118">
        <f t="shared" si="4"/>
        <v>45107</v>
      </c>
      <c r="H43" s="118">
        <f t="shared" si="4"/>
        <v>45199</v>
      </c>
      <c r="I43" s="118">
        <f t="shared" si="4"/>
        <v>45291</v>
      </c>
      <c r="L43" s="53"/>
      <c r="M43" s="222"/>
    </row>
    <row r="44" spans="1:13" ht="15">
      <c r="A44" s="211" t="str">
        <f>HLOOKUP(INDICE!$F$2,Nombres!$C$3:$D$636,285,FALSE)</f>
        <v>Préstamos Hogares TL</v>
      </c>
      <c r="B44" s="212">
        <v>5511.331215998668</v>
      </c>
      <c r="C44" s="212">
        <v>6342.4888802192645</v>
      </c>
      <c r="D44" s="212">
        <v>7252.1859625234865</v>
      </c>
      <c r="E44" s="212">
        <v>8922.878554651152</v>
      </c>
      <c r="F44" s="212">
        <v>10587.2213572355</v>
      </c>
      <c r="G44" s="212">
        <v>12338.483586679444</v>
      </c>
      <c r="H44" s="212">
        <v>0</v>
      </c>
      <c r="I44" s="212">
        <v>0</v>
      </c>
      <c r="L44" s="212"/>
      <c r="M44" s="222"/>
    </row>
    <row r="45" spans="1:14" ht="15">
      <c r="A45" s="211" t="str">
        <f>HLOOKUP(INDICE!$F$2,Nombres!$C$3:$D$636,286,FALSE)</f>
        <v>Préstamos Empresas TL</v>
      </c>
      <c r="B45" s="212">
        <v>5277.199877971782</v>
      </c>
      <c r="C45" s="212">
        <v>6257.934348757177</v>
      </c>
      <c r="D45" s="212">
        <v>7171.525965745112</v>
      </c>
      <c r="E45" s="212">
        <v>7711.2249666693715</v>
      </c>
      <c r="F45" s="212">
        <v>7776.941408931656</v>
      </c>
      <c r="G45" s="212">
        <v>8893.662791241091</v>
      </c>
      <c r="H45" s="212">
        <v>0</v>
      </c>
      <c r="I45" s="212">
        <v>0</v>
      </c>
      <c r="L45" s="212"/>
      <c r="M45" s="222"/>
      <c r="N45" s="261"/>
    </row>
    <row r="46" spans="1:14" ht="15">
      <c r="A46" s="213" t="str">
        <f>HLOOKUP(INDICE!$F$2,Nombres!$C$3:$D$636,287,FALSE)</f>
        <v>Total Préstamos TL</v>
      </c>
      <c r="B46" s="214">
        <v>10788.53109397045</v>
      </c>
      <c r="C46" s="214">
        <v>12600.423228976444</v>
      </c>
      <c r="D46" s="214">
        <v>14423.7119282686</v>
      </c>
      <c r="E46" s="214">
        <v>16634.103521320525</v>
      </c>
      <c r="F46" s="214">
        <v>18364.162766167155</v>
      </c>
      <c r="G46" s="214">
        <v>21232.146377920537</v>
      </c>
      <c r="H46" s="214">
        <v>0</v>
      </c>
      <c r="I46" s="214">
        <v>0</v>
      </c>
      <c r="L46" s="212"/>
      <c r="M46" s="222"/>
      <c r="N46" s="261"/>
    </row>
    <row r="47" spans="1:14" ht="15">
      <c r="A47" s="213" t="str">
        <f>HLOOKUP(INDICE!$F$2,Nombres!$C$3:$D$636,288,FALSE)</f>
        <v>Total Préstamos FC</v>
      </c>
      <c r="B47" s="214">
        <v>10271.232079520008</v>
      </c>
      <c r="C47" s="214">
        <v>9465.685522935897</v>
      </c>
      <c r="D47" s="214">
        <v>8254.65472217757</v>
      </c>
      <c r="E47" s="214">
        <v>8317.60400089309</v>
      </c>
      <c r="F47" s="214">
        <v>8867.254426224441</v>
      </c>
      <c r="G47" s="214">
        <v>8764.768485759609</v>
      </c>
      <c r="H47" s="214">
        <v>0</v>
      </c>
      <c r="I47" s="214">
        <v>0</v>
      </c>
      <c r="L47" s="211"/>
      <c r="M47" s="222"/>
      <c r="N47" s="261"/>
    </row>
    <row r="48" spans="1:14" ht="15.75">
      <c r="A48" s="221" t="str">
        <f>HLOOKUP(INDICE!$F$2,Nombres!$C$3:$D$636,295,FALSE)</f>
        <v>(TL Lira Turca FC Moneda Extranjera)</v>
      </c>
      <c r="B48" s="215">
        <f aca="true" t="shared" si="5" ref="B48:I48">+SUM(B32:B37)-B38</f>
        <v>0</v>
      </c>
      <c r="C48" s="215">
        <f t="shared" si="5"/>
        <v>0</v>
      </c>
      <c r="D48" s="215">
        <f t="shared" si="5"/>
        <v>0</v>
      </c>
      <c r="E48" s="215">
        <f t="shared" si="5"/>
        <v>0</v>
      </c>
      <c r="F48" s="215">
        <f t="shared" si="5"/>
        <v>0</v>
      </c>
      <c r="G48" s="215">
        <f t="shared" si="5"/>
        <v>0</v>
      </c>
      <c r="H48" s="215">
        <f t="shared" si="5"/>
        <v>0</v>
      </c>
      <c r="I48" s="215">
        <f t="shared" si="5"/>
        <v>0</v>
      </c>
      <c r="L48" s="213"/>
      <c r="M48" s="222"/>
      <c r="N48" s="261"/>
    </row>
    <row r="49" spans="1:14" ht="15.75">
      <c r="A49" s="206"/>
      <c r="B49" s="216"/>
      <c r="C49" s="216"/>
      <c r="D49" s="216"/>
      <c r="E49" s="216"/>
      <c r="F49" s="216"/>
      <c r="G49" s="216"/>
      <c r="H49" s="216"/>
      <c r="I49" s="216"/>
      <c r="L49" s="216"/>
      <c r="M49" s="222"/>
      <c r="N49" s="261"/>
    </row>
    <row r="50" spans="1:14" ht="15.75">
      <c r="A50" s="206"/>
      <c r="B50" s="216"/>
      <c r="C50" s="216"/>
      <c r="D50" s="216"/>
      <c r="E50" s="216"/>
      <c r="F50" s="216"/>
      <c r="G50" s="216"/>
      <c r="H50" s="216"/>
      <c r="I50" s="216"/>
      <c r="L50" s="216"/>
      <c r="N50" s="261"/>
    </row>
    <row r="51" spans="1:14" ht="15.75" customHeight="1">
      <c r="A51" s="209"/>
      <c r="B51" s="308" t="str">
        <f>HLOOKUP(INDICE!$F$2,Nombres!$C$3:$D$636,283,FALSE)</f>
        <v>América del Sur </v>
      </c>
      <c r="C51" s="308"/>
      <c r="D51" s="308"/>
      <c r="E51" s="308"/>
      <c r="F51" s="308"/>
      <c r="G51" s="308"/>
      <c r="H51" s="308"/>
      <c r="I51" s="308"/>
      <c r="N51" s="261"/>
    </row>
    <row r="52" spans="1:14" ht="15.75">
      <c r="A52" s="210"/>
      <c r="B52" s="118">
        <f aca="true" t="shared" si="6" ref="B52:I52">+B$5</f>
        <v>44651</v>
      </c>
      <c r="C52" s="118">
        <f t="shared" si="6"/>
        <v>44742</v>
      </c>
      <c r="D52" s="118">
        <f t="shared" si="6"/>
        <v>44834</v>
      </c>
      <c r="E52" s="118">
        <f t="shared" si="6"/>
        <v>44926</v>
      </c>
      <c r="F52" s="118">
        <f t="shared" si="6"/>
        <v>45016</v>
      </c>
      <c r="G52" s="118">
        <f t="shared" si="6"/>
        <v>45107</v>
      </c>
      <c r="H52" s="118">
        <f t="shared" si="6"/>
        <v>45199</v>
      </c>
      <c r="I52" s="118">
        <f t="shared" si="6"/>
        <v>45291</v>
      </c>
      <c r="N52" s="261"/>
    </row>
    <row r="53" spans="1:12" ht="15">
      <c r="A53" s="211" t="s">
        <v>6</v>
      </c>
      <c r="B53" s="212">
        <v>1495.2758333272525</v>
      </c>
      <c r="C53" s="212">
        <v>1871.692360549434</v>
      </c>
      <c r="D53" s="212">
        <v>2089.495479066012</v>
      </c>
      <c r="E53" s="212">
        <v>2593.2395037972897</v>
      </c>
      <c r="F53" s="212">
        <v>3139.968989460759</v>
      </c>
      <c r="G53" s="212">
        <v>3864.0219999999995</v>
      </c>
      <c r="H53" s="212">
        <v>0</v>
      </c>
      <c r="I53" s="212">
        <v>0</v>
      </c>
      <c r="L53" s="212"/>
    </row>
    <row r="54" spans="1:12" ht="15">
      <c r="A54" s="211" t="s">
        <v>7</v>
      </c>
      <c r="B54" s="212">
        <v>1656.8506385587634</v>
      </c>
      <c r="C54" s="212">
        <v>1785.6796708938173</v>
      </c>
      <c r="D54" s="212">
        <v>1963.1595484721556</v>
      </c>
      <c r="E54" s="212">
        <v>2088.8691377167706</v>
      </c>
      <c r="F54" s="212">
        <v>2141.80639921696</v>
      </c>
      <c r="G54" s="212">
        <v>2149.9900000000002</v>
      </c>
      <c r="H54" s="212">
        <v>0</v>
      </c>
      <c r="I54" s="212">
        <v>0</v>
      </c>
      <c r="L54" s="212"/>
    </row>
    <row r="55" spans="1:12" ht="15.75" customHeight="1">
      <c r="A55" s="211" t="s">
        <v>8</v>
      </c>
      <c r="B55" s="212">
        <v>12901.61674780478</v>
      </c>
      <c r="C55" s="212">
        <v>13776.195910571663</v>
      </c>
      <c r="D55" s="212">
        <v>14233.201448958098</v>
      </c>
      <c r="E55" s="212">
        <v>14962.2442569505</v>
      </c>
      <c r="F55" s="212">
        <v>15162.818221489151</v>
      </c>
      <c r="G55" s="212">
        <v>15509.581</v>
      </c>
      <c r="H55" s="212">
        <v>0</v>
      </c>
      <c r="I55" s="212">
        <v>0</v>
      </c>
      <c r="L55" s="212"/>
    </row>
    <row r="56" spans="1:12" ht="15">
      <c r="A56" s="211" t="s">
        <v>9</v>
      </c>
      <c r="B56" s="212">
        <v>17610.696758742015</v>
      </c>
      <c r="C56" s="212">
        <v>17512.654714694625</v>
      </c>
      <c r="D56" s="212">
        <v>17659.438037877553</v>
      </c>
      <c r="E56" s="212">
        <v>17443.484959174828</v>
      </c>
      <c r="F56" s="212">
        <v>17681.556097157143</v>
      </c>
      <c r="G56" s="212">
        <v>17437.124</v>
      </c>
      <c r="H56" s="212">
        <v>0</v>
      </c>
      <c r="I56" s="212">
        <v>0</v>
      </c>
      <c r="L56" s="212"/>
    </row>
    <row r="57" spans="1:14" ht="15">
      <c r="A57" s="211" t="s">
        <v>10</v>
      </c>
      <c r="B57" s="212">
        <v>2223.4091596394087</v>
      </c>
      <c r="C57" s="212">
        <v>2378.086812080875</v>
      </c>
      <c r="D57" s="212">
        <v>2455.2477641340915</v>
      </c>
      <c r="E57" s="212">
        <v>2525.6714108838</v>
      </c>
      <c r="F57" s="212">
        <v>2497.23850814923</v>
      </c>
      <c r="G57" s="212">
        <v>2537.032</v>
      </c>
      <c r="H57" s="212">
        <v>0</v>
      </c>
      <c r="I57" s="212">
        <v>0</v>
      </c>
      <c r="L57" s="212"/>
      <c r="N57" s="261"/>
    </row>
    <row r="58" spans="1:14" ht="15">
      <c r="A58" s="213" t="str">
        <f>HLOOKUP(INDICE!$F$2,Nombres!$C$3:$D$636,112,FALSE)</f>
        <v>Crédito no dudoso en gestión (*)</v>
      </c>
      <c r="B58" s="214">
        <v>35887.84913807222</v>
      </c>
      <c r="C58" s="214">
        <v>37324.30946879041</v>
      </c>
      <c r="D58" s="214">
        <v>38400.54227850791</v>
      </c>
      <c r="E58" s="214">
        <v>39613.509268523194</v>
      </c>
      <c r="F58" s="214">
        <v>40623.38821547325</v>
      </c>
      <c r="G58" s="214">
        <v>41497.749</v>
      </c>
      <c r="H58" s="214">
        <v>0</v>
      </c>
      <c r="I58" s="214">
        <v>0</v>
      </c>
      <c r="L58" s="213"/>
      <c r="N58" s="261"/>
    </row>
    <row r="59" spans="1:14" ht="15.75">
      <c r="A59" s="206"/>
      <c r="B59" s="215">
        <f aca="true" t="shared" si="7" ref="B59:I59">+SUM(B53:B57)-B58</f>
        <v>0</v>
      </c>
      <c r="C59" s="215">
        <f t="shared" si="7"/>
        <v>0</v>
      </c>
      <c r="D59" s="215">
        <f t="shared" si="7"/>
        <v>0</v>
      </c>
      <c r="E59" s="215">
        <f t="shared" si="7"/>
        <v>0</v>
      </c>
      <c r="F59" s="215">
        <f t="shared" si="7"/>
        <v>0</v>
      </c>
      <c r="G59" s="215">
        <f t="shared" si="7"/>
        <v>0</v>
      </c>
      <c r="H59" s="215">
        <f t="shared" si="7"/>
        <v>0</v>
      </c>
      <c r="I59" s="215">
        <f t="shared" si="7"/>
        <v>0</v>
      </c>
      <c r="L59" s="216"/>
      <c r="N59" s="261"/>
    </row>
    <row r="60" spans="1:14" ht="15" customHeight="1">
      <c r="A60" s="206"/>
      <c r="B60" s="206"/>
      <c r="C60" s="206"/>
      <c r="D60" s="206"/>
      <c r="E60" s="206"/>
      <c r="F60" s="206"/>
      <c r="L60" s="206"/>
      <c r="N60" s="261"/>
    </row>
    <row r="61" spans="1:14" ht="15" customHeight="1">
      <c r="A61" s="223" t="str">
        <f>HLOOKUP(INDICE!$F$2,Nombres!$C$3:$D$636,71,FALSE)</f>
        <v>(*) No incluye las adquisiciones temporales de activos.</v>
      </c>
      <c r="B61" s="206"/>
      <c r="C61" s="206"/>
      <c r="D61" s="206"/>
      <c r="E61" s="206"/>
      <c r="F61" s="206"/>
      <c r="L61" s="206"/>
      <c r="N61" s="261"/>
    </row>
    <row r="62" spans="1:14" ht="15" customHeight="1">
      <c r="A62" s="223"/>
      <c r="B62" s="206"/>
      <c r="C62" s="206"/>
      <c r="D62" s="206"/>
      <c r="E62" s="206"/>
      <c r="F62" s="206"/>
      <c r="L62" s="206"/>
      <c r="N62" s="261"/>
    </row>
    <row r="63" spans="1:12" ht="15.75">
      <c r="A63" s="206"/>
      <c r="B63" s="206"/>
      <c r="C63" s="206"/>
      <c r="D63" s="206"/>
      <c r="E63" s="206"/>
      <c r="F63" s="206"/>
      <c r="L63" s="206"/>
    </row>
    <row r="64" spans="1:12" ht="15.75">
      <c r="A64" s="206"/>
      <c r="B64" s="206"/>
      <c r="C64" s="206"/>
      <c r="D64" s="206"/>
      <c r="E64" s="206"/>
      <c r="F64" s="206"/>
      <c r="L64" s="206"/>
    </row>
    <row r="65" spans="1:12" ht="15.75">
      <c r="A65" s="206"/>
      <c r="B65" s="206"/>
      <c r="C65" s="206"/>
      <c r="D65" s="206"/>
      <c r="E65" s="206"/>
      <c r="F65" s="206"/>
      <c r="L65" s="206"/>
    </row>
    <row r="66" spans="1:12" ht="15.75">
      <c r="A66" s="206"/>
      <c r="B66" s="206"/>
      <c r="C66" s="206"/>
      <c r="D66" s="206"/>
      <c r="E66" s="206"/>
      <c r="F66" s="206"/>
      <c r="L66" s="206"/>
    </row>
    <row r="67" spans="1:12" ht="15.75">
      <c r="A67" s="206"/>
      <c r="B67" s="206"/>
      <c r="C67" s="206"/>
      <c r="D67" s="206"/>
      <c r="E67" s="206"/>
      <c r="F67" s="206"/>
      <c r="L67" s="206"/>
    </row>
    <row r="68" spans="1:12" ht="15.75">
      <c r="A68" s="206"/>
      <c r="B68" s="206"/>
      <c r="C68" s="206"/>
      <c r="D68" s="206"/>
      <c r="E68" s="206"/>
      <c r="F68" s="206"/>
      <c r="L68" s="206"/>
    </row>
    <row r="69" spans="1:12" ht="15.75">
      <c r="A69" s="206"/>
      <c r="B69" s="206"/>
      <c r="C69" s="206"/>
      <c r="D69" s="206"/>
      <c r="E69" s="206"/>
      <c r="F69" s="206"/>
      <c r="L69" s="206"/>
    </row>
    <row r="70" spans="1:12" ht="15.75">
      <c r="A70" s="206"/>
      <c r="B70" s="206"/>
      <c r="C70" s="206"/>
      <c r="D70" s="206"/>
      <c r="E70" s="206"/>
      <c r="F70" s="206"/>
      <c r="L70" s="206"/>
    </row>
    <row r="996" ht="15">
      <c r="A996" s="205" t="s">
        <v>391</v>
      </c>
    </row>
  </sheetData>
  <sheetProtection/>
  <mergeCells count="5">
    <mergeCell ref="B4:I4"/>
    <mergeCell ref="B17:I17"/>
    <mergeCell ref="B30:I30"/>
    <mergeCell ref="B42:I42"/>
    <mergeCell ref="B51:I51"/>
  </mergeCells>
  <conditionalFormatting sqref="H14:I14">
    <cfRule type="cellIs" priority="12" dxfId="196" operator="notBetween">
      <formula>0.5</formula>
      <formula>-0.5</formula>
    </cfRule>
  </conditionalFormatting>
  <conditionalFormatting sqref="H27:I27">
    <cfRule type="cellIs" priority="11" dxfId="196" operator="notBetween">
      <formula>0.5</formula>
      <formula>-0.5</formula>
    </cfRule>
  </conditionalFormatting>
  <conditionalFormatting sqref="H27:I27">
    <cfRule type="cellIs" priority="10" dxfId="196" operator="notBetween">
      <formula>0.5</formula>
      <formula>-0.5</formula>
    </cfRule>
  </conditionalFormatting>
  <conditionalFormatting sqref="H48:I48">
    <cfRule type="cellIs" priority="8" dxfId="196" operator="notBetween">
      <formula>0.5</formula>
      <formula>-0.5</formula>
    </cfRule>
  </conditionalFormatting>
  <conditionalFormatting sqref="H59:I59">
    <cfRule type="cellIs" priority="7" dxfId="196" operator="notBetween">
      <formula>0.5</formula>
      <formula>-0.5</formula>
    </cfRule>
  </conditionalFormatting>
  <conditionalFormatting sqref="B14:G14">
    <cfRule type="cellIs" priority="6" dxfId="196" operator="notBetween">
      <formula>0.5</formula>
      <formula>-0.5</formula>
    </cfRule>
  </conditionalFormatting>
  <conditionalFormatting sqref="B27:G27">
    <cfRule type="cellIs" priority="5" dxfId="196" operator="notBetween">
      <formula>0.5</formula>
      <formula>-0.5</formula>
    </cfRule>
  </conditionalFormatting>
  <conditionalFormatting sqref="C27:G27">
    <cfRule type="cellIs" priority="4" dxfId="196" operator="notBetween">
      <formula>0.5</formula>
      <formula>-0.5</formula>
    </cfRule>
  </conditionalFormatting>
  <conditionalFormatting sqref="B48">
    <cfRule type="cellIs" priority="3" dxfId="196" operator="notBetween">
      <formula>0.5</formula>
      <formula>-0.5</formula>
    </cfRule>
  </conditionalFormatting>
  <conditionalFormatting sqref="C48:G48">
    <cfRule type="cellIs" priority="2" dxfId="196" operator="notBetween">
      <formula>0.5</formula>
      <formula>-0.5</formula>
    </cfRule>
  </conditionalFormatting>
  <conditionalFormatting sqref="B59:G59">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5" customWidth="1"/>
    <col min="2" max="2" width="12.28125" style="205" customWidth="1"/>
    <col min="3" max="7" width="11.421875" style="205" customWidth="1"/>
    <col min="8" max="9" width="11.421875" style="205" hidden="1" customWidth="1"/>
    <col min="10" max="11" width="5.7109375" style="205" customWidth="1"/>
    <col min="12" max="12" width="19.57421875" style="205" customWidth="1"/>
    <col min="13" max="16384" width="11.421875" style="205" customWidth="1"/>
  </cols>
  <sheetData>
    <row r="1" spans="1:9" ht="18">
      <c r="A1" s="202" t="str">
        <f>HLOOKUP(INDICE!$F$2,Nombres!$C$3:$D$636,120,FALSE)</f>
        <v>Desglose de los recursos de clientes en gestión</v>
      </c>
      <c r="B1" s="203"/>
      <c r="C1" s="203"/>
      <c r="D1" s="203"/>
      <c r="E1" s="203"/>
      <c r="F1" s="203"/>
      <c r="G1" s="203"/>
      <c r="H1" s="203"/>
      <c r="I1" s="203"/>
    </row>
    <row r="2" spans="1:6" ht="15.75">
      <c r="A2" s="207" t="str">
        <f>HLOOKUP(INDICE!$F$2,Nombres!$C$3:$D$636,73,FALSE)</f>
        <v>(Millones de euros constantes)</v>
      </c>
      <c r="B2" s="206"/>
      <c r="C2" s="206"/>
      <c r="D2" s="206"/>
      <c r="E2" s="206"/>
      <c r="F2" s="206"/>
    </row>
    <row r="3" spans="1:12" ht="15.75" customHeight="1">
      <c r="A3" s="209"/>
      <c r="B3" s="308" t="str">
        <f>HLOOKUP(INDICE!$F$2,Nombres!$C$3:$D$636,7,FALSE)</f>
        <v>España</v>
      </c>
      <c r="C3" s="308"/>
      <c r="D3" s="308"/>
      <c r="E3" s="308"/>
      <c r="F3" s="308"/>
      <c r="G3" s="308"/>
      <c r="H3" s="308"/>
      <c r="I3" s="308"/>
      <c r="L3" s="224"/>
    </row>
    <row r="4" spans="1:9" ht="15.75">
      <c r="A4" s="210"/>
      <c r="B4" s="118">
        <f>+España!B32</f>
        <v>44651</v>
      </c>
      <c r="C4" s="118">
        <f>+España!C32</f>
        <v>44742</v>
      </c>
      <c r="D4" s="118">
        <f>+España!D32</f>
        <v>44834</v>
      </c>
      <c r="E4" s="118">
        <f>+España!E32</f>
        <v>44926</v>
      </c>
      <c r="F4" s="118">
        <f>+España!F32</f>
        <v>45016</v>
      </c>
      <c r="G4" s="118">
        <f>+España!G32</f>
        <v>45107</v>
      </c>
      <c r="H4" s="118">
        <f>+España!H32</f>
        <v>45199</v>
      </c>
      <c r="I4" s="118">
        <f>+España!I32</f>
        <v>45291</v>
      </c>
    </row>
    <row r="5" spans="1:12" ht="15">
      <c r="A5" s="211" t="str">
        <f>HLOOKUP(INDICE!$F$2,Nombres!$C$3:$D$636,114,FALSE)</f>
        <v>Depósitos a la vista + Disponibles con preaviso</v>
      </c>
      <c r="B5" s="212">
        <v>189479.81666199997</v>
      </c>
      <c r="C5" s="212">
        <v>194253.54097</v>
      </c>
      <c r="D5" s="212">
        <v>193909.239639</v>
      </c>
      <c r="E5" s="212">
        <v>198131.115479</v>
      </c>
      <c r="F5" s="212">
        <v>190585.723555</v>
      </c>
      <c r="G5" s="212">
        <v>189100.14232600003</v>
      </c>
      <c r="H5" s="212">
        <v>0</v>
      </c>
      <c r="I5" s="212">
        <v>0</v>
      </c>
      <c r="L5" s="211"/>
    </row>
    <row r="6" spans="1:12" ht="15">
      <c r="A6" s="211" t="str">
        <f>HLOOKUP(INDICE!$F$2,Nombres!$C$3:$D$636,115,FALSE)</f>
        <v>Depósitos a plazo</v>
      </c>
      <c r="B6" s="212">
        <v>16925.437971</v>
      </c>
      <c r="C6" s="212">
        <v>16845.767135000002</v>
      </c>
      <c r="D6" s="212">
        <v>18961.266234</v>
      </c>
      <c r="E6" s="212">
        <v>22008.405587</v>
      </c>
      <c r="F6" s="212">
        <v>22725.272305</v>
      </c>
      <c r="G6" s="212">
        <v>23979.546753</v>
      </c>
      <c r="H6" s="212">
        <v>0</v>
      </c>
      <c r="I6" s="212">
        <v>0</v>
      </c>
      <c r="L6" s="211"/>
    </row>
    <row r="7" spans="1:12" ht="15">
      <c r="A7" s="211" t="str">
        <f>HLOOKUP(INDICE!$F$2,Nombres!$C$3:$D$636,116,FALSE)</f>
        <v>Recursos fuera de balance (*)</v>
      </c>
      <c r="B7" s="212">
        <v>90827.85125446998</v>
      </c>
      <c r="C7" s="212">
        <v>86828.40831213</v>
      </c>
      <c r="D7" s="212">
        <v>85180.62565222</v>
      </c>
      <c r="E7" s="212">
        <v>86758.50581024999</v>
      </c>
      <c r="F7" s="212">
        <v>90577.40561005</v>
      </c>
      <c r="G7" s="212">
        <v>92847.5390638</v>
      </c>
      <c r="H7" s="212">
        <v>0</v>
      </c>
      <c r="I7" s="212">
        <v>0</v>
      </c>
      <c r="L7" s="211"/>
    </row>
    <row r="8" spans="1:12" ht="15">
      <c r="A8" s="213" t="str">
        <f>HLOOKUP(INDICE!$F$2,Nombres!$C$3:$D$636,208,FALSE)</f>
        <v> Recursos de clientes en gestión (**)</v>
      </c>
      <c r="B8" s="213">
        <v>297233.10588746995</v>
      </c>
      <c r="C8" s="213">
        <v>297927.71641712997</v>
      </c>
      <c r="D8" s="213">
        <v>298051.13152522</v>
      </c>
      <c r="E8" s="213">
        <v>306898.02687625</v>
      </c>
      <c r="F8" s="213">
        <v>303888.40147005</v>
      </c>
      <c r="G8" s="213">
        <v>305927.2281428</v>
      </c>
      <c r="H8" s="213">
        <v>0</v>
      </c>
      <c r="I8" s="213">
        <v>0</v>
      </c>
      <c r="L8" s="213"/>
    </row>
    <row r="9" spans="1:12" ht="15.75">
      <c r="A9" s="211" t="str">
        <f>HLOOKUP(INDICE!$F$2,Nombres!$C$3:$D$636,118,FALSE)</f>
        <v>Vista+Plazo</v>
      </c>
      <c r="B9" s="212">
        <f aca="true" t="shared" si="0" ref="B9:G9">+B5+B6</f>
        <v>206405.25463299998</v>
      </c>
      <c r="C9" s="212">
        <f t="shared" si="0"/>
        <v>211099.308105</v>
      </c>
      <c r="D9" s="212">
        <f t="shared" si="0"/>
        <v>212870.50587300002</v>
      </c>
      <c r="E9" s="212">
        <f t="shared" si="0"/>
        <v>220139.521066</v>
      </c>
      <c r="F9" s="212">
        <f t="shared" si="0"/>
        <v>213310.99586</v>
      </c>
      <c r="G9" s="212">
        <f t="shared" si="0"/>
        <v>213079.68907900003</v>
      </c>
      <c r="H9" s="212">
        <f>+H5+H6</f>
        <v>0</v>
      </c>
      <c r="I9" s="212">
        <f>+I5+I6</f>
        <v>0</v>
      </c>
      <c r="L9" s="206"/>
    </row>
    <row r="10" spans="1:9" ht="15.75">
      <c r="A10" s="206"/>
      <c r="B10" s="215">
        <f aca="true" t="shared" si="1" ref="B10:I10">+B5+B6+B7-B8</f>
        <v>0</v>
      </c>
      <c r="C10" s="215">
        <f t="shared" si="1"/>
        <v>0</v>
      </c>
      <c r="D10" s="215">
        <f t="shared" si="1"/>
        <v>0</v>
      </c>
      <c r="E10" s="215">
        <f t="shared" si="1"/>
        <v>0</v>
      </c>
      <c r="F10" s="215">
        <f t="shared" si="1"/>
        <v>0</v>
      </c>
      <c r="G10" s="215">
        <f t="shared" si="1"/>
        <v>0</v>
      </c>
      <c r="H10" s="215">
        <f t="shared" si="1"/>
        <v>0</v>
      </c>
      <c r="I10" s="215">
        <f t="shared" si="1"/>
        <v>0</v>
      </c>
    </row>
    <row r="11" spans="1:9" ht="15.75">
      <c r="A11" s="206"/>
      <c r="B11" s="215">
        <f>+B9-España!B54</f>
        <v>0</v>
      </c>
      <c r="C11" s="215">
        <f>+C9-España!C54</f>
        <v>0</v>
      </c>
      <c r="D11" s="215">
        <f>+D9-España!D54</f>
        <v>0</v>
      </c>
      <c r="E11" s="215">
        <f>+E9-España!E54</f>
        <v>0</v>
      </c>
      <c r="F11" s="215">
        <f>+F9-España!F54</f>
        <v>0</v>
      </c>
      <c r="G11" s="215">
        <f>+G9-España!G54</f>
        <v>0</v>
      </c>
      <c r="H11" s="215">
        <f>+H9-España!H54</f>
        <v>0</v>
      </c>
      <c r="I11" s="215">
        <f>+I9-España!I54</f>
        <v>0</v>
      </c>
    </row>
    <row r="12" spans="1:12" ht="15.75" customHeight="1">
      <c r="A12" s="209"/>
      <c r="B12" s="308" t="str">
        <f>HLOOKUP(INDICE!$F$2,Nombres!$C$3:$D$636,204,FALSE)</f>
        <v>Mexico (***)</v>
      </c>
      <c r="C12" s="308"/>
      <c r="D12" s="308"/>
      <c r="E12" s="308"/>
      <c r="F12" s="308"/>
      <c r="G12" s="308"/>
      <c r="H12" s="308"/>
      <c r="I12" s="308"/>
      <c r="L12" s="224"/>
    </row>
    <row r="13" spans="1:9" ht="15.75">
      <c r="A13" s="210"/>
      <c r="B13" s="118">
        <f aca="true" t="shared" si="2" ref="B13:I13">+B$4</f>
        <v>44651</v>
      </c>
      <c r="C13" s="118">
        <f t="shared" si="2"/>
        <v>44742</v>
      </c>
      <c r="D13" s="118">
        <f t="shared" si="2"/>
        <v>44834</v>
      </c>
      <c r="E13" s="118">
        <f t="shared" si="2"/>
        <v>44926</v>
      </c>
      <c r="F13" s="118">
        <f t="shared" si="2"/>
        <v>45016</v>
      </c>
      <c r="G13" s="118">
        <f t="shared" si="2"/>
        <v>45107</v>
      </c>
      <c r="H13" s="118">
        <f t="shared" si="2"/>
        <v>45199</v>
      </c>
      <c r="I13" s="118">
        <f t="shared" si="2"/>
        <v>45291</v>
      </c>
    </row>
    <row r="14" spans="1:12" ht="15">
      <c r="A14" s="211" t="str">
        <f>HLOOKUP(INDICE!$F$2,Nombres!$C$3:$D$636,114,FALSE)</f>
        <v>Depósitos a la vista + Disponibles con preaviso</v>
      </c>
      <c r="B14" s="212">
        <v>69477.55672049076</v>
      </c>
      <c r="C14" s="212">
        <v>68122.7477378952</v>
      </c>
      <c r="D14" s="212">
        <v>66392.55426525707</v>
      </c>
      <c r="E14" s="212">
        <v>72601.15019041288</v>
      </c>
      <c r="F14" s="212">
        <v>70372.0411403767</v>
      </c>
      <c r="G14" s="212">
        <v>69120.91300001</v>
      </c>
      <c r="H14" s="212">
        <v>0</v>
      </c>
      <c r="I14" s="212">
        <v>0</v>
      </c>
      <c r="J14" s="212"/>
      <c r="L14" s="211"/>
    </row>
    <row r="15" spans="1:12" ht="15">
      <c r="A15" s="211" t="str">
        <f>HLOOKUP(INDICE!$F$2,Nombres!$C$3:$D$636,115,FALSE)</f>
        <v>Depósitos a plazo</v>
      </c>
      <c r="B15" s="212">
        <v>12991.105085169867</v>
      </c>
      <c r="C15" s="212">
        <v>13429.367715961876</v>
      </c>
      <c r="D15" s="212">
        <v>13718.938878391738</v>
      </c>
      <c r="E15" s="212">
        <v>14049.313931403205</v>
      </c>
      <c r="F15" s="212">
        <v>13919.210786919437</v>
      </c>
      <c r="G15" s="212">
        <v>14148.652</v>
      </c>
      <c r="H15" s="212">
        <v>0</v>
      </c>
      <c r="I15" s="212">
        <v>0</v>
      </c>
      <c r="J15" s="212"/>
      <c r="L15" s="211"/>
    </row>
    <row r="16" spans="1:12" ht="15">
      <c r="A16" s="211" t="str">
        <f>HLOOKUP(INDICE!$F$2,Nombres!$C$3:$D$636,116,FALSE)</f>
        <v>Recursos fuera de balance (*)</v>
      </c>
      <c r="B16" s="212">
        <v>40981.0281902688</v>
      </c>
      <c r="C16" s="212">
        <v>41685.68792528592</v>
      </c>
      <c r="D16" s="212">
        <v>42588.75289907136</v>
      </c>
      <c r="E16" s="212">
        <v>42917.33489248839</v>
      </c>
      <c r="F16" s="212">
        <v>46986.942771300724</v>
      </c>
      <c r="G16" s="212">
        <v>49659.87671297</v>
      </c>
      <c r="H16" s="212">
        <v>0</v>
      </c>
      <c r="I16" s="212">
        <v>0</v>
      </c>
      <c r="J16" s="212"/>
      <c r="L16" s="211"/>
    </row>
    <row r="17" spans="1:12" ht="15">
      <c r="A17" s="213" t="str">
        <f>HLOOKUP(INDICE!$F$2,Nombres!$C$3:$D$636,208,FALSE)</f>
        <v> Recursos de clientes en gestión (**)</v>
      </c>
      <c r="B17" s="213">
        <v>123449.68999592942</v>
      </c>
      <c r="C17" s="213">
        <v>123237.803379143</v>
      </c>
      <c r="D17" s="213">
        <v>122700.24604272017</v>
      </c>
      <c r="E17" s="213">
        <v>129567.79901430446</v>
      </c>
      <c r="F17" s="213">
        <v>131278.1946985969</v>
      </c>
      <c r="G17" s="213">
        <v>132929.44171298</v>
      </c>
      <c r="H17" s="213">
        <v>0</v>
      </c>
      <c r="I17" s="213">
        <v>0</v>
      </c>
      <c r="J17" s="212"/>
      <c r="L17" s="211"/>
    </row>
    <row r="18" spans="1:12" ht="15">
      <c r="A18" s="211" t="str">
        <f>HLOOKUP(INDICE!$F$2,Nombres!$C$3:$D$636,118,FALSE)</f>
        <v>Vista+Plazo</v>
      </c>
      <c r="B18" s="212">
        <v>82468.66180566062</v>
      </c>
      <c r="C18" s="212">
        <v>81552.11545385708</v>
      </c>
      <c r="D18" s="212">
        <v>80111.49314364881</v>
      </c>
      <c r="E18" s="212">
        <v>86650.46412181608</v>
      </c>
      <c r="F18" s="212">
        <v>84291.25192729614</v>
      </c>
      <c r="G18" s="212">
        <v>83269.56500001</v>
      </c>
      <c r="H18" s="212">
        <v>0</v>
      </c>
      <c r="I18" s="212">
        <v>0</v>
      </c>
      <c r="J18" s="213"/>
      <c r="L18" s="213"/>
    </row>
    <row r="19" spans="1:9" ht="15.75">
      <c r="A19" s="221" t="str">
        <f>HLOOKUP(INDICE!$F$2,Nombres!$C$3:$D$636,205,FALSE)</f>
        <v>Criterio Local Contable(***) </v>
      </c>
      <c r="B19" s="215">
        <f aca="true" t="shared" si="3" ref="B19:I19">+B14+B15+B16-B17</f>
        <v>0</v>
      </c>
      <c r="C19" s="215">
        <f t="shared" si="3"/>
        <v>0</v>
      </c>
      <c r="D19" s="215">
        <f t="shared" si="3"/>
        <v>0</v>
      </c>
      <c r="E19" s="215">
        <f t="shared" si="3"/>
        <v>0</v>
      </c>
      <c r="F19" s="215">
        <f t="shared" si="3"/>
        <v>0</v>
      </c>
      <c r="G19" s="215">
        <f t="shared" si="3"/>
        <v>0</v>
      </c>
      <c r="H19" s="215">
        <f t="shared" si="3"/>
        <v>0</v>
      </c>
      <c r="I19" s="215">
        <f t="shared" si="3"/>
        <v>0</v>
      </c>
    </row>
    <row r="20" spans="1:12" ht="15.75">
      <c r="A20" s="206"/>
      <c r="B20" s="297">
        <f>+B17-Mexico!B108-Mexico!B109-Mexico!B110-Mexico!B111</f>
        <v>1.864464138634503E-11</v>
      </c>
      <c r="C20" s="297">
        <f>+C17-Mexico!C108-Mexico!C109-Mexico!C110-Mexico!C111</f>
        <v>5.9117155615240335E-12</v>
      </c>
      <c r="D20" s="297">
        <f>+D17-Mexico!D108-Mexico!D109-Mexico!D110-Mexico!D111</f>
        <v>0</v>
      </c>
      <c r="E20" s="297">
        <f>+E17-Mexico!E108-Mexico!E109-Mexico!E110-Mexico!E111</f>
        <v>-1.2732925824820995E-11</v>
      </c>
      <c r="F20" s="215">
        <f>+F17-Mexico!F108-Mexico!F109-Mexico!F110-Mexico!F111</f>
        <v>2.3646862246096134E-11</v>
      </c>
      <c r="G20" s="215">
        <f>+G17-Mexico!G108-Mexico!G109-Mexico!G110-Mexico!G111</f>
        <v>0</v>
      </c>
      <c r="H20" s="215">
        <f>+H17-Mexico!H108-Mexico!H109-Mexico!H110-Mexico!H111</f>
        <v>0</v>
      </c>
      <c r="I20" s="215">
        <f>+I17-Mexico!I108-Mexico!I109-Mexico!I110-Mexico!I111</f>
        <v>0</v>
      </c>
      <c r="L20" s="224"/>
    </row>
    <row r="21" spans="1:12" ht="15.75" customHeight="1">
      <c r="A21" s="209"/>
      <c r="B21" s="308" t="str">
        <f>HLOOKUP(INDICE!$F$2,Nombres!$C$3:$D$636,12,FALSE)</f>
        <v>Turquía </v>
      </c>
      <c r="C21" s="308"/>
      <c r="D21" s="308"/>
      <c r="E21" s="308"/>
      <c r="F21" s="308"/>
      <c r="G21" s="308"/>
      <c r="H21" s="308"/>
      <c r="I21" s="308"/>
      <c r="L21" s="224"/>
    </row>
    <row r="22" spans="1:9" ht="15.75">
      <c r="A22" s="210"/>
      <c r="B22" s="118">
        <f aca="true" t="shared" si="4" ref="B22:I22">+B$4</f>
        <v>44651</v>
      </c>
      <c r="C22" s="118">
        <f t="shared" si="4"/>
        <v>44742</v>
      </c>
      <c r="D22" s="118">
        <f t="shared" si="4"/>
        <v>44834</v>
      </c>
      <c r="E22" s="118">
        <f t="shared" si="4"/>
        <v>44926</v>
      </c>
      <c r="F22" s="118">
        <f t="shared" si="4"/>
        <v>45016</v>
      </c>
      <c r="G22" s="118">
        <f t="shared" si="4"/>
        <v>45107</v>
      </c>
      <c r="H22" s="118">
        <f t="shared" si="4"/>
        <v>45199</v>
      </c>
      <c r="I22" s="118">
        <f t="shared" si="4"/>
        <v>45291</v>
      </c>
    </row>
    <row r="23" spans="1:12" ht="15">
      <c r="A23" s="211" t="str">
        <f>HLOOKUP(INDICE!$F$2,Nombres!$C$3:$D$636,114,FALSE)</f>
        <v>Depósitos a la vista + Disponibles con preaviso</v>
      </c>
      <c r="B23" s="212">
        <v>12675.922883977744</v>
      </c>
      <c r="C23" s="212">
        <v>14285.875016291002</v>
      </c>
      <c r="D23" s="212">
        <v>16472.92969929508</v>
      </c>
      <c r="E23" s="212">
        <v>17479.7231543494</v>
      </c>
      <c r="F23" s="212">
        <v>17770.53871155981</v>
      </c>
      <c r="G23" s="212">
        <v>21707.466</v>
      </c>
      <c r="H23" s="212">
        <v>0</v>
      </c>
      <c r="I23" s="212">
        <v>0</v>
      </c>
      <c r="L23" s="211"/>
    </row>
    <row r="24" spans="1:12" ht="15">
      <c r="A24" s="211" t="str">
        <f>HLOOKUP(INDICE!$F$2,Nombres!$C$3:$D$636,115,FALSE)</f>
        <v>Depósitos a plazo</v>
      </c>
      <c r="B24" s="212">
        <v>10411.311170834177</v>
      </c>
      <c r="C24" s="212">
        <v>11824.32372033887</v>
      </c>
      <c r="D24" s="212">
        <v>13665.034296595171</v>
      </c>
      <c r="E24" s="212">
        <v>14662.141542059284</v>
      </c>
      <c r="F24" s="212">
        <v>18922.29906671949</v>
      </c>
      <c r="G24" s="212">
        <v>27812.409999999996</v>
      </c>
      <c r="H24" s="212">
        <v>0</v>
      </c>
      <c r="I24" s="212">
        <v>0</v>
      </c>
      <c r="L24" s="211"/>
    </row>
    <row r="25" spans="1:12" ht="15">
      <c r="A25" s="211" t="str">
        <f>HLOOKUP(INDICE!$F$2,Nombres!$C$3:$D$636,116,FALSE)</f>
        <v>Recursos fuera de balance (*)</v>
      </c>
      <c r="B25" s="212">
        <v>2542.2053423264033</v>
      </c>
      <c r="C25" s="212">
        <v>3012.5060485017534</v>
      </c>
      <c r="D25" s="212">
        <v>3557.20229840924</v>
      </c>
      <c r="E25" s="212">
        <v>4889.620745848676</v>
      </c>
      <c r="F25" s="212">
        <v>5518.976605377848</v>
      </c>
      <c r="G25" s="212">
        <v>6800.289</v>
      </c>
      <c r="H25" s="212">
        <v>0</v>
      </c>
      <c r="I25" s="212">
        <v>0</v>
      </c>
      <c r="L25" s="211"/>
    </row>
    <row r="26" spans="1:12" ht="15">
      <c r="A26" s="213" t="str">
        <f>HLOOKUP(INDICE!$F$2,Nombres!$C$3:$D$636,208,FALSE)</f>
        <v> Recursos de clientes en gestión (**)</v>
      </c>
      <c r="B26" s="213">
        <v>25629.439397138325</v>
      </c>
      <c r="C26" s="213">
        <v>29122.70478513163</v>
      </c>
      <c r="D26" s="213">
        <v>33695.166294299495</v>
      </c>
      <c r="E26" s="213">
        <v>37031.48544225736</v>
      </c>
      <c r="F26" s="213">
        <v>42211.81438365715</v>
      </c>
      <c r="G26" s="213">
        <v>56320.16499999999</v>
      </c>
      <c r="H26" s="213">
        <v>0</v>
      </c>
      <c r="I26" s="213">
        <v>0</v>
      </c>
      <c r="L26" s="213"/>
    </row>
    <row r="27" spans="1:9" ht="15">
      <c r="A27" s="211" t="str">
        <f>HLOOKUP(INDICE!$F$2,Nombres!$C$3:$D$636,118,FALSE)</f>
        <v>Vista+Plazo</v>
      </c>
      <c r="B27" s="212">
        <f aca="true" t="shared" si="5" ref="B27:G27">+B23+B24</f>
        <v>23087.23405481192</v>
      </c>
      <c r="C27" s="212">
        <f t="shared" si="5"/>
        <v>26110.19873662987</v>
      </c>
      <c r="D27" s="212">
        <f t="shared" si="5"/>
        <v>30137.96399589025</v>
      </c>
      <c r="E27" s="212">
        <f t="shared" si="5"/>
        <v>32141.864696408687</v>
      </c>
      <c r="F27" s="212">
        <f t="shared" si="5"/>
        <v>36692.837778279296</v>
      </c>
      <c r="G27" s="212">
        <f t="shared" si="5"/>
        <v>49519.876</v>
      </c>
      <c r="H27" s="212">
        <f>+H23+H24</f>
        <v>0</v>
      </c>
      <c r="I27" s="212">
        <f>+I23+I24</f>
        <v>0</v>
      </c>
    </row>
    <row r="28" spans="1:9" ht="15.75">
      <c r="A28" s="206"/>
      <c r="B28" s="215">
        <f aca="true" t="shared" si="6" ref="B28:I28">+B23+B24+B25-B26</f>
        <v>0</v>
      </c>
      <c r="C28" s="215">
        <f t="shared" si="6"/>
        <v>0</v>
      </c>
      <c r="D28" s="215">
        <f t="shared" si="6"/>
        <v>0</v>
      </c>
      <c r="E28" s="215">
        <f t="shared" si="6"/>
        <v>0</v>
      </c>
      <c r="F28" s="215">
        <f t="shared" si="6"/>
        <v>0</v>
      </c>
      <c r="G28" s="215">
        <f t="shared" si="6"/>
        <v>0</v>
      </c>
      <c r="H28" s="215">
        <f t="shared" si="6"/>
        <v>0</v>
      </c>
      <c r="I28" s="215">
        <f t="shared" si="6"/>
        <v>0</v>
      </c>
    </row>
    <row r="29" spans="1:9" ht="15.75">
      <c r="A29" s="213"/>
      <c r="B29" s="215">
        <f>+B26-Turquia!B108-Turquia!B109-Turquia!B110</f>
        <v>0</v>
      </c>
      <c r="C29" s="215">
        <f>+C26-Turquia!C108-Turquia!C109-Turquia!C110</f>
        <v>0</v>
      </c>
      <c r="D29" s="215">
        <f>+D26-Turquia!D108-Turquia!D109-Turquia!D110</f>
        <v>3.865352482534945E-12</v>
      </c>
      <c r="E29" s="215">
        <f>+E26-Turquia!E108-Turquia!E109-Turquia!E110</f>
        <v>-4.547473508864641E-12</v>
      </c>
      <c r="F29" s="215">
        <f>+F26-Turquia!F108-Turquia!F109-Turquia!F110</f>
        <v>4.092726157978177E-12</v>
      </c>
      <c r="G29" s="215">
        <f>+G26-Turquia!G108-Turquia!G109-Turquia!G110</f>
        <v>0</v>
      </c>
      <c r="H29" s="215">
        <f>+H26-Turquia!H108-Turquia!H109-Turquia!H110</f>
        <v>0</v>
      </c>
      <c r="I29" s="215">
        <f>+I26-Turquia!I108-Turquia!I109-Turquia!I110</f>
        <v>0</v>
      </c>
    </row>
    <row r="30" spans="1:12" ht="15.75" customHeight="1">
      <c r="A30" s="209"/>
      <c r="B30" s="308" t="str">
        <f>HLOOKUP(INDICE!$F$2,Nombres!$C$3:$D$636,296,FALSE)</f>
        <v>Turquia solo Banco</v>
      </c>
      <c r="C30" s="308"/>
      <c r="D30" s="308"/>
      <c r="E30" s="308"/>
      <c r="F30" s="308"/>
      <c r="G30" s="308"/>
      <c r="H30" s="308"/>
      <c r="I30" s="308"/>
      <c r="L30" s="224"/>
    </row>
    <row r="31" spans="1:9" ht="15.75">
      <c r="A31" s="210"/>
      <c r="B31" s="118">
        <f aca="true" t="shared" si="7" ref="B31:I31">+B$4</f>
        <v>44651</v>
      </c>
      <c r="C31" s="118">
        <f t="shared" si="7"/>
        <v>44742</v>
      </c>
      <c r="D31" s="118">
        <f t="shared" si="7"/>
        <v>44834</v>
      </c>
      <c r="E31" s="118">
        <f t="shared" si="7"/>
        <v>44926</v>
      </c>
      <c r="F31" s="118">
        <f t="shared" si="7"/>
        <v>45016</v>
      </c>
      <c r="G31" s="118">
        <f t="shared" si="7"/>
        <v>45107</v>
      </c>
      <c r="H31" s="118">
        <f t="shared" si="7"/>
        <v>45199</v>
      </c>
      <c r="I31" s="118">
        <f t="shared" si="7"/>
        <v>45291</v>
      </c>
    </row>
    <row r="32" spans="1:9" ht="15">
      <c r="A32" s="211" t="str">
        <f>HLOOKUP(INDICE!$F$2,Nombres!$C$3:$D$636,289,FALSE)</f>
        <v>Depósitos Vista TL</v>
      </c>
      <c r="B32" s="212">
        <v>2119.1880717525414</v>
      </c>
      <c r="C32" s="212">
        <v>2615.956171452013</v>
      </c>
      <c r="D32" s="212">
        <v>3197.645164712444</v>
      </c>
      <c r="E32" s="212">
        <v>4015.7505009700053</v>
      </c>
      <c r="F32" s="212">
        <v>4444.659070119408</v>
      </c>
      <c r="G32" s="212">
        <v>4847.072262913077</v>
      </c>
      <c r="H32" s="212">
        <v>0</v>
      </c>
      <c r="I32" s="212">
        <v>0</v>
      </c>
    </row>
    <row r="33" spans="1:9" ht="15">
      <c r="A33" s="211" t="str">
        <f>HLOOKUP(INDICE!$F$2,Nombres!$C$3:$D$636,290,FALSE)</f>
        <v>Depósitos Plazo TL</v>
      </c>
      <c r="B33" s="212">
        <v>5923.5760843362805</v>
      </c>
      <c r="C33" s="212">
        <v>6751.894679497012</v>
      </c>
      <c r="D33" s="212">
        <v>8382.197230021206</v>
      </c>
      <c r="E33" s="212">
        <v>10792.55659434842</v>
      </c>
      <c r="F33" s="212">
        <v>15139.757718932575</v>
      </c>
      <c r="G33" s="212">
        <v>18708.12084340471</v>
      </c>
      <c r="H33" s="212">
        <v>0</v>
      </c>
      <c r="I33" s="212">
        <v>0</v>
      </c>
    </row>
    <row r="34" spans="1:9" ht="15">
      <c r="A34" s="213" t="str">
        <f>HLOOKUP(INDICE!$F$2,Nombres!$C$3:$D$636,291,FALSE)</f>
        <v>Total Depósitos TL</v>
      </c>
      <c r="B34" s="213">
        <v>8042.764156088822</v>
      </c>
      <c r="C34" s="213">
        <v>9367.850850949026</v>
      </c>
      <c r="D34" s="213">
        <v>11579.842394733649</v>
      </c>
      <c r="E34" s="213">
        <v>14808.307095318425</v>
      </c>
      <c r="F34" s="213">
        <v>19584.416789051986</v>
      </c>
      <c r="G34" s="213">
        <v>23555.193106317787</v>
      </c>
      <c r="H34" s="213">
        <v>0</v>
      </c>
      <c r="I34" s="213">
        <v>0</v>
      </c>
    </row>
    <row r="35" spans="1:9" ht="15">
      <c r="A35" s="211" t="str">
        <f>HLOOKUP(INDICE!$F$2,Nombres!$C$3:$D$636,292,FALSE)</f>
        <v>Depósitos Vista FC</v>
      </c>
      <c r="B35" s="212">
        <v>14138.929119504177</v>
      </c>
      <c r="C35" s="212">
        <v>13612.57072713801</v>
      </c>
      <c r="D35" s="212">
        <v>13446.719404971262</v>
      </c>
      <c r="E35" s="212">
        <v>13517.562650469374</v>
      </c>
      <c r="F35" s="212">
        <v>13277.945881735783</v>
      </c>
      <c r="G35" s="212">
        <v>13312.832644216078</v>
      </c>
      <c r="H35" s="212">
        <v>0</v>
      </c>
      <c r="I35" s="212">
        <v>0</v>
      </c>
    </row>
    <row r="36" spans="1:9" ht="15">
      <c r="A36" s="211" t="str">
        <f>HLOOKUP(INDICE!$F$2,Nombres!$C$3:$D$636,293,FALSE)</f>
        <v>Depósitos Plazo FC</v>
      </c>
      <c r="B36" s="212">
        <v>7506.94960858524</v>
      </c>
      <c r="C36" s="212">
        <v>7083.159852158593</v>
      </c>
      <c r="D36" s="212">
        <v>7336.268795704089</v>
      </c>
      <c r="E36" s="212">
        <v>4456.868839476841</v>
      </c>
      <c r="F36" s="212">
        <v>3234.864849709163</v>
      </c>
      <c r="G36" s="212">
        <v>2777.7537861567234</v>
      </c>
      <c r="H36" s="212">
        <v>0</v>
      </c>
      <c r="I36" s="212">
        <v>0</v>
      </c>
    </row>
    <row r="37" spans="1:9" ht="15">
      <c r="A37" s="213" t="str">
        <f>HLOOKUP(INDICE!$F$2,Nombres!$C$3:$D$636,294,FALSE)</f>
        <v>Total Depósitos FC</v>
      </c>
      <c r="B37" s="213">
        <v>21645.878728089414</v>
      </c>
      <c r="C37" s="213">
        <v>20695.730579296604</v>
      </c>
      <c r="D37" s="213">
        <v>20782.98820067535</v>
      </c>
      <c r="E37" s="213">
        <v>17974.431489946215</v>
      </c>
      <c r="F37" s="213">
        <v>16512.810731444944</v>
      </c>
      <c r="G37" s="213">
        <v>16090.5864303728</v>
      </c>
      <c r="H37" s="213">
        <v>0</v>
      </c>
      <c r="I37" s="213">
        <v>0</v>
      </c>
    </row>
    <row r="38" spans="1:9" ht="15">
      <c r="A38" s="221" t="str">
        <f>HLOOKUP(INDICE!$F$2,Nombres!$C$3:$D$636,295,FALSE)</f>
        <v>(TL Lira Turca FC Moneda Extranjera)</v>
      </c>
      <c r="B38" s="213"/>
      <c r="C38" s="213"/>
      <c r="D38" s="213"/>
      <c r="E38" s="213"/>
      <c r="F38" s="213"/>
      <c r="G38" s="213"/>
      <c r="H38" s="213"/>
      <c r="I38" s="213"/>
    </row>
    <row r="39" spans="1:9" ht="15.75" customHeight="1">
      <c r="A39" s="213"/>
      <c r="B39" s="213"/>
      <c r="C39" s="213"/>
      <c r="D39" s="213"/>
      <c r="E39" s="213"/>
      <c r="F39" s="213"/>
      <c r="G39" s="213"/>
      <c r="H39" s="213"/>
      <c r="I39" s="213"/>
    </row>
    <row r="40" spans="1:12" ht="15.75" customHeight="1">
      <c r="A40" s="209"/>
      <c r="B40" s="308" t="str">
        <f>HLOOKUP(INDICE!$F$2,Nombres!$C$3:$D$636,283,FALSE)</f>
        <v>América del Sur </v>
      </c>
      <c r="C40" s="308"/>
      <c r="D40" s="308"/>
      <c r="E40" s="308"/>
      <c r="F40" s="308"/>
      <c r="G40" s="308"/>
      <c r="H40" s="308"/>
      <c r="I40" s="308"/>
      <c r="L40" s="224"/>
    </row>
    <row r="41" spans="1:9" ht="15.75">
      <c r="A41" s="210"/>
      <c r="B41" s="118">
        <f aca="true" t="shared" si="8" ref="B41:I41">+B$4</f>
        <v>44651</v>
      </c>
      <c r="C41" s="118">
        <f t="shared" si="8"/>
        <v>44742</v>
      </c>
      <c r="D41" s="118">
        <f t="shared" si="8"/>
        <v>44834</v>
      </c>
      <c r="E41" s="118">
        <f t="shared" si="8"/>
        <v>44926</v>
      </c>
      <c r="F41" s="118">
        <f t="shared" si="8"/>
        <v>45016</v>
      </c>
      <c r="G41" s="118">
        <f t="shared" si="8"/>
        <v>45107</v>
      </c>
      <c r="H41" s="118">
        <f t="shared" si="8"/>
        <v>45199</v>
      </c>
      <c r="I41" s="118">
        <f t="shared" si="8"/>
        <v>45291</v>
      </c>
    </row>
    <row r="42" spans="1:12" ht="15">
      <c r="A42" s="211" t="s">
        <v>6</v>
      </c>
      <c r="B42" s="212">
        <v>3737.680744204808</v>
      </c>
      <c r="C42" s="212">
        <v>4421.339409745975</v>
      </c>
      <c r="D42" s="212">
        <v>5019.922671287561</v>
      </c>
      <c r="E42" s="212">
        <v>6274.0373666109745</v>
      </c>
      <c r="F42" s="212">
        <v>7506.000375170016</v>
      </c>
      <c r="G42" s="212">
        <v>9463.20185729</v>
      </c>
      <c r="H42" s="212">
        <v>0</v>
      </c>
      <c r="I42" s="212">
        <v>0</v>
      </c>
      <c r="L42" s="211"/>
    </row>
    <row r="43" spans="1:12" ht="15">
      <c r="A43" s="211" t="s">
        <v>7</v>
      </c>
      <c r="B43" s="212">
        <v>15.508003034464117</v>
      </c>
      <c r="C43" s="212">
        <v>11.90806627228551</v>
      </c>
      <c r="D43" s="212">
        <v>9.595874295687562</v>
      </c>
      <c r="E43" s="212">
        <v>7.0128800125425785</v>
      </c>
      <c r="F43" s="212">
        <v>8.237504944935687</v>
      </c>
      <c r="G43" s="212">
        <v>5.597</v>
      </c>
      <c r="H43" s="212">
        <v>0</v>
      </c>
      <c r="I43" s="212">
        <v>0</v>
      </c>
      <c r="L43" s="211"/>
    </row>
    <row r="44" spans="1:12" ht="15">
      <c r="A44" s="211" t="s">
        <v>8</v>
      </c>
      <c r="B44" s="212">
        <v>14636.180532604116</v>
      </c>
      <c r="C44" s="212">
        <v>16568.76177716386</v>
      </c>
      <c r="D44" s="212">
        <v>16295.851186369744</v>
      </c>
      <c r="E44" s="212">
        <v>17007.953123142674</v>
      </c>
      <c r="F44" s="212">
        <v>17725.382405775563</v>
      </c>
      <c r="G44" s="212">
        <v>17345.076100619997</v>
      </c>
      <c r="H44" s="212">
        <v>0</v>
      </c>
      <c r="I44" s="212">
        <v>0</v>
      </c>
      <c r="L44" s="211"/>
    </row>
    <row r="45" spans="1:12" ht="15">
      <c r="A45" s="211" t="s">
        <v>9</v>
      </c>
      <c r="B45" s="212">
        <v>17251.448868538733</v>
      </c>
      <c r="C45" s="212">
        <v>17524.14905097439</v>
      </c>
      <c r="D45" s="212">
        <v>19366.385269205126</v>
      </c>
      <c r="E45" s="212">
        <v>18198.111301425073</v>
      </c>
      <c r="F45" s="212">
        <v>18559.64040082722</v>
      </c>
      <c r="G45" s="212">
        <v>18315.76079908</v>
      </c>
      <c r="H45" s="212">
        <v>0</v>
      </c>
      <c r="I45" s="212">
        <v>0</v>
      </c>
      <c r="L45" s="211"/>
    </row>
    <row r="46" spans="1:12" ht="15">
      <c r="A46" s="211" t="s">
        <v>10</v>
      </c>
      <c r="B46" s="212">
        <f aca="true" t="shared" si="9" ref="B46:G46">+B47-B45-B44-B43-B42</f>
        <v>15500.564530712127</v>
      </c>
      <c r="C46" s="212">
        <f t="shared" si="9"/>
        <v>15642.972856567889</v>
      </c>
      <c r="D46" s="212">
        <f t="shared" si="9"/>
        <v>15908.68977165762</v>
      </c>
      <c r="E46" s="212">
        <f t="shared" si="9"/>
        <v>15661.370955053153</v>
      </c>
      <c r="F46" s="212">
        <f t="shared" si="9"/>
        <v>15742.070216434819</v>
      </c>
      <c r="G46" s="212">
        <f t="shared" si="9"/>
        <v>3881.087768020003</v>
      </c>
      <c r="H46" s="212">
        <f>+H47-H45-H44-H43-H42</f>
        <v>0</v>
      </c>
      <c r="I46" s="212">
        <f>+I47-I45-I44-I43-I42</f>
        <v>0</v>
      </c>
      <c r="L46" s="211"/>
    </row>
    <row r="47" spans="1:12" ht="15">
      <c r="A47" s="213" t="str">
        <f>HLOOKUP(INDICE!$F$2,Nombres!$C$3:$D$636,208,FALSE)</f>
        <v> Recursos de clientes en gestión (**)</v>
      </c>
      <c r="B47" s="213">
        <v>51141.38267909425</v>
      </c>
      <c r="C47" s="213">
        <v>54169.1311607244</v>
      </c>
      <c r="D47" s="213">
        <v>56600.44477281573</v>
      </c>
      <c r="E47" s="213">
        <v>57148.485626244415</v>
      </c>
      <c r="F47" s="213">
        <v>59541.33090315256</v>
      </c>
      <c r="G47" s="213">
        <v>49010.72352501</v>
      </c>
      <c r="H47" s="213">
        <v>0</v>
      </c>
      <c r="I47" s="213">
        <v>0</v>
      </c>
      <c r="L47" s="213"/>
    </row>
    <row r="48" spans="1:9" ht="15.75">
      <c r="A48" s="206"/>
      <c r="B48" s="215">
        <f aca="true" t="shared" si="10" ref="B48:I48">+B42+B43+B44+B45+B46-B47</f>
        <v>0</v>
      </c>
      <c r="C48" s="215">
        <f t="shared" si="10"/>
        <v>0</v>
      </c>
      <c r="D48" s="215">
        <f t="shared" si="10"/>
        <v>0</v>
      </c>
      <c r="E48" s="215">
        <f t="shared" si="10"/>
        <v>0</v>
      </c>
      <c r="F48" s="215">
        <f t="shared" si="10"/>
        <v>0</v>
      </c>
      <c r="G48" s="215">
        <f t="shared" si="10"/>
        <v>0</v>
      </c>
      <c r="H48" s="215">
        <f t="shared" si="10"/>
        <v>0</v>
      </c>
      <c r="I48" s="215">
        <f t="shared" si="10"/>
        <v>0</v>
      </c>
    </row>
    <row r="51" ht="15">
      <c r="A51" s="223" t="str">
        <f>HLOOKUP(INDICE!$F$2,Nombres!$C$3:$D$636,206,FALSE)</f>
        <v>Incluye fondos de inversión, carteras gestionadas , fondos de pensiones y otros recursos fuera de balance.(*)</v>
      </c>
    </row>
    <row r="52" ht="15">
      <c r="A52" s="223" t="str">
        <f>HLOOKUP(INDICE!$F$2,Nombres!$C$3:$D$636,207,FALSE)</f>
        <v>No incluye las cesiones temporales de activos.  (**)</v>
      </c>
    </row>
    <row r="53" ht="15">
      <c r="A53" s="223"/>
    </row>
    <row r="54" spans="2:9" ht="15">
      <c r="B54" s="293"/>
      <c r="C54" s="293"/>
      <c r="D54" s="293"/>
      <c r="E54" s="293"/>
      <c r="F54" s="293"/>
      <c r="G54" s="293"/>
      <c r="H54" s="293"/>
      <c r="I54" s="293"/>
    </row>
    <row r="55" spans="2:9" ht="15.75">
      <c r="B55" s="215">
        <f>+B42-Argentina!B108-Argentina!B109-Argentina!B110-Argentina!B111</f>
        <v>0</v>
      </c>
      <c r="C55" s="215">
        <f>+C42-Argentina!C108-Argentina!C109-Argentina!C110-Argentina!C111</f>
        <v>-5.684341886080801E-13</v>
      </c>
      <c r="D55" s="215">
        <f>+D42-Argentina!D108-Argentina!D109-Argentina!D110-Argentina!D111</f>
        <v>0</v>
      </c>
      <c r="E55" s="215">
        <f>+E42-Argentina!E108-Argentina!E109-Argentina!E110-Argentina!E111</f>
        <v>4.547473508864641E-13</v>
      </c>
      <c r="F55" s="215">
        <f>+F42-Argentina!F108-Argentina!F109-Argentina!F110-Argentina!F111</f>
        <v>-4.547473508864641E-13</v>
      </c>
      <c r="G55" s="215">
        <f>+G42-Argentina!G108-Argentina!G109-Argentina!G110-Argentina!G111</f>
        <v>0</v>
      </c>
      <c r="H55" s="215">
        <f>+H42-Argentina!H108-Argentina!H109-Argentina!H110-Argentina!H111</f>
        <v>0</v>
      </c>
      <c r="I55" s="215">
        <f>+I42-Argentina!I108-Argentina!I109-Argentina!I110-Argentina!I111</f>
        <v>0</v>
      </c>
    </row>
    <row r="56" spans="2:9" ht="15.75">
      <c r="B56" s="215">
        <f>+B43-Chile!B108-Chile!B109-Chile!B110-Chile!B111</f>
        <v>0</v>
      </c>
      <c r="C56" s="215">
        <f>+C43-Chile!C108-Chile!C109-Chile!C110-Chile!C111</f>
        <v>0</v>
      </c>
      <c r="D56" s="215">
        <f>+D43-Chile!D108-Chile!D109-Chile!D110-Chile!D111</f>
        <v>0</v>
      </c>
      <c r="E56" s="215">
        <f>+E43-Chile!E108-Chile!E109-Chile!E110-Chile!E111</f>
        <v>0</v>
      </c>
      <c r="F56" s="215">
        <f>+F43-Chile!F108-Chile!F109-Chile!F110-Chile!F111</f>
        <v>0</v>
      </c>
      <c r="G56" s="215">
        <f>+G43-Chile!G108-Chile!G109-Chile!G110-Chile!G111</f>
        <v>0</v>
      </c>
      <c r="H56" s="215">
        <f>+H43-Chile!H108-Chile!H109-Chile!H110-Chile!H111</f>
        <v>0</v>
      </c>
      <c r="I56" s="215">
        <f>+I43-Chile!I108-Chile!I109-Chile!I110-Chile!I111</f>
        <v>0</v>
      </c>
    </row>
    <row r="57" spans="2:9" ht="15.75">
      <c r="B57" s="215">
        <f>+B44-Colombia!B108-Colombia!B109-Colombia!B110-Colombia!B111</f>
        <v>4.092726157978177E-12</v>
      </c>
      <c r="C57" s="215">
        <f>+C44-Colombia!C108-Colombia!C109-Colombia!C110-Colombia!C111</f>
        <v>9.094947017729282E-13</v>
      </c>
      <c r="D57" s="215">
        <f>+D44-Colombia!D108-Colombia!D109-Colombia!D110-Colombia!D111</f>
        <v>1.8189894035458565E-12</v>
      </c>
      <c r="E57" s="215">
        <f>+E44-Colombia!E108-Colombia!E109-Colombia!E110-Colombia!E111</f>
        <v>2.2737367544323206E-12</v>
      </c>
      <c r="F57" s="215">
        <f>+F44-Colombia!F108-Colombia!F109-Colombia!F110-Colombia!F111</f>
        <v>1.3642420526593924E-12</v>
      </c>
      <c r="G57" s="215">
        <f>+G44-Colombia!G108-Colombia!G109-Colombia!G110-Colombia!G111</f>
        <v>-3.637978807091713E-12</v>
      </c>
      <c r="H57" s="215">
        <f>+H44-Colombia!H108-Colombia!H109-Colombia!H110-Colombia!H111</f>
        <v>0</v>
      </c>
      <c r="I57" s="215">
        <f>+I44-Colombia!I108-Colombia!I109-Colombia!I110-Colombia!I111</f>
        <v>0</v>
      </c>
    </row>
    <row r="58" spans="2:9" ht="15.75">
      <c r="B58" s="215">
        <f>+B45-Peru!B108-Peru!B109-Peru!B110-Peru!B111</f>
        <v>-1.3642420526593924E-12</v>
      </c>
      <c r="C58" s="215">
        <f>+C45-Peru!C108-Peru!C109-Peru!C110-Peru!C111</f>
        <v>2.5011104298755527E-12</v>
      </c>
      <c r="D58" s="215">
        <f>+D45-Peru!D108-Peru!D109-Peru!D110-Peru!D111</f>
        <v>-5.4569682106375694E-12</v>
      </c>
      <c r="E58" s="215">
        <f>+E45-Peru!E108-Peru!E109-Peru!E110-Peru!E111</f>
        <v>1.5916157281026244E-12</v>
      </c>
      <c r="F58" s="215">
        <f>+F45-Peru!F108-Peru!F109-Peru!F110-Peru!F111</f>
        <v>-1.8189894035458565E-12</v>
      </c>
      <c r="G58" s="215">
        <f>+G45-Peru!G108-Peru!G109-Peru!G110-Peru!G111</f>
        <v>6.821210263296962E-13</v>
      </c>
      <c r="H58" s="215">
        <f>+H45-Peru!H108-Peru!H109-Peru!H110-Peru!H111</f>
        <v>0</v>
      </c>
      <c r="I58" s="215">
        <f>+I45-Peru!I108-Peru!I109-Peru!I110-Peru!I111</f>
        <v>0</v>
      </c>
    </row>
    <row r="59" spans="2:9" ht="15.75">
      <c r="B59" s="215">
        <f>+B47-AdS!B108-AdS!B109-AdS!B110-AdS!B111</f>
        <v>7.275957614183426E-12</v>
      </c>
      <c r="C59" s="215">
        <f>+C47-AdS!C108-AdS!C109-AdS!C110-AdS!C111</f>
        <v>1.8189894035458565E-12</v>
      </c>
      <c r="D59" s="215">
        <f>+D47-AdS!D108-AdS!D109-AdS!D110-AdS!D111</f>
        <v>3.637978807091713E-12</v>
      </c>
      <c r="E59" s="215">
        <f>+E47-AdS!E108-AdS!E109-AdS!E110-AdS!E111</f>
        <v>3.637978807091713E-12</v>
      </c>
      <c r="F59" s="215">
        <f>+F47-AdS!F108-AdS!F109-AdS!F110-AdS!F111</f>
        <v>7.275957614183426E-12</v>
      </c>
      <c r="G59" s="215">
        <f>+G47-AdS!G108-AdS!G109-AdS!G110-AdS!G111</f>
        <v>9.094947017729282E-13</v>
      </c>
      <c r="H59" s="215">
        <f>+H47-AdS!H108-AdS!H109-AdS!H110-AdS!H111</f>
        <v>0</v>
      </c>
      <c r="I59" s="215">
        <f>+I47-AdS!I108-AdS!I109-AdS!I110-AdS!I111</f>
        <v>0</v>
      </c>
    </row>
    <row r="60" spans="2:9" ht="15">
      <c r="B60" s="293"/>
      <c r="C60" s="293"/>
      <c r="D60" s="293"/>
      <c r="E60" s="293"/>
      <c r="F60" s="293"/>
      <c r="G60" s="293"/>
      <c r="H60" s="293"/>
      <c r="I60" s="293"/>
    </row>
    <row r="61" spans="2:9" ht="15">
      <c r="B61" s="293"/>
      <c r="C61" s="293"/>
      <c r="D61" s="293"/>
      <c r="E61" s="293"/>
      <c r="F61" s="293"/>
      <c r="G61" s="293"/>
      <c r="H61" s="293"/>
      <c r="I61" s="293"/>
    </row>
    <row r="62" spans="2:9" ht="15">
      <c r="B62" s="293"/>
      <c r="C62" s="293"/>
      <c r="D62" s="293"/>
      <c r="E62" s="293"/>
      <c r="F62" s="293"/>
      <c r="G62" s="293"/>
      <c r="H62" s="293"/>
      <c r="I62" s="293"/>
    </row>
    <row r="63" spans="2:9" ht="15">
      <c r="B63" s="293"/>
      <c r="C63" s="293"/>
      <c r="D63" s="293"/>
      <c r="E63" s="293"/>
      <c r="F63" s="293"/>
      <c r="G63" s="293"/>
      <c r="H63" s="293"/>
      <c r="I63" s="293"/>
    </row>
    <row r="64" spans="2:9" ht="15">
      <c r="B64" s="293"/>
      <c r="C64" s="293"/>
      <c r="D64" s="293"/>
      <c r="E64" s="293"/>
      <c r="F64" s="293"/>
      <c r="G64" s="293"/>
      <c r="H64" s="293"/>
      <c r="I64" s="293"/>
    </row>
    <row r="65" spans="2:9" ht="15">
      <c r="B65" s="293"/>
      <c r="C65" s="293"/>
      <c r="D65" s="293"/>
      <c r="E65" s="293"/>
      <c r="F65" s="293"/>
      <c r="G65" s="293"/>
      <c r="H65" s="293"/>
      <c r="I65" s="293"/>
    </row>
    <row r="1001" ht="15">
      <c r="A1001" s="205" t="s">
        <v>391</v>
      </c>
    </row>
  </sheetData>
  <sheetProtection/>
  <mergeCells count="5">
    <mergeCell ref="B3:I3"/>
    <mergeCell ref="B12:I12"/>
    <mergeCell ref="B21:I21"/>
    <mergeCell ref="B30:I30"/>
    <mergeCell ref="B40:I40"/>
  </mergeCells>
  <conditionalFormatting sqref="H10:I10">
    <cfRule type="cellIs" priority="18" dxfId="196" operator="notBetween">
      <formula>0.5</formula>
      <formula>-0.5</formula>
    </cfRule>
  </conditionalFormatting>
  <conditionalFormatting sqref="H19:I19">
    <cfRule type="cellIs" priority="17" dxfId="196" operator="notBetween">
      <formula>0.5</formula>
      <formula>-0.5</formula>
    </cfRule>
  </conditionalFormatting>
  <conditionalFormatting sqref="H28:I28">
    <cfRule type="cellIs" priority="16" dxfId="196" operator="notBetween">
      <formula>0.5</formula>
      <formula>-0.5</formula>
    </cfRule>
  </conditionalFormatting>
  <conditionalFormatting sqref="H48:I48">
    <cfRule type="cellIs" priority="15" dxfId="196" operator="notBetween">
      <formula>0.5</formula>
      <formula>-0.5</formula>
    </cfRule>
  </conditionalFormatting>
  <conditionalFormatting sqref="H11:I11">
    <cfRule type="cellIs" priority="13" dxfId="196" operator="notBetween">
      <formula>0.5</formula>
      <formula>-0.5</formula>
    </cfRule>
  </conditionalFormatting>
  <conditionalFormatting sqref="H20:I20">
    <cfRule type="cellIs" priority="12" dxfId="196" operator="notBetween">
      <formula>0.5</formula>
      <formula>-0.5</formula>
    </cfRule>
  </conditionalFormatting>
  <conditionalFormatting sqref="H29:I29">
    <cfRule type="cellIs" priority="11" dxfId="196" operator="notBetween">
      <formula>0.5</formula>
      <formula>-0.5</formula>
    </cfRule>
  </conditionalFormatting>
  <conditionalFormatting sqref="H55:I59">
    <cfRule type="cellIs" priority="10" dxfId="196" operator="notBetween">
      <formula>0.5</formula>
      <formula>-0.5</formula>
    </cfRule>
  </conditionalFormatting>
  <conditionalFormatting sqref="B10:G10">
    <cfRule type="cellIs" priority="9" dxfId="196" operator="notBetween">
      <formula>0.5</formula>
      <formula>-0.5</formula>
    </cfRule>
  </conditionalFormatting>
  <conditionalFormatting sqref="B19:G19">
    <cfRule type="cellIs" priority="8" dxfId="196" operator="notBetween">
      <formula>0.5</formula>
      <formula>-0.5</formula>
    </cfRule>
  </conditionalFormatting>
  <conditionalFormatting sqref="B28:G28">
    <cfRule type="cellIs" priority="7" dxfId="196" operator="notBetween">
      <formula>0.5</formula>
      <formula>-0.5</formula>
    </cfRule>
  </conditionalFormatting>
  <conditionalFormatting sqref="B48:G48">
    <cfRule type="cellIs" priority="6" dxfId="196" operator="notBetween">
      <formula>0.5</formula>
      <formula>-0.5</formula>
    </cfRule>
  </conditionalFormatting>
  <conditionalFormatting sqref="B11">
    <cfRule type="cellIs" priority="5" dxfId="196" operator="notBetween">
      <formula>0.5</formula>
      <formula>-0.5</formula>
    </cfRule>
  </conditionalFormatting>
  <conditionalFormatting sqref="C11:G11">
    <cfRule type="cellIs" priority="4" dxfId="196" operator="notBetween">
      <formula>0.5</formula>
      <formula>-0.5</formula>
    </cfRule>
  </conditionalFormatting>
  <conditionalFormatting sqref="B20:G20">
    <cfRule type="cellIs" priority="3" dxfId="196" operator="notBetween">
      <formula>0.5</formula>
      <formula>-0.5</formula>
    </cfRule>
  </conditionalFormatting>
  <conditionalFormatting sqref="B29:G29">
    <cfRule type="cellIs" priority="2" dxfId="196" operator="notBetween">
      <formula>0.5</formula>
      <formula>-0.5</formula>
    </cfRule>
  </conditionalFormatting>
  <conditionalFormatting sqref="B55:G59">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 min="8" max="9" width="0" style="0" hidden="1" customWidth="1"/>
  </cols>
  <sheetData>
    <row r="1" spans="1:9" ht="18">
      <c r="A1" s="252" t="str">
        <f>HLOOKUP(INDICE!$F$2,Nombres!$C$3:$D$636,242,FALSE)</f>
        <v>Carteras Coap</v>
      </c>
      <c r="B1" s="203"/>
      <c r="C1" s="203"/>
      <c r="D1" s="203"/>
      <c r="E1" s="203"/>
      <c r="F1" s="203"/>
      <c r="G1" s="203"/>
      <c r="H1" s="203"/>
      <c r="I1" s="203"/>
    </row>
    <row r="2" spans="1:9" ht="15.75">
      <c r="A2" s="83" t="str">
        <f>HLOOKUP(INDICE!$F$2,Nombres!$C$3:$D$636,32,FALSE)</f>
        <v>(Millones de euros)</v>
      </c>
      <c r="B2" s="206"/>
      <c r="C2" s="206"/>
      <c r="D2" s="206"/>
      <c r="E2" s="206"/>
      <c r="F2" s="206"/>
      <c r="G2" s="205"/>
      <c r="H2" s="205"/>
      <c r="I2" s="205"/>
    </row>
    <row r="3" spans="1:9" ht="15.75">
      <c r="A3" s="208"/>
      <c r="B3" s="206"/>
      <c r="C3" s="206"/>
      <c r="D3" s="206"/>
      <c r="E3" s="206"/>
      <c r="F3" s="206"/>
      <c r="G3" s="205"/>
      <c r="H3" s="205"/>
      <c r="I3" s="205"/>
    </row>
    <row r="4" spans="1:9" ht="15.75" customHeight="1">
      <c r="A4" s="209"/>
      <c r="B4" s="309" t="str">
        <f>HLOOKUP(INDICE!$F$2,Nombres!$C$3:$D$636,239,FALSE)</f>
        <v>Total Cartera COAP</v>
      </c>
      <c r="C4" s="308"/>
      <c r="D4" s="308"/>
      <c r="E4" s="308"/>
      <c r="F4" s="308"/>
      <c r="G4" s="308"/>
      <c r="H4" s="308"/>
      <c r="I4" s="308"/>
    </row>
    <row r="5" spans="1:9" ht="15.75">
      <c r="A5" s="210"/>
      <c r="B5" s="118">
        <f>+España!B32</f>
        <v>44651</v>
      </c>
      <c r="C5" s="118">
        <f>+España!C32</f>
        <v>44742</v>
      </c>
      <c r="D5" s="118">
        <f>+España!D32</f>
        <v>44834</v>
      </c>
      <c r="E5" s="118">
        <f>+España!E32</f>
        <v>44926</v>
      </c>
      <c r="F5" s="118">
        <f>+España!F32</f>
        <v>45016</v>
      </c>
      <c r="G5" s="118">
        <f>+España!G32</f>
        <v>45107</v>
      </c>
      <c r="H5" s="118">
        <f>+España!H32</f>
        <v>45199</v>
      </c>
      <c r="I5" s="118">
        <f>+España!I32</f>
        <v>45291</v>
      </c>
    </row>
    <row r="6" spans="1:9" ht="15">
      <c r="A6" s="253" t="str">
        <f>HLOOKUP(INDICE!$F$2,Nombres!$C$3:$D$636,230,FALSE)</f>
        <v>Grupo BBVA</v>
      </c>
      <c r="B6" s="214">
        <v>51977</v>
      </c>
      <c r="C6" s="214">
        <v>54356</v>
      </c>
      <c r="D6" s="214">
        <v>57778</v>
      </c>
      <c r="E6" s="214">
        <v>57887</v>
      </c>
      <c r="F6" s="214">
        <v>63661</v>
      </c>
      <c r="G6" s="214">
        <v>67469</v>
      </c>
      <c r="H6" s="214">
        <v>0</v>
      </c>
      <c r="I6" s="214">
        <v>0</v>
      </c>
    </row>
    <row r="7" spans="1:9" ht="15">
      <c r="A7" s="254" t="str">
        <f>HLOOKUP(INDICE!$F$2,Nombres!$C$3:$D$636,231,FALSE)</f>
        <v>Balance Euro</v>
      </c>
      <c r="B7" s="212">
        <v>28795</v>
      </c>
      <c r="C7" s="212">
        <v>29645</v>
      </c>
      <c r="D7" s="212">
        <v>29984</v>
      </c>
      <c r="E7" s="212">
        <v>30220</v>
      </c>
      <c r="F7" s="212">
        <v>32852</v>
      </c>
      <c r="G7" s="212">
        <v>35494</v>
      </c>
      <c r="H7" s="212">
        <v>0</v>
      </c>
      <c r="I7" s="212">
        <v>0</v>
      </c>
    </row>
    <row r="8" spans="1:9" ht="15">
      <c r="A8" s="255" t="str">
        <f>HLOOKUP(INDICE!$F$2,Nombres!$C$3:$D$636,232,FALSE)</f>
        <v>España</v>
      </c>
      <c r="B8" s="212">
        <v>16867</v>
      </c>
      <c r="C8" s="212">
        <v>17694</v>
      </c>
      <c r="D8" s="212">
        <v>18161</v>
      </c>
      <c r="E8" s="212">
        <v>18607</v>
      </c>
      <c r="F8" s="212">
        <v>20119</v>
      </c>
      <c r="G8" s="212">
        <v>22482</v>
      </c>
      <c r="H8" s="212">
        <v>0</v>
      </c>
      <c r="I8" s="212">
        <v>0</v>
      </c>
    </row>
    <row r="9" spans="1:9" ht="15">
      <c r="A9" s="255" t="str">
        <f>HLOOKUP(INDICE!$F$2,Nombres!$C$3:$D$636,233,FALSE)</f>
        <v>Italia</v>
      </c>
      <c r="B9" s="212">
        <v>8254</v>
      </c>
      <c r="C9" s="212">
        <v>8242</v>
      </c>
      <c r="D9" s="212">
        <v>7722</v>
      </c>
      <c r="E9" s="212">
        <v>7399</v>
      </c>
      <c r="F9" s="212">
        <v>7386</v>
      </c>
      <c r="G9" s="212">
        <v>7375</v>
      </c>
      <c r="H9" s="212">
        <v>0</v>
      </c>
      <c r="I9" s="212">
        <v>0</v>
      </c>
    </row>
    <row r="10" spans="1:9" ht="15">
      <c r="A10" s="256" t="str">
        <f>HLOOKUP(INDICE!$F$2,Nombres!$C$3:$D$636,234,FALSE)</f>
        <v>Resto</v>
      </c>
      <c r="B10" s="257">
        <v>3674</v>
      </c>
      <c r="C10" s="257">
        <v>3709</v>
      </c>
      <c r="D10" s="257">
        <v>4100</v>
      </c>
      <c r="E10" s="257">
        <v>4214</v>
      </c>
      <c r="F10" s="257">
        <v>5347</v>
      </c>
      <c r="G10" s="257">
        <v>5637</v>
      </c>
      <c r="H10" s="257">
        <v>0</v>
      </c>
      <c r="I10" s="257">
        <v>0</v>
      </c>
    </row>
    <row r="11" spans="1:9" ht="15">
      <c r="A11" s="254" t="str">
        <f>HLOOKUP(INDICE!$F$2,Nombres!$C$3:$D$636,236,FALSE)</f>
        <v>Turquia</v>
      </c>
      <c r="B11" s="212">
        <v>6704</v>
      </c>
      <c r="C11" s="212">
        <v>7310</v>
      </c>
      <c r="D11" s="212">
        <v>8434</v>
      </c>
      <c r="E11" s="212">
        <v>8476</v>
      </c>
      <c r="F11" s="257">
        <v>10176</v>
      </c>
      <c r="G11" s="212">
        <v>8070</v>
      </c>
      <c r="H11" s="212">
        <v>0</v>
      </c>
      <c r="I11" s="212">
        <v>0</v>
      </c>
    </row>
    <row r="12" spans="1:9" ht="15">
      <c r="A12" s="254" t="str">
        <f>HLOOKUP(INDICE!$F$2,Nombres!$C$3:$D$636,237,FALSE)</f>
        <v>Mexico</v>
      </c>
      <c r="B12" s="212">
        <v>10501</v>
      </c>
      <c r="C12" s="212">
        <v>10754</v>
      </c>
      <c r="D12" s="212">
        <v>12256</v>
      </c>
      <c r="E12" s="212">
        <v>12427</v>
      </c>
      <c r="F12" s="257">
        <v>14381</v>
      </c>
      <c r="G12" s="212">
        <v>17258</v>
      </c>
      <c r="H12" s="212">
        <v>0</v>
      </c>
      <c r="I12" s="212">
        <v>0</v>
      </c>
    </row>
    <row r="13" spans="1:9" ht="15">
      <c r="A13" s="254" t="str">
        <f>HLOOKUP(INDICE!$F$2,Nombres!$C$3:$D$636,238,FALSE)</f>
        <v>Amércia del Sur</v>
      </c>
      <c r="B13" s="212">
        <v>5977</v>
      </c>
      <c r="C13" s="212">
        <v>6647</v>
      </c>
      <c r="D13" s="212">
        <v>7104</v>
      </c>
      <c r="E13" s="212">
        <v>6764</v>
      </c>
      <c r="F13" s="257">
        <v>6252</v>
      </c>
      <c r="G13" s="212">
        <v>6647</v>
      </c>
      <c r="H13" s="212">
        <v>0</v>
      </c>
      <c r="I13" s="212">
        <v>0</v>
      </c>
    </row>
    <row r="14" spans="1:9" ht="15">
      <c r="A14" s="299"/>
      <c r="B14" s="258">
        <f aca="true" t="shared" si="0" ref="B14:G14">+B6-B8-B9-B10-B11-B12-B13</f>
        <v>0</v>
      </c>
      <c r="C14" s="258">
        <f t="shared" si="0"/>
        <v>0</v>
      </c>
      <c r="D14" s="258">
        <f t="shared" si="0"/>
        <v>1</v>
      </c>
      <c r="E14" s="258">
        <f t="shared" si="0"/>
        <v>0</v>
      </c>
      <c r="F14" s="258">
        <f t="shared" si="0"/>
        <v>0</v>
      </c>
      <c r="G14" s="258">
        <f t="shared" si="0"/>
        <v>0</v>
      </c>
      <c r="H14" s="258">
        <f>+H6-H8-H9-H10-H11-H12-H13</f>
        <v>0</v>
      </c>
      <c r="I14" s="258" t="e">
        <f>+I6-I8-I9-I10-#REF!-I11-I12-I13</f>
        <v>#REF!</v>
      </c>
    </row>
    <row r="15" spans="1:9" ht="15">
      <c r="A15" s="299"/>
      <c r="B15" s="258"/>
      <c r="C15" s="258"/>
      <c r="D15" s="258"/>
      <c r="E15" s="258"/>
      <c r="F15" s="258"/>
      <c r="G15" s="258"/>
      <c r="H15" s="258"/>
      <c r="I15" s="258"/>
    </row>
    <row r="16" spans="1:9" ht="15">
      <c r="A16" s="299"/>
      <c r="B16" s="258"/>
      <c r="C16" s="258"/>
      <c r="D16" s="258"/>
      <c r="E16" s="258"/>
      <c r="F16" s="258"/>
      <c r="G16" s="258"/>
      <c r="H16" s="258"/>
      <c r="I16" s="258"/>
    </row>
    <row r="17" spans="1:9" ht="15.75" customHeight="1">
      <c r="A17" s="209"/>
      <c r="B17" s="309" t="str">
        <f>HLOOKUP(INDICE!$F$2,Nombres!$C$3:$D$636,240,FALSE)</f>
        <v>Cartera COAP a Coste Amortizado</v>
      </c>
      <c r="C17" s="308"/>
      <c r="D17" s="308"/>
      <c r="E17" s="308"/>
      <c r="F17" s="308"/>
      <c r="G17" s="308"/>
      <c r="H17" s="308"/>
      <c r="I17" s="308"/>
    </row>
    <row r="18" spans="1:9" ht="15.75" customHeight="1">
      <c r="A18" s="210"/>
      <c r="B18" s="118">
        <f aca="true" t="shared" si="1" ref="B18:G18">+B$5</f>
        <v>44651</v>
      </c>
      <c r="C18" s="118">
        <f t="shared" si="1"/>
        <v>44742</v>
      </c>
      <c r="D18" s="118">
        <f t="shared" si="1"/>
        <v>44834</v>
      </c>
      <c r="E18" s="118">
        <f t="shared" si="1"/>
        <v>44926</v>
      </c>
      <c r="F18" s="118">
        <f t="shared" si="1"/>
        <v>45016</v>
      </c>
      <c r="G18" s="118">
        <f t="shared" si="1"/>
        <v>45107</v>
      </c>
      <c r="H18" s="118">
        <f>+H$5</f>
        <v>45199</v>
      </c>
      <c r="I18" s="118">
        <f>+I$5</f>
        <v>45291</v>
      </c>
    </row>
    <row r="19" spans="1:9" ht="15">
      <c r="A19" s="253" t="str">
        <f>HLOOKUP(INDICE!$F$2,Nombres!$C$3:$D$636,230,FALSE)</f>
        <v>Grupo BBVA</v>
      </c>
      <c r="B19" s="214">
        <v>20629.094219</v>
      </c>
      <c r="C19" s="214">
        <v>22021</v>
      </c>
      <c r="D19" s="214">
        <v>24903</v>
      </c>
      <c r="E19" s="214">
        <v>26781</v>
      </c>
      <c r="F19" s="214">
        <v>33011</v>
      </c>
      <c r="G19" s="214">
        <v>34894</v>
      </c>
      <c r="H19" s="214">
        <v>0</v>
      </c>
      <c r="I19" s="214">
        <v>0</v>
      </c>
    </row>
    <row r="20" spans="1:9" ht="15">
      <c r="A20" s="254" t="str">
        <f>HLOOKUP(INDICE!$F$2,Nombres!$C$3:$D$636,231,FALSE)</f>
        <v>Balance Euro</v>
      </c>
      <c r="B20" s="212">
        <v>14488.094219</v>
      </c>
      <c r="C20" s="212">
        <v>14959</v>
      </c>
      <c r="D20" s="212">
        <v>15735</v>
      </c>
      <c r="E20" s="212">
        <v>16836</v>
      </c>
      <c r="F20" s="212">
        <v>19542</v>
      </c>
      <c r="G20" s="212">
        <v>21872</v>
      </c>
      <c r="H20" s="212">
        <v>0</v>
      </c>
      <c r="I20" s="212">
        <v>0</v>
      </c>
    </row>
    <row r="21" spans="1:9" ht="15">
      <c r="A21" s="255" t="str">
        <f>HLOOKUP(INDICE!$F$2,Nombres!$C$3:$D$636,232,FALSE)</f>
        <v>España</v>
      </c>
      <c r="B21" s="212">
        <v>11169.094219</v>
      </c>
      <c r="C21" s="212">
        <v>11645</v>
      </c>
      <c r="D21" s="212">
        <v>12163</v>
      </c>
      <c r="E21" s="212">
        <v>12617</v>
      </c>
      <c r="F21" s="212">
        <v>14127</v>
      </c>
      <c r="G21" s="212">
        <v>15799</v>
      </c>
      <c r="H21" s="212">
        <v>0</v>
      </c>
      <c r="I21" s="212">
        <v>0</v>
      </c>
    </row>
    <row r="22" spans="1:9" ht="15">
      <c r="A22" s="255" t="str">
        <f>HLOOKUP(INDICE!$F$2,Nombres!$C$3:$D$636,233,FALSE)</f>
        <v>Italia</v>
      </c>
      <c r="B22" s="212">
        <v>3245</v>
      </c>
      <c r="C22" s="212">
        <v>3240</v>
      </c>
      <c r="D22" s="212">
        <v>3236</v>
      </c>
      <c r="E22" s="212">
        <v>3233</v>
      </c>
      <c r="F22" s="212">
        <v>3228</v>
      </c>
      <c r="G22" s="212">
        <v>3224</v>
      </c>
      <c r="H22" s="212">
        <v>0</v>
      </c>
      <c r="I22" s="212">
        <v>0</v>
      </c>
    </row>
    <row r="23" spans="1:9" ht="15">
      <c r="A23" s="256" t="str">
        <f>HLOOKUP(INDICE!$F$2,Nombres!$C$3:$D$636,234,FALSE)</f>
        <v>Resto</v>
      </c>
      <c r="B23" s="212">
        <v>74</v>
      </c>
      <c r="C23" s="212">
        <v>74</v>
      </c>
      <c r="D23" s="212">
        <v>336</v>
      </c>
      <c r="E23" s="212">
        <v>986</v>
      </c>
      <c r="F23" s="212">
        <v>2187</v>
      </c>
      <c r="G23" s="212">
        <v>2849</v>
      </c>
      <c r="H23" s="212">
        <v>0</v>
      </c>
      <c r="I23" s="212">
        <v>0</v>
      </c>
    </row>
    <row r="24" spans="1:9" ht="15">
      <c r="A24" s="254" t="str">
        <f>HLOOKUP(INDICE!$F$2,Nombres!$C$3:$D$636,236,FALSE)</f>
        <v>Turquia</v>
      </c>
      <c r="B24" s="212">
        <v>3641</v>
      </c>
      <c r="C24" s="212">
        <v>4129</v>
      </c>
      <c r="D24" s="212">
        <v>5213</v>
      </c>
      <c r="E24" s="212">
        <v>5281</v>
      </c>
      <c r="F24" s="212">
        <v>7019</v>
      </c>
      <c r="G24" s="212">
        <v>5655</v>
      </c>
      <c r="H24" s="212">
        <v>0</v>
      </c>
      <c r="I24" s="212">
        <v>0</v>
      </c>
    </row>
    <row r="25" spans="1:9" ht="15">
      <c r="A25" s="254" t="str">
        <f>HLOOKUP(INDICE!$F$2,Nombres!$C$3:$D$636,237,FALSE)</f>
        <v>Mexico</v>
      </c>
      <c r="B25" s="212">
        <v>2294</v>
      </c>
      <c r="C25" s="212">
        <v>2693</v>
      </c>
      <c r="D25" s="212">
        <v>3705</v>
      </c>
      <c r="E25" s="212">
        <v>4492</v>
      </c>
      <c r="F25" s="212">
        <v>6230</v>
      </c>
      <c r="G25" s="212">
        <v>7092</v>
      </c>
      <c r="H25" s="212">
        <v>0</v>
      </c>
      <c r="I25" s="212">
        <v>0</v>
      </c>
    </row>
    <row r="26" spans="1:9" ht="15">
      <c r="A26" s="254" t="str">
        <f>HLOOKUP(INDICE!$F$2,Nombres!$C$3:$D$636,238,FALSE)</f>
        <v>Amércia del Sur</v>
      </c>
      <c r="B26" s="212">
        <v>206</v>
      </c>
      <c r="C26" s="212">
        <v>240</v>
      </c>
      <c r="D26" s="212">
        <v>250</v>
      </c>
      <c r="E26" s="212">
        <v>172</v>
      </c>
      <c r="F26" s="212">
        <v>220</v>
      </c>
      <c r="G26" s="212">
        <v>275</v>
      </c>
      <c r="H26" s="212">
        <v>0</v>
      </c>
      <c r="I26" s="212">
        <v>0</v>
      </c>
    </row>
    <row r="27" spans="1:9" ht="15">
      <c r="A27" s="299"/>
      <c r="B27" s="258">
        <f aca="true" t="shared" si="2" ref="B27:G27">+B19-B21-B22-B23-B24-B25-B26</f>
        <v>-1.8189894035458565E-12</v>
      </c>
      <c r="C27" s="258">
        <f t="shared" si="2"/>
        <v>0</v>
      </c>
      <c r="D27" s="258">
        <f t="shared" si="2"/>
        <v>0</v>
      </c>
      <c r="E27" s="258">
        <f t="shared" si="2"/>
        <v>0</v>
      </c>
      <c r="F27" s="258">
        <f t="shared" si="2"/>
        <v>0</v>
      </c>
      <c r="G27" s="258">
        <f t="shared" si="2"/>
        <v>0</v>
      </c>
      <c r="H27" s="258">
        <f>+H19-H21-H22-H23-H24-H25-H26</f>
        <v>0</v>
      </c>
      <c r="I27" s="258" t="e">
        <f>+I19-I21-I22-I23-#REF!-I24-I25-I26</f>
        <v>#REF!</v>
      </c>
    </row>
    <row r="28" spans="1:9" ht="15.75">
      <c r="A28" s="299"/>
      <c r="B28" s="205"/>
      <c r="C28" s="205"/>
      <c r="D28" s="205"/>
      <c r="E28" s="205"/>
      <c r="F28" s="217"/>
      <c r="G28" s="217"/>
      <c r="H28" s="217"/>
      <c r="I28" s="217"/>
    </row>
    <row r="29" spans="1:9" ht="15.75">
      <c r="A29" s="206"/>
      <c r="B29" s="217"/>
      <c r="C29" s="217"/>
      <c r="D29" s="217"/>
      <c r="E29" s="217"/>
      <c r="F29" s="217"/>
      <c r="G29" s="205"/>
      <c r="H29" s="205"/>
      <c r="I29" s="205"/>
    </row>
    <row r="30" spans="1:9" ht="15.75" customHeight="1">
      <c r="A30" s="209"/>
      <c r="B30" s="309" t="str">
        <f>HLOOKUP(INDICE!$F$2,Nombres!$C$3:$D$636,241,FALSE)</f>
        <v>Cartera COAP a Valor Razonable</v>
      </c>
      <c r="C30" s="308"/>
      <c r="D30" s="308"/>
      <c r="E30" s="308"/>
      <c r="F30" s="308"/>
      <c r="G30" s="308"/>
      <c r="H30" s="308"/>
      <c r="I30" s="308"/>
    </row>
    <row r="31" spans="1:9" ht="15.75">
      <c r="A31" s="210"/>
      <c r="B31" s="118">
        <f aca="true" t="shared" si="3" ref="B31:G31">+B$5</f>
        <v>44651</v>
      </c>
      <c r="C31" s="118">
        <f t="shared" si="3"/>
        <v>44742</v>
      </c>
      <c r="D31" s="118">
        <f t="shared" si="3"/>
        <v>44834</v>
      </c>
      <c r="E31" s="118">
        <f t="shared" si="3"/>
        <v>44926</v>
      </c>
      <c r="F31" s="118">
        <f t="shared" si="3"/>
        <v>45016</v>
      </c>
      <c r="G31" s="118">
        <f t="shared" si="3"/>
        <v>45107</v>
      </c>
      <c r="H31" s="118">
        <f>+H$5</f>
        <v>45199</v>
      </c>
      <c r="I31" s="118">
        <f>+I$5</f>
        <v>45291</v>
      </c>
    </row>
    <row r="32" spans="1:9" ht="15.75" customHeight="1">
      <c r="A32" s="253" t="str">
        <f>HLOOKUP(INDICE!$F$2,Nombres!$C$3:$D$636,230,FALSE)</f>
        <v>Grupo BBVA</v>
      </c>
      <c r="B32" s="214">
        <v>31347.905781</v>
      </c>
      <c r="C32" s="214">
        <v>32335</v>
      </c>
      <c r="D32" s="214">
        <v>32874</v>
      </c>
      <c r="E32" s="214">
        <v>31106</v>
      </c>
      <c r="F32" s="214">
        <v>30650</v>
      </c>
      <c r="G32" s="214">
        <v>32575</v>
      </c>
      <c r="H32" s="214">
        <v>0</v>
      </c>
      <c r="I32" s="214">
        <v>0</v>
      </c>
    </row>
    <row r="33" spans="1:9" ht="15">
      <c r="A33" s="211" t="str">
        <f>HLOOKUP(INDICE!$F$2,Nombres!$C$3:$D$636,231,FALSE)</f>
        <v>Balance Euro</v>
      </c>
      <c r="B33" s="212">
        <v>14306.905781000001</v>
      </c>
      <c r="C33" s="212">
        <v>14686</v>
      </c>
      <c r="D33" s="212">
        <v>14248</v>
      </c>
      <c r="E33" s="212">
        <v>13384</v>
      </c>
      <c r="F33" s="212">
        <v>13310</v>
      </c>
      <c r="G33" s="212">
        <v>13622</v>
      </c>
      <c r="H33" s="212">
        <v>0</v>
      </c>
      <c r="I33" s="212">
        <v>0</v>
      </c>
    </row>
    <row r="34" spans="1:9" ht="15">
      <c r="A34" s="256" t="str">
        <f>HLOOKUP(INDICE!$F$2,Nombres!$C$3:$D$636,232,FALSE)</f>
        <v>España</v>
      </c>
      <c r="B34" s="212">
        <v>5697.905781</v>
      </c>
      <c r="C34" s="212">
        <v>6049</v>
      </c>
      <c r="D34" s="212">
        <v>5998</v>
      </c>
      <c r="E34" s="212">
        <v>5990</v>
      </c>
      <c r="F34" s="212">
        <v>5992</v>
      </c>
      <c r="G34" s="212">
        <v>6683</v>
      </c>
      <c r="H34" s="212">
        <v>0</v>
      </c>
      <c r="I34" s="212">
        <v>0</v>
      </c>
    </row>
    <row r="35" spans="1:9" ht="15">
      <c r="A35" s="256" t="str">
        <f>HLOOKUP(INDICE!$F$2,Nombres!$C$3:$D$636,233,FALSE)</f>
        <v>Italia</v>
      </c>
      <c r="B35" s="212">
        <v>5009</v>
      </c>
      <c r="C35" s="212">
        <v>5002</v>
      </c>
      <c r="D35" s="212">
        <v>4486</v>
      </c>
      <c r="E35" s="212">
        <v>4166</v>
      </c>
      <c r="F35" s="212">
        <v>4158</v>
      </c>
      <c r="G35" s="212">
        <v>4151</v>
      </c>
      <c r="H35" s="212">
        <v>0</v>
      </c>
      <c r="I35" s="212">
        <v>0</v>
      </c>
    </row>
    <row r="36" spans="1:9" ht="15">
      <c r="A36" s="256" t="str">
        <f>HLOOKUP(INDICE!$F$2,Nombres!$C$3:$D$636,234,FALSE)</f>
        <v>Resto</v>
      </c>
      <c r="B36" s="212">
        <v>3600</v>
      </c>
      <c r="C36" s="212">
        <v>3635</v>
      </c>
      <c r="D36" s="212">
        <v>3764</v>
      </c>
      <c r="E36" s="212">
        <v>3228</v>
      </c>
      <c r="F36" s="212">
        <v>3160</v>
      </c>
      <c r="G36" s="212">
        <v>2788</v>
      </c>
      <c r="H36" s="212">
        <v>0</v>
      </c>
      <c r="I36" s="212">
        <v>0</v>
      </c>
    </row>
    <row r="37" spans="1:9" ht="15">
      <c r="A37" s="211" t="str">
        <f>HLOOKUP(INDICE!$F$2,Nombres!$C$3:$D$636,236,FALSE)</f>
        <v>Turquia</v>
      </c>
      <c r="B37" s="212">
        <v>3063</v>
      </c>
      <c r="C37" s="212">
        <v>3181</v>
      </c>
      <c r="D37" s="212">
        <v>3221</v>
      </c>
      <c r="E37" s="212">
        <v>3195</v>
      </c>
      <c r="F37" s="212">
        <v>3157</v>
      </c>
      <c r="G37" s="212">
        <v>2415</v>
      </c>
      <c r="H37" s="212">
        <v>0</v>
      </c>
      <c r="I37" s="212">
        <v>0</v>
      </c>
    </row>
    <row r="38" spans="1:9" ht="15">
      <c r="A38" s="211" t="str">
        <f>HLOOKUP(INDICE!$F$2,Nombres!$C$3:$D$636,237,FALSE)</f>
        <v>Mexico</v>
      </c>
      <c r="B38" s="212">
        <v>8207</v>
      </c>
      <c r="C38" s="212">
        <v>8061</v>
      </c>
      <c r="D38" s="212">
        <v>8551</v>
      </c>
      <c r="E38" s="212">
        <v>7935</v>
      </c>
      <c r="F38" s="212">
        <v>8151</v>
      </c>
      <c r="G38" s="212">
        <v>10166</v>
      </c>
      <c r="H38" s="212">
        <v>0</v>
      </c>
      <c r="I38" s="212">
        <v>0</v>
      </c>
    </row>
    <row r="39" spans="1:9" ht="15">
      <c r="A39" s="211" t="str">
        <f>HLOOKUP(INDICE!$F$2,Nombres!$C$3:$D$636,238,FALSE)</f>
        <v>Amércia del Sur</v>
      </c>
      <c r="B39" s="212">
        <v>5771</v>
      </c>
      <c r="C39" s="212">
        <v>6407</v>
      </c>
      <c r="D39" s="212">
        <v>6854</v>
      </c>
      <c r="E39" s="212">
        <v>6592</v>
      </c>
      <c r="F39" s="212">
        <v>6032</v>
      </c>
      <c r="G39" s="212">
        <v>6372</v>
      </c>
      <c r="H39" s="212">
        <v>0</v>
      </c>
      <c r="I39" s="212">
        <v>0</v>
      </c>
    </row>
    <row r="40" spans="2:9" ht="15">
      <c r="B40" s="258">
        <f aca="true" t="shared" si="4" ref="B40:G40">+B32-B34-B35-B36-B37-B38-B39</f>
        <v>0</v>
      </c>
      <c r="C40" s="258">
        <f t="shared" si="4"/>
        <v>0</v>
      </c>
      <c r="D40" s="258">
        <f t="shared" si="4"/>
        <v>0</v>
      </c>
      <c r="E40" s="258">
        <f t="shared" si="4"/>
        <v>0</v>
      </c>
      <c r="F40" s="258">
        <f t="shared" si="4"/>
        <v>0</v>
      </c>
      <c r="G40" s="258">
        <f t="shared" si="4"/>
        <v>0</v>
      </c>
      <c r="H40" s="258">
        <f>+H32-H34-H35-H36-H37-H38-H39</f>
        <v>0</v>
      </c>
      <c r="I40" s="258" t="e">
        <f>+I32-I34-I35-I36-#REF!-I37-I38-I39</f>
        <v>#REF!</v>
      </c>
    </row>
    <row r="997" ht="15">
      <c r="A997" s="205" t="s">
        <v>391</v>
      </c>
    </row>
  </sheetData>
  <sheetProtection/>
  <mergeCells count="3">
    <mergeCell ref="B4:I4"/>
    <mergeCell ref="B17:I17"/>
    <mergeCell ref="B30:I30"/>
  </mergeCells>
  <conditionalFormatting sqref="H14:I16">
    <cfRule type="cellIs" priority="6" dxfId="196" operator="notBetween">
      <formula>1</formula>
      <formula>-1</formula>
    </cfRule>
  </conditionalFormatting>
  <conditionalFormatting sqref="H27:I27">
    <cfRule type="cellIs" priority="5" dxfId="196" operator="notBetween">
      <formula>1</formula>
      <formula>-1</formula>
    </cfRule>
  </conditionalFormatting>
  <conditionalFormatting sqref="H40:I40">
    <cfRule type="cellIs" priority="4" dxfId="196" operator="notBetween">
      <formula>1</formula>
      <formula>-1</formula>
    </cfRule>
  </conditionalFormatting>
  <conditionalFormatting sqref="B14:G16">
    <cfRule type="cellIs" priority="3" dxfId="196" operator="notBetween">
      <formula>1</formula>
      <formula>-1</formula>
    </cfRule>
  </conditionalFormatting>
  <conditionalFormatting sqref="B27:G27">
    <cfRule type="cellIs" priority="2" dxfId="196" operator="notBetween">
      <formula>1</formula>
      <formula>-1</formula>
    </cfRule>
  </conditionalFormatting>
  <conditionalFormatting sqref="B40:G40">
    <cfRule type="cellIs" priority="1" dxfId="196" operator="notBetween">
      <formula>1</formula>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999"/>
  <sheetViews>
    <sheetView showGridLines="0" zoomScalePageLayoutView="0" workbookViewId="0" topLeftCell="A1">
      <selection activeCell="A1" sqref="A1"/>
    </sheetView>
  </sheetViews>
  <sheetFormatPr defaultColWidth="11.421875" defaultRowHeight="15"/>
  <cols>
    <col min="1" max="1" width="79.140625" style="31" customWidth="1"/>
    <col min="2" max="4" width="11.421875" style="31" customWidth="1"/>
    <col min="5" max="5" width="10.421875" style="31" customWidth="1"/>
    <col min="6" max="6" width="11.421875" style="31" customWidth="1"/>
    <col min="7" max="7" width="11.8515625" style="31" bestFit="1" customWidth="1"/>
    <col min="8" max="9" width="11.57421875" style="31" hidden="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3">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3942.77399988</v>
      </c>
      <c r="C8" s="41">
        <v>4594.90599999</v>
      </c>
      <c r="D8" s="41">
        <v>5252.03599999</v>
      </c>
      <c r="E8" s="42">
        <v>5333.887003310001</v>
      </c>
      <c r="F8" s="41">
        <v>5641.95400006</v>
      </c>
      <c r="G8" s="50">
        <v>5767.66199994</v>
      </c>
      <c r="H8" s="50">
        <v>0</v>
      </c>
      <c r="I8" s="50">
        <v>0</v>
      </c>
    </row>
    <row r="9" spans="1:9" ht="15">
      <c r="A9" s="43" t="str">
        <f>HLOOKUP(INDICE!$F$2,Nombres!$C$3:$D$636,34,FALSE)</f>
        <v>Comisiones netas</v>
      </c>
      <c r="B9" s="44">
        <v>1246.52199995</v>
      </c>
      <c r="C9" s="44">
        <v>1412.56500005</v>
      </c>
      <c r="D9" s="44">
        <v>1384.8320001000002</v>
      </c>
      <c r="E9" s="45">
        <v>1328.3990002699998</v>
      </c>
      <c r="F9" s="44">
        <v>1439.0629999400003</v>
      </c>
      <c r="G9" s="44">
        <v>1469.83800001</v>
      </c>
      <c r="H9" s="44">
        <v>0</v>
      </c>
      <c r="I9" s="44">
        <v>0</v>
      </c>
    </row>
    <row r="10" spans="1:9" ht="15">
      <c r="A10" s="43" t="str">
        <f>HLOOKUP(INDICE!$F$2,Nombres!$C$3:$D$636,35,FALSE)</f>
        <v>Resultados de operaciones financieras</v>
      </c>
      <c r="B10" s="44">
        <v>579.61799999</v>
      </c>
      <c r="C10" s="44">
        <v>515.9979999999999</v>
      </c>
      <c r="D10" s="44">
        <v>573.3480000100001</v>
      </c>
      <c r="E10" s="45">
        <v>269.0639999999999</v>
      </c>
      <c r="F10" s="44">
        <v>438.14999994999994</v>
      </c>
      <c r="G10" s="44">
        <v>334.49600008999994</v>
      </c>
      <c r="H10" s="44">
        <v>0</v>
      </c>
      <c r="I10" s="44">
        <v>0</v>
      </c>
    </row>
    <row r="11" spans="1:9" ht="15">
      <c r="A11" s="43" t="str">
        <f>HLOOKUP(INDICE!$F$2,Nombres!$C$3:$D$636,96,FALSE)</f>
        <v>Ingresos por dividendos</v>
      </c>
      <c r="B11" s="44">
        <v>3.799000000000042</v>
      </c>
      <c r="C11" s="44">
        <v>72.23799999999991</v>
      </c>
      <c r="D11" s="44">
        <v>2.9960000000000355</v>
      </c>
      <c r="E11" s="45">
        <v>44.181000000000054</v>
      </c>
      <c r="F11" s="44">
        <v>4.297999999999965</v>
      </c>
      <c r="G11" s="44">
        <v>68.85199999999995</v>
      </c>
      <c r="H11" s="44">
        <v>0</v>
      </c>
      <c r="I11" s="44">
        <v>0</v>
      </c>
    </row>
    <row r="12" spans="1:9" ht="15">
      <c r="A12" s="43" t="str">
        <f>HLOOKUP(INDICE!$F$2,Nombres!$C$3:$D$636,97,FALSE)</f>
        <v>Part. gananc/pdas inversiones en dependientes, neg conjunt y asoc</v>
      </c>
      <c r="B12" s="44">
        <v>4.848000000000002</v>
      </c>
      <c r="C12" s="44">
        <v>9.84</v>
      </c>
      <c r="D12" s="44">
        <v>0.7449999999999992</v>
      </c>
      <c r="E12" s="45">
        <v>5.187000000000004</v>
      </c>
      <c r="F12" s="44">
        <v>6.272000000000001</v>
      </c>
      <c r="G12" s="44">
        <v>8.11</v>
      </c>
      <c r="H12" s="44">
        <v>0</v>
      </c>
      <c r="I12" s="44">
        <v>0</v>
      </c>
    </row>
    <row r="13" spans="1:9" ht="15">
      <c r="A13" s="43" t="str">
        <f>HLOOKUP(INDICE!$F$2,Nombres!$C$3:$D$636,98,FALSE)</f>
        <v>Otros productos/cargas de explotación</v>
      </c>
      <c r="B13" s="44">
        <v>-382.85799999</v>
      </c>
      <c r="C13" s="44">
        <v>-583.5210000100001</v>
      </c>
      <c r="D13" s="44">
        <v>-375.8990000100003</v>
      </c>
      <c r="E13" s="45">
        <v>-492.18910697999985</v>
      </c>
      <c r="F13" s="44">
        <v>-571.6110000100001</v>
      </c>
      <c r="G13" s="44">
        <v>-459.50499999000033</v>
      </c>
      <c r="H13" s="44">
        <v>0</v>
      </c>
      <c r="I13" s="44">
        <v>0</v>
      </c>
    </row>
    <row r="14" spans="1:9" ht="15">
      <c r="A14" s="41" t="str">
        <f>HLOOKUP(INDICE!$F$2,Nombres!$C$3:$D$636,37,FALSE)</f>
        <v>Margen bruto</v>
      </c>
      <c r="B14" s="41">
        <f aca="true" t="shared" si="0" ref="B14:I14">+SUM(B8:B13)</f>
        <v>5394.702999829999</v>
      </c>
      <c r="C14" s="41">
        <f t="shared" si="0"/>
        <v>6022.02600003</v>
      </c>
      <c r="D14" s="41">
        <f t="shared" si="0"/>
        <v>6838.05800009</v>
      </c>
      <c r="E14" s="42">
        <f t="shared" si="0"/>
        <v>6488.528896600002</v>
      </c>
      <c r="F14" s="41">
        <f t="shared" si="0"/>
        <v>6958.12599994</v>
      </c>
      <c r="G14" s="50">
        <f t="shared" si="0"/>
        <v>7189.453000049999</v>
      </c>
      <c r="H14" s="50">
        <f t="shared" si="0"/>
        <v>0</v>
      </c>
      <c r="I14" s="50">
        <f t="shared" si="0"/>
        <v>0</v>
      </c>
    </row>
    <row r="15" spans="1:9" ht="15">
      <c r="A15" s="43" t="str">
        <f>HLOOKUP(INDICE!$F$2,Nombres!$C$3:$D$636,38,FALSE)</f>
        <v>Gastos de explotación</v>
      </c>
      <c r="B15" s="44">
        <v>-2405.63799999</v>
      </c>
      <c r="C15" s="44">
        <v>-2617.93300003</v>
      </c>
      <c r="D15" s="44">
        <v>-2802.81699993</v>
      </c>
      <c r="E15" s="45">
        <v>-2874.9080013499997</v>
      </c>
      <c r="F15" s="44">
        <v>-3016.0949999500003</v>
      </c>
      <c r="G15" s="44">
        <v>-2922.13600018</v>
      </c>
      <c r="H15" s="44">
        <v>0</v>
      </c>
      <c r="I15" s="44">
        <v>0</v>
      </c>
    </row>
    <row r="16" spans="1:9" ht="15">
      <c r="A16" s="43" t="str">
        <f>HLOOKUP(INDICE!$F$2,Nombres!$C$3:$D$636,39,FALSE)</f>
        <v>  Gastos de administración</v>
      </c>
      <c r="B16" s="44">
        <v>-2093.08199997</v>
      </c>
      <c r="C16" s="44">
        <v>-2278.37300006</v>
      </c>
      <c r="D16" s="44">
        <v>-2464.56799995</v>
      </c>
      <c r="E16" s="45">
        <v>-2537.0410013299997</v>
      </c>
      <c r="F16" s="44">
        <v>-2677.5749999400005</v>
      </c>
      <c r="G16" s="44">
        <v>-2584.8830001599995</v>
      </c>
      <c r="H16" s="44">
        <v>0</v>
      </c>
      <c r="I16" s="44">
        <v>0</v>
      </c>
    </row>
    <row r="17" spans="1:9" ht="15">
      <c r="A17" s="46" t="str">
        <f>HLOOKUP(INDICE!$F$2,Nombres!$C$3:$D$636,40,FALSE)</f>
        <v>  Gastos de personal</v>
      </c>
      <c r="B17" s="44">
        <v>-1238.07800005</v>
      </c>
      <c r="C17" s="44">
        <v>-1343.65099998</v>
      </c>
      <c r="D17" s="44">
        <v>-1471.41300003</v>
      </c>
      <c r="E17" s="45">
        <v>-1547.40300019</v>
      </c>
      <c r="F17" s="44">
        <v>-1550.6919999399997</v>
      </c>
      <c r="G17" s="44">
        <v>-1530.4930000999998</v>
      </c>
      <c r="H17" s="44">
        <v>0</v>
      </c>
      <c r="I17" s="44">
        <v>0</v>
      </c>
    </row>
    <row r="18" spans="1:9" ht="15">
      <c r="A18" s="46" t="str">
        <f>HLOOKUP(INDICE!$F$2,Nombres!$C$3:$D$636,41,FALSE)</f>
        <v>  Otros gastos de administración</v>
      </c>
      <c r="B18" s="44">
        <v>-855.0039999200001</v>
      </c>
      <c r="C18" s="44">
        <v>-934.72200008</v>
      </c>
      <c r="D18" s="44">
        <v>-993.15499992</v>
      </c>
      <c r="E18" s="45">
        <v>-989.63800114</v>
      </c>
      <c r="F18" s="44">
        <v>-1126.8829999999998</v>
      </c>
      <c r="G18" s="44">
        <v>-1054.39000006</v>
      </c>
      <c r="H18" s="44">
        <v>0</v>
      </c>
      <c r="I18" s="44">
        <v>0</v>
      </c>
    </row>
    <row r="19" spans="1:9" ht="15">
      <c r="A19" s="43" t="str">
        <f>HLOOKUP(INDICE!$F$2,Nombres!$C$3:$D$636,42,FALSE)</f>
        <v>  Amortización</v>
      </c>
      <c r="B19" s="44">
        <v>-312.55600002</v>
      </c>
      <c r="C19" s="44">
        <v>-339.55999997000004</v>
      </c>
      <c r="D19" s="44">
        <v>-338.24899998</v>
      </c>
      <c r="E19" s="45">
        <v>-337.86700002</v>
      </c>
      <c r="F19" s="44">
        <v>-338.52000001</v>
      </c>
      <c r="G19" s="44">
        <v>-337.25300002</v>
      </c>
      <c r="H19" s="44">
        <v>0</v>
      </c>
      <c r="I19" s="44">
        <v>0</v>
      </c>
    </row>
    <row r="20" spans="1:9" ht="15">
      <c r="A20" s="41" t="str">
        <f>HLOOKUP(INDICE!$F$2,Nombres!$C$3:$D$636,43,FALSE)</f>
        <v>Margen neto</v>
      </c>
      <c r="B20" s="41">
        <f aca="true" t="shared" si="1" ref="B20:I20">+B14+B15</f>
        <v>2989.0649998399986</v>
      </c>
      <c r="C20" s="41">
        <f t="shared" si="1"/>
        <v>3404.0930000000003</v>
      </c>
      <c r="D20" s="41">
        <f t="shared" si="1"/>
        <v>4035.24100016</v>
      </c>
      <c r="E20" s="42">
        <f t="shared" si="1"/>
        <v>3613.620895250002</v>
      </c>
      <c r="F20" s="41">
        <f t="shared" si="1"/>
        <v>3942.0309999899996</v>
      </c>
      <c r="G20" s="50">
        <f t="shared" si="1"/>
        <v>4267.31699987</v>
      </c>
      <c r="H20" s="50">
        <f t="shared" si="1"/>
        <v>0</v>
      </c>
      <c r="I20" s="50">
        <f t="shared" si="1"/>
        <v>0</v>
      </c>
    </row>
    <row r="21" spans="1:9" ht="15">
      <c r="A21" s="43" t="str">
        <f>HLOOKUP(INDICE!$F$2,Nombres!$C$3:$D$636,44,FALSE)</f>
        <v>Deterioro de activos financieros no valorados a valor razonable con cambios en resultados</v>
      </c>
      <c r="B21" s="44">
        <v>-736.9199999499999</v>
      </c>
      <c r="C21" s="44">
        <v>-703.6320000599998</v>
      </c>
      <c r="D21" s="44">
        <v>-939.9120000199996</v>
      </c>
      <c r="E21" s="45">
        <v>-998.3589999800004</v>
      </c>
      <c r="F21" s="44">
        <v>-968.06099993</v>
      </c>
      <c r="G21" s="44">
        <v>-1024.6990000800001</v>
      </c>
      <c r="H21" s="44">
        <v>0</v>
      </c>
      <c r="I21" s="44">
        <v>0</v>
      </c>
    </row>
    <row r="22" spans="1:9" ht="15">
      <c r="A22" s="43" t="str">
        <f>HLOOKUP(INDICE!$F$2,Nombres!$C$3:$D$636,247,FALSE)</f>
        <v>Provisiones o reversión de provisiones</v>
      </c>
      <c r="B22" s="44">
        <v>-47.838999990000005</v>
      </c>
      <c r="C22" s="44">
        <v>-64.00399997999997</v>
      </c>
      <c r="D22" s="44">
        <v>-129.09100003</v>
      </c>
      <c r="E22" s="45">
        <v>-50.083999980000016</v>
      </c>
      <c r="F22" s="44">
        <v>-13.88299999</v>
      </c>
      <c r="G22" s="44">
        <v>-114.911</v>
      </c>
      <c r="H22" s="44">
        <v>0</v>
      </c>
      <c r="I22" s="44">
        <v>0</v>
      </c>
    </row>
    <row r="23" spans="1:9" ht="15">
      <c r="A23" s="43" t="str">
        <f>HLOOKUP(INDICE!$F$2,Nombres!$C$3:$D$636,248,FALSE)</f>
        <v>Otros resultados</v>
      </c>
      <c r="B23" s="44">
        <v>20.417</v>
      </c>
      <c r="C23" s="44">
        <v>-2.694046449999986</v>
      </c>
      <c r="D23" s="44">
        <v>18.904000000000096</v>
      </c>
      <c r="E23" s="45">
        <v>-6.484000000000108</v>
      </c>
      <c r="F23" s="44">
        <v>-15.885000000000003</v>
      </c>
      <c r="G23" s="44">
        <v>50.215</v>
      </c>
      <c r="H23" s="44">
        <v>0</v>
      </c>
      <c r="I23" s="44">
        <v>0</v>
      </c>
    </row>
    <row r="24" spans="1:9" ht="15">
      <c r="A24" s="41" t="str">
        <f>HLOOKUP(INDICE!$F$2,Nombres!$C$3:$D$636,46,FALSE)</f>
        <v>Resultado antes de impuestos</v>
      </c>
      <c r="B24" s="50">
        <f aca="true" t="shared" si="2" ref="B24:G24">+B20+B21+B22+B23</f>
        <v>2224.7229998999987</v>
      </c>
      <c r="C24" s="50">
        <f t="shared" si="2"/>
        <v>2633.7629535100004</v>
      </c>
      <c r="D24" s="50">
        <f t="shared" si="2"/>
        <v>2985.1420001100005</v>
      </c>
      <c r="E24" s="42">
        <f t="shared" si="2"/>
        <v>2558.6938952900014</v>
      </c>
      <c r="F24" s="50">
        <f t="shared" si="2"/>
        <v>2944.2020000699995</v>
      </c>
      <c r="G24" s="50">
        <f t="shared" si="2"/>
        <v>3177.9219997899995</v>
      </c>
      <c r="H24" s="50">
        <f>+H20+H21+H22+H23</f>
        <v>0</v>
      </c>
      <c r="I24" s="50">
        <f>+I20+I21+I22+I23</f>
        <v>0</v>
      </c>
    </row>
    <row r="25" spans="1:9" ht="15">
      <c r="A25" s="43" t="str">
        <f>HLOOKUP(INDICE!$F$2,Nombres!$C$3:$D$636,47,FALSE)</f>
        <v>Impuesto sobre beneficios</v>
      </c>
      <c r="B25" s="44">
        <v>-903.3990000300001</v>
      </c>
      <c r="C25" s="44">
        <v>-679.6337835899999</v>
      </c>
      <c r="D25" s="44">
        <v>-1004.70999996</v>
      </c>
      <c r="E25" s="45">
        <v>-849.8679991799999</v>
      </c>
      <c r="F25" s="44">
        <v>-949.8000000099998</v>
      </c>
      <c r="G25" s="44">
        <v>-1028.2580000399998</v>
      </c>
      <c r="H25" s="44">
        <v>0</v>
      </c>
      <c r="I25" s="44">
        <v>0</v>
      </c>
    </row>
    <row r="26" spans="1:9" ht="15">
      <c r="A26" s="41" t="str">
        <f>HLOOKUP(INDICE!$F$2,Nombres!$C$3:$D$636,48,FALSE)</f>
        <v>Resultado del ejercicio</v>
      </c>
      <c r="B26" s="50">
        <f aca="true" t="shared" si="3" ref="B26:G26">+B24+B25</f>
        <v>1321.3239998699987</v>
      </c>
      <c r="C26" s="50">
        <f t="shared" si="3"/>
        <v>1954.1291699200005</v>
      </c>
      <c r="D26" s="50">
        <f t="shared" si="3"/>
        <v>1980.4320001500005</v>
      </c>
      <c r="E26" s="42">
        <f t="shared" si="3"/>
        <v>1708.8258961100014</v>
      </c>
      <c r="F26" s="50">
        <f t="shared" si="3"/>
        <v>1994.4020000599996</v>
      </c>
      <c r="G26" s="50">
        <f t="shared" si="3"/>
        <v>2149.6639997499997</v>
      </c>
      <c r="H26" s="50">
        <f>+H24+H25</f>
        <v>0</v>
      </c>
      <c r="I26" s="50">
        <f>+I24+I25</f>
        <v>0</v>
      </c>
    </row>
    <row r="27" spans="1:9" ht="15">
      <c r="A27" s="43" t="str">
        <f>HLOOKUP(INDICE!$F$2,Nombres!$C$3:$D$636,49,FALSE)</f>
        <v>Minoritarios</v>
      </c>
      <c r="B27" s="44">
        <v>3.4049999899999825</v>
      </c>
      <c r="C27" s="44">
        <v>-120.03699996999994</v>
      </c>
      <c r="D27" s="44">
        <v>-142.62600002000005</v>
      </c>
      <c r="E27" s="45">
        <v>-146.12899994</v>
      </c>
      <c r="F27" s="44">
        <v>-148.11300001</v>
      </c>
      <c r="G27" s="44">
        <v>-117.99200000999997</v>
      </c>
      <c r="H27" s="44">
        <v>0</v>
      </c>
      <c r="I27" s="44">
        <v>0</v>
      </c>
    </row>
    <row r="28" spans="1:9" ht="15">
      <c r="A28" s="47" t="str">
        <f>HLOOKUP(INDICE!$F$2,Nombres!$C$3:$D$636,305,FALSE)</f>
        <v>Resultado atribuido excluyendo impactos no recurrentes</v>
      </c>
      <c r="B28" s="47">
        <f aca="true" t="shared" si="4" ref="B28:I28">+B26+B27</f>
        <v>1324.7289998599988</v>
      </c>
      <c r="C28" s="47">
        <f t="shared" si="4"/>
        <v>1834.0921699500007</v>
      </c>
      <c r="D28" s="47">
        <f t="shared" si="4"/>
        <v>1837.8060001300005</v>
      </c>
      <c r="E28" s="47">
        <f t="shared" si="4"/>
        <v>1562.6968961700013</v>
      </c>
      <c r="F28" s="47">
        <f t="shared" si="4"/>
        <v>1846.2890000499997</v>
      </c>
      <c r="G28" s="47">
        <f t="shared" si="4"/>
        <v>2031.6719997399996</v>
      </c>
      <c r="H28" s="47">
        <f t="shared" si="4"/>
        <v>0</v>
      </c>
      <c r="I28" s="47">
        <f t="shared" si="4"/>
        <v>0</v>
      </c>
    </row>
    <row r="29" spans="1:16" ht="15">
      <c r="A29" s="43" t="str">
        <f>HLOOKUP(INDICE!$F$2,Nombres!$C$3:$D$636,319,FALSE)</f>
        <v>Impacto neto de la compra de oficinas en España</v>
      </c>
      <c r="B29" s="44">
        <v>0</v>
      </c>
      <c r="C29" s="44">
        <v>-201.39716995</v>
      </c>
      <c r="D29" s="44">
        <v>0</v>
      </c>
      <c r="E29" s="45">
        <v>0</v>
      </c>
      <c r="F29" s="44">
        <v>0</v>
      </c>
      <c r="G29" s="44">
        <v>0</v>
      </c>
      <c r="H29" s="44">
        <v>0</v>
      </c>
      <c r="I29" s="44">
        <v>0</v>
      </c>
      <c r="M29" s="284"/>
      <c r="N29" s="284"/>
      <c r="O29" s="284"/>
      <c r="P29" s="284"/>
    </row>
    <row r="30" spans="1:9" ht="15">
      <c r="A30" s="47" t="str">
        <f>HLOOKUP(INDICE!$F$2,Nombres!$C$3:$D$636,50,FALSE)</f>
        <v>Resultado atribuido</v>
      </c>
      <c r="B30" s="47">
        <f aca="true" t="shared" si="5" ref="B30:I30">+B28+B29</f>
        <v>1324.7289998599988</v>
      </c>
      <c r="C30" s="47">
        <f t="shared" si="5"/>
        <v>1632.6950000000006</v>
      </c>
      <c r="D30" s="47">
        <f t="shared" si="5"/>
        <v>1837.8060001300005</v>
      </c>
      <c r="E30" s="47">
        <f t="shared" si="5"/>
        <v>1562.6968961700013</v>
      </c>
      <c r="F30" s="47">
        <f t="shared" si="5"/>
        <v>1846.2890000499997</v>
      </c>
      <c r="G30" s="47">
        <f t="shared" si="5"/>
        <v>2031.6719997399996</v>
      </c>
      <c r="H30" s="47">
        <f t="shared" si="5"/>
        <v>0</v>
      </c>
      <c r="I30" s="47">
        <f t="shared" si="5"/>
        <v>0</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300"/>
      <c r="B33" s="300"/>
      <c r="C33" s="300"/>
      <c r="D33" s="300"/>
      <c r="E33" s="300"/>
      <c r="F33" s="300"/>
      <c r="G33" s="300"/>
      <c r="H33" s="300"/>
      <c r="I33" s="300"/>
    </row>
    <row r="34" spans="1:9" ht="15" customHeight="1">
      <c r="A34" s="300"/>
      <c r="B34" s="300"/>
      <c r="C34" s="300"/>
      <c r="D34" s="300"/>
      <c r="E34" s="300"/>
      <c r="F34" s="300"/>
      <c r="G34" s="300"/>
      <c r="H34" s="300"/>
      <c r="I34" s="300"/>
    </row>
    <row r="35" spans="1:9" ht="15">
      <c r="A35" s="300"/>
      <c r="B35" s="300"/>
      <c r="C35" s="300"/>
      <c r="D35" s="300"/>
      <c r="E35" s="300"/>
      <c r="F35" s="300"/>
      <c r="G35" s="300"/>
      <c r="H35" s="300"/>
      <c r="I35" s="300"/>
    </row>
    <row r="36" spans="1:9" ht="15">
      <c r="A36" s="43"/>
      <c r="B36" s="49"/>
      <c r="C36" s="49"/>
      <c r="D36" s="49"/>
      <c r="E36" s="49"/>
      <c r="F36" s="279"/>
      <c r="G36" s="49"/>
      <c r="H36" s="49"/>
      <c r="I36" s="49"/>
    </row>
    <row r="37" spans="2:9" ht="15">
      <c r="B37" s="263"/>
      <c r="C37" s="263"/>
      <c r="D37" s="263"/>
      <c r="E37" s="263"/>
      <c r="F37" s="263"/>
      <c r="G37" s="263"/>
      <c r="H37" s="263"/>
      <c r="I37" s="263"/>
    </row>
    <row r="39" spans="1:9" ht="18">
      <c r="A39" s="33" t="str">
        <f>HLOOKUP(INDICE!$F$2,Nombres!$C$3:$D$636,31,FALSE)</f>
        <v>Cuenta de resultados  </v>
      </c>
      <c r="B39" s="34"/>
      <c r="C39" s="34"/>
      <c r="D39" s="34"/>
      <c r="E39" s="34"/>
      <c r="F39" s="34"/>
      <c r="G39" s="34"/>
      <c r="H39" s="34"/>
      <c r="I39" s="34"/>
    </row>
    <row r="40" spans="1:9" ht="15">
      <c r="A40" s="35" t="str">
        <f>HLOOKUP(INDICE!$F$2,Nombres!$C$3:$D$636,73,FALSE)</f>
        <v>(Millones de euros constantes)</v>
      </c>
      <c r="B40" s="30"/>
      <c r="C40" s="36"/>
      <c r="D40" s="36"/>
      <c r="E40" s="36"/>
      <c r="F40" s="30"/>
      <c r="G40" s="30"/>
      <c r="H40" s="30"/>
      <c r="I40" s="30"/>
    </row>
    <row r="41" spans="1:9" ht="15">
      <c r="A41" s="37"/>
      <c r="B41" s="30"/>
      <c r="C41" s="36"/>
      <c r="D41" s="36"/>
      <c r="E41" s="36"/>
      <c r="F41" s="30"/>
      <c r="G41" s="30"/>
      <c r="H41" s="30"/>
      <c r="I41" s="30"/>
    </row>
    <row r="42" spans="1:9" ht="15.75">
      <c r="A42" s="38"/>
      <c r="B42" s="301">
        <f>+España!B6</f>
        <v>2022</v>
      </c>
      <c r="C42" s="301"/>
      <c r="D42" s="301"/>
      <c r="E42" s="302"/>
      <c r="F42" s="303">
        <f>+España!F6</f>
        <v>2023</v>
      </c>
      <c r="G42" s="301"/>
      <c r="H42" s="301"/>
      <c r="I42" s="301"/>
    </row>
    <row r="43" spans="1:9" ht="15.7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5">
      <c r="A44" s="41" t="str">
        <f>HLOOKUP(INDICE!$F$2,Nombres!$C$3:$D$636,33,FALSE)</f>
        <v>Margen de intereses</v>
      </c>
      <c r="B44" s="41">
        <v>3860.119316627544</v>
      </c>
      <c r="C44" s="41">
        <v>4335.126358142811</v>
      </c>
      <c r="D44" s="41">
        <v>4911.642302988015</v>
      </c>
      <c r="E44" s="42">
        <v>5471.797965531436</v>
      </c>
      <c r="F44" s="41">
        <v>5448.231617612168</v>
      </c>
      <c r="G44" s="50">
        <v>5961.384382387832</v>
      </c>
      <c r="H44" s="50">
        <v>0</v>
      </c>
      <c r="I44" s="50">
        <v>0</v>
      </c>
    </row>
    <row r="45" spans="1:9" ht="15">
      <c r="A45" s="43" t="str">
        <f>HLOOKUP(INDICE!$F$2,Nombres!$C$3:$D$636,34,FALSE)</f>
        <v>Comisiones netas</v>
      </c>
      <c r="B45" s="44">
        <v>1219.1701513565213</v>
      </c>
      <c r="C45" s="44">
        <v>1357.9005733998574</v>
      </c>
      <c r="D45" s="44">
        <v>1333.880570614816</v>
      </c>
      <c r="E45" s="45">
        <v>1365.220087598599</v>
      </c>
      <c r="F45" s="44">
        <v>1398.9476055261164</v>
      </c>
      <c r="G45" s="44">
        <v>1509.9533944238838</v>
      </c>
      <c r="H45" s="44">
        <v>0</v>
      </c>
      <c r="I45" s="44">
        <v>0</v>
      </c>
    </row>
    <row r="46" spans="1:9" ht="15">
      <c r="A46" s="43" t="str">
        <f>HLOOKUP(INDICE!$F$2,Nombres!$C$3:$D$636,35,FALSE)</f>
        <v>Resultados de operaciones financieras</v>
      </c>
      <c r="B46" s="44">
        <v>503.71243823487555</v>
      </c>
      <c r="C46" s="44">
        <v>448.280691569086</v>
      </c>
      <c r="D46" s="44">
        <v>501.65255609626</v>
      </c>
      <c r="E46" s="45">
        <v>292.0946531972324</v>
      </c>
      <c r="F46" s="44">
        <v>380.1906281138985</v>
      </c>
      <c r="G46" s="44">
        <v>392.4553719261015</v>
      </c>
      <c r="H46" s="44">
        <v>0</v>
      </c>
      <c r="I46" s="44">
        <v>0</v>
      </c>
    </row>
    <row r="47" spans="1:9" ht="15">
      <c r="A47" s="43" t="str">
        <f>HLOOKUP(INDICE!$F$2,Nombres!$C$3:$D$636,96,FALSE)</f>
        <v>Ingresos por dividendos</v>
      </c>
      <c r="B47" s="44">
        <v>3.3149155631280864</v>
      </c>
      <c r="C47" s="44">
        <v>70.68897689670546</v>
      </c>
      <c r="D47" s="44">
        <v>2.772645304010707</v>
      </c>
      <c r="E47" s="45">
        <v>44.48058749330216</v>
      </c>
      <c r="F47" s="44">
        <v>4.212626235136328</v>
      </c>
      <c r="G47" s="44">
        <v>68.93737376486358</v>
      </c>
      <c r="H47" s="44">
        <v>0</v>
      </c>
      <c r="I47" s="44">
        <v>0</v>
      </c>
    </row>
    <row r="48" spans="1:9" ht="15">
      <c r="A48" s="43" t="str">
        <f>HLOOKUP(INDICE!$F$2,Nombres!$C$3:$D$636,97,FALSE)</f>
        <v>Part. gananc/pdas inversiones en dependientes, neg conjunt y asoc</v>
      </c>
      <c r="B48" s="44">
        <v>5.808766194433195</v>
      </c>
      <c r="C48" s="44">
        <v>10.926327605451455</v>
      </c>
      <c r="D48" s="44">
        <v>1.8113065777161879</v>
      </c>
      <c r="E48" s="45">
        <v>4.131525874459864</v>
      </c>
      <c r="F48" s="44">
        <v>6.459266584043415</v>
      </c>
      <c r="G48" s="44">
        <v>7.922733415956586</v>
      </c>
      <c r="H48" s="44">
        <v>0</v>
      </c>
      <c r="I48" s="44">
        <v>0</v>
      </c>
    </row>
    <row r="49" spans="1:9" ht="15">
      <c r="A49" s="43" t="str">
        <f>HLOOKUP(INDICE!$F$2,Nombres!$C$3:$D$636,98,FALSE)</f>
        <v>Otros productos/cargas de explotación</v>
      </c>
      <c r="B49" s="44">
        <v>-596.801164976257</v>
      </c>
      <c r="C49" s="44">
        <v>-756.137337437072</v>
      </c>
      <c r="D49" s="44">
        <v>-401.4962385582423</v>
      </c>
      <c r="E49" s="45">
        <v>-455.86682760207736</v>
      </c>
      <c r="F49" s="44">
        <v>-675.9065749939839</v>
      </c>
      <c r="G49" s="44">
        <v>-355.2094250060165</v>
      </c>
      <c r="H49" s="44">
        <v>0</v>
      </c>
      <c r="I49" s="44">
        <v>0</v>
      </c>
    </row>
    <row r="50" spans="1:9" ht="15">
      <c r="A50" s="41" t="str">
        <f>HLOOKUP(INDICE!$F$2,Nombres!$C$3:$D$636,37,FALSE)</f>
        <v>Margen bruto</v>
      </c>
      <c r="B50" s="41">
        <f aca="true" t="shared" si="6" ref="B50:I50">+SUM(B44:B49)</f>
        <v>4995.324423000244</v>
      </c>
      <c r="C50" s="41">
        <f t="shared" si="6"/>
        <v>5466.78559017684</v>
      </c>
      <c r="D50" s="41">
        <f t="shared" si="6"/>
        <v>6350.263143022576</v>
      </c>
      <c r="E50" s="42">
        <f t="shared" si="6"/>
        <v>6721.8579920929515</v>
      </c>
      <c r="F50" s="41">
        <f t="shared" si="6"/>
        <v>6562.135169077379</v>
      </c>
      <c r="G50" s="50">
        <f t="shared" si="6"/>
        <v>7585.443830912622</v>
      </c>
      <c r="H50" s="50">
        <f t="shared" si="6"/>
        <v>0</v>
      </c>
      <c r="I50" s="50">
        <f t="shared" si="6"/>
        <v>0</v>
      </c>
    </row>
    <row r="51" spans="1:9" ht="15">
      <c r="A51" s="43" t="str">
        <f>HLOOKUP(INDICE!$F$2,Nombres!$C$3:$D$636,38,FALSE)</f>
        <v>Gastos de explotación</v>
      </c>
      <c r="B51" s="44">
        <v>-2363.98699834097</v>
      </c>
      <c r="C51" s="44">
        <v>-2517.421406049337</v>
      </c>
      <c r="D51" s="44">
        <v>-2687.9353551397653</v>
      </c>
      <c r="E51" s="45">
        <v>-2938.1982654101275</v>
      </c>
      <c r="F51" s="44">
        <v>-2913.642101092647</v>
      </c>
      <c r="G51" s="44">
        <v>-3024.5888990373537</v>
      </c>
      <c r="H51" s="44">
        <v>0</v>
      </c>
      <c r="I51" s="44">
        <v>0</v>
      </c>
    </row>
    <row r="52" spans="1:9" ht="15">
      <c r="A52" s="43" t="str">
        <f>HLOOKUP(INDICE!$F$2,Nombres!$C$3:$D$636,39,FALSE)</f>
        <v>  Gastos de administración</v>
      </c>
      <c r="B52" s="44">
        <v>-2046.8619606010275</v>
      </c>
      <c r="C52" s="44">
        <v>-2178.531976640877</v>
      </c>
      <c r="D52" s="44">
        <v>-2350.398559912322</v>
      </c>
      <c r="E52" s="45">
        <v>-2596.4397929314837</v>
      </c>
      <c r="F52" s="44">
        <v>-2578.393400128352</v>
      </c>
      <c r="G52" s="44">
        <v>-2684.064599971648</v>
      </c>
      <c r="H52" s="44">
        <v>0</v>
      </c>
      <c r="I52" s="44">
        <v>0</v>
      </c>
    </row>
    <row r="53" spans="1:9" ht="15">
      <c r="A53" s="46" t="str">
        <f>HLOOKUP(INDICE!$F$2,Nombres!$C$3:$D$636,40,FALSE)</f>
        <v>  Gastos de personal</v>
      </c>
      <c r="B53" s="44">
        <v>-1204.312822675093</v>
      </c>
      <c r="C53" s="44">
        <v>-1280.9436049228057</v>
      </c>
      <c r="D53" s="44">
        <v>-1402.0610943637662</v>
      </c>
      <c r="E53" s="45">
        <v>-1583.842907013847</v>
      </c>
      <c r="F53" s="44">
        <v>-1494.5686760330943</v>
      </c>
      <c r="G53" s="44">
        <v>-1586.6163240069059</v>
      </c>
      <c r="H53" s="44">
        <v>0</v>
      </c>
      <c r="I53" s="44">
        <v>0</v>
      </c>
    </row>
    <row r="54" spans="1:9" ht="15">
      <c r="A54" s="46" t="str">
        <f>HLOOKUP(INDICE!$F$2,Nombres!$C$3:$D$636,41,FALSE)</f>
        <v>  Otros gastos de administración</v>
      </c>
      <c r="B54" s="44">
        <v>-842.5491379259342</v>
      </c>
      <c r="C54" s="44">
        <v>-897.5883717180714</v>
      </c>
      <c r="D54" s="44">
        <v>-948.3374655485561</v>
      </c>
      <c r="E54" s="45">
        <v>-1012.5968859176372</v>
      </c>
      <c r="F54" s="44">
        <v>-1083.8247240952574</v>
      </c>
      <c r="G54" s="44">
        <v>-1097.4482759647424</v>
      </c>
      <c r="H54" s="44">
        <v>0</v>
      </c>
      <c r="I54" s="44">
        <v>0</v>
      </c>
    </row>
    <row r="55" spans="1:9" ht="15">
      <c r="A55" s="43" t="str">
        <f>HLOOKUP(INDICE!$F$2,Nombres!$C$3:$D$636,42,FALSE)</f>
        <v>  Amortización</v>
      </c>
      <c r="B55" s="44">
        <v>-317.1250377399425</v>
      </c>
      <c r="C55" s="44">
        <v>-338.8894294084595</v>
      </c>
      <c r="D55" s="44">
        <v>-337.53679522744335</v>
      </c>
      <c r="E55" s="45">
        <v>-341.7584724786437</v>
      </c>
      <c r="F55" s="44">
        <v>-335.2487009642949</v>
      </c>
      <c r="G55" s="44">
        <v>-340.52429906570507</v>
      </c>
      <c r="H55" s="44">
        <v>0</v>
      </c>
      <c r="I55" s="44">
        <v>0</v>
      </c>
    </row>
    <row r="56" spans="1:9" ht="15">
      <c r="A56" s="41" t="str">
        <f>HLOOKUP(INDICE!$F$2,Nombres!$C$3:$D$636,43,FALSE)</f>
        <v>Margen neto</v>
      </c>
      <c r="B56" s="41">
        <f aca="true" t="shared" si="7" ref="B56:I56">+B50+B51</f>
        <v>2631.337424659274</v>
      </c>
      <c r="C56" s="41">
        <f t="shared" si="7"/>
        <v>2949.364184127503</v>
      </c>
      <c r="D56" s="41">
        <f t="shared" si="7"/>
        <v>3662.3277878828103</v>
      </c>
      <c r="E56" s="42">
        <f t="shared" si="7"/>
        <v>3783.659726682824</v>
      </c>
      <c r="F56" s="41">
        <f t="shared" si="7"/>
        <v>3648.493067984732</v>
      </c>
      <c r="G56" s="50">
        <f t="shared" si="7"/>
        <v>4560.854931875268</v>
      </c>
      <c r="H56" s="50">
        <f t="shared" si="7"/>
        <v>0</v>
      </c>
      <c r="I56" s="50">
        <f t="shared" si="7"/>
        <v>0</v>
      </c>
    </row>
    <row r="57" spans="1:9" ht="15">
      <c r="A57" s="43" t="str">
        <f>HLOOKUP(INDICE!$F$2,Nombres!$C$3:$D$636,44,FALSE)</f>
        <v>Deterioro de activos financieros no valorados a valor razonable con cambios en resultados</v>
      </c>
      <c r="B57" s="44">
        <v>-738.0134705861984</v>
      </c>
      <c r="C57" s="44">
        <v>-703.9195001721398</v>
      </c>
      <c r="D57" s="44">
        <v>-905.144466496423</v>
      </c>
      <c r="E57" s="45">
        <v>-1001.8265247437822</v>
      </c>
      <c r="F57" s="44">
        <v>-954.5159332711124</v>
      </c>
      <c r="G57" s="44">
        <v>-1038.2440667388878</v>
      </c>
      <c r="H57" s="44">
        <v>0</v>
      </c>
      <c r="I57" s="44">
        <v>0</v>
      </c>
    </row>
    <row r="58" spans="1:9" ht="15">
      <c r="A58" s="43" t="str">
        <f>HLOOKUP(INDICE!$F$2,Nombres!$C$3:$D$636,247,FALSE)</f>
        <v>Provisiones o reversión de provisiones</v>
      </c>
      <c r="B58" s="44">
        <v>-40.0014495656463</v>
      </c>
      <c r="C58" s="44">
        <v>-48.60166084788564</v>
      </c>
      <c r="D58" s="44">
        <v>-122.83564170123276</v>
      </c>
      <c r="E58" s="45">
        <v>-39.52577911951725</v>
      </c>
      <c r="F58" s="44">
        <v>-12.923641718127357</v>
      </c>
      <c r="G58" s="44">
        <v>-115.87035827187265</v>
      </c>
      <c r="H58" s="44">
        <v>0</v>
      </c>
      <c r="I58" s="44">
        <v>0</v>
      </c>
    </row>
    <row r="59" spans="1:9" ht="15">
      <c r="A59" s="43" t="str">
        <f>HLOOKUP(INDICE!$F$2,Nombres!$C$3:$D$636,248,FALSE)</f>
        <v>Otros resultados</v>
      </c>
      <c r="B59" s="44">
        <v>16.721177172114338</v>
      </c>
      <c r="C59" s="44">
        <v>-6.451136155327175</v>
      </c>
      <c r="D59" s="44">
        <v>18.624513145424707</v>
      </c>
      <c r="E59" s="45">
        <v>-6.773121089176065</v>
      </c>
      <c r="F59" s="44">
        <v>-15.890646879701626</v>
      </c>
      <c r="G59" s="44">
        <v>50.220646879701626</v>
      </c>
      <c r="H59" s="44">
        <v>0</v>
      </c>
      <c r="I59" s="44">
        <v>0</v>
      </c>
    </row>
    <row r="60" spans="1:9" ht="15">
      <c r="A60" s="41" t="str">
        <f>HLOOKUP(INDICE!$F$2,Nombres!$C$3:$D$636,46,FALSE)</f>
        <v>Resultado antes de impuestos</v>
      </c>
      <c r="B60" s="50">
        <f aca="true" t="shared" si="8" ref="B60:G60">+B56+B57+B58+B59</f>
        <v>1870.0436816795436</v>
      </c>
      <c r="C60" s="50">
        <f t="shared" si="8"/>
        <v>2190.39188695215</v>
      </c>
      <c r="D60" s="50">
        <f t="shared" si="8"/>
        <v>2652.9721928305794</v>
      </c>
      <c r="E60" s="42">
        <f t="shared" si="8"/>
        <v>2735.5343017303485</v>
      </c>
      <c r="F60" s="50">
        <f t="shared" si="8"/>
        <v>2665.1628461157907</v>
      </c>
      <c r="G60" s="50">
        <f t="shared" si="8"/>
        <v>3456.9611537442097</v>
      </c>
      <c r="H60" s="50">
        <f>+H56+H57+H58+H59</f>
        <v>0</v>
      </c>
      <c r="I60" s="50">
        <f>+I56+I57+I58+I59</f>
        <v>0</v>
      </c>
    </row>
    <row r="61" spans="1:9" ht="15">
      <c r="A61" s="43" t="str">
        <f>HLOOKUP(INDICE!$F$2,Nombres!$C$3:$D$636,47,FALSE)</f>
        <v>Impuesto sobre beneficios</v>
      </c>
      <c r="B61" s="44">
        <v>-803.9496516466588</v>
      </c>
      <c r="C61" s="44">
        <v>-573.4000234917808</v>
      </c>
      <c r="D61" s="44">
        <v>-901.6539940108162</v>
      </c>
      <c r="E61" s="45">
        <v>-904.2291947168295</v>
      </c>
      <c r="F61" s="44">
        <v>-874.6080972472528</v>
      </c>
      <c r="G61" s="44">
        <v>-1103.4499028027474</v>
      </c>
      <c r="H61" s="44">
        <v>0</v>
      </c>
      <c r="I61" s="44">
        <v>0</v>
      </c>
    </row>
    <row r="62" spans="1:9" ht="15">
      <c r="A62" s="41" t="str">
        <f>HLOOKUP(INDICE!$F$2,Nombres!$C$3:$D$636,48,FALSE)</f>
        <v>Resultado del ejercicio</v>
      </c>
      <c r="B62" s="50">
        <f aca="true" t="shared" si="9" ref="B62:G62">+B60+B61</f>
        <v>1066.0940300328848</v>
      </c>
      <c r="C62" s="50">
        <f t="shared" si="9"/>
        <v>1616.9918634603691</v>
      </c>
      <c r="D62" s="50">
        <f t="shared" si="9"/>
        <v>1751.3181988197632</v>
      </c>
      <c r="E62" s="42">
        <f t="shared" si="9"/>
        <v>1831.3051070135189</v>
      </c>
      <c r="F62" s="50">
        <f t="shared" si="9"/>
        <v>1790.554748868538</v>
      </c>
      <c r="G62" s="50">
        <f t="shared" si="9"/>
        <v>2353.511250941462</v>
      </c>
      <c r="H62" s="50">
        <f>+H60+H61</f>
        <v>0</v>
      </c>
      <c r="I62" s="50">
        <f>+I60+I61</f>
        <v>0</v>
      </c>
    </row>
    <row r="63" spans="1:9" ht="15">
      <c r="A63" s="43" t="str">
        <f>HLOOKUP(INDICE!$F$2,Nombres!$C$3:$D$636,49,FALSE)</f>
        <v>Minoritarios</v>
      </c>
      <c r="B63" s="44">
        <v>183.78832721336923</v>
      </c>
      <c r="C63" s="44">
        <v>6.167256425984775</v>
      </c>
      <c r="D63" s="44">
        <v>-100.18001959889547</v>
      </c>
      <c r="E63" s="45">
        <v>-187.21913037685584</v>
      </c>
      <c r="F63" s="44">
        <v>-108.37436961769694</v>
      </c>
      <c r="G63" s="44">
        <v>-157.73063040230306</v>
      </c>
      <c r="H63" s="44">
        <v>0</v>
      </c>
      <c r="I63" s="44">
        <v>0</v>
      </c>
    </row>
    <row r="64" spans="1:9" ht="15">
      <c r="A64" s="47" t="str">
        <f>HLOOKUP(INDICE!$F$2,Nombres!$C$3:$D$636,305,FALSE)</f>
        <v>Resultado atribuido excluyendo impactos no recurrentes</v>
      </c>
      <c r="B64" s="47">
        <f aca="true" t="shared" si="10" ref="B64:I64">+B62+B63</f>
        <v>1249.882357246254</v>
      </c>
      <c r="C64" s="47">
        <f t="shared" si="10"/>
        <v>1623.159119886354</v>
      </c>
      <c r="D64" s="47">
        <f t="shared" si="10"/>
        <v>1651.1381792208676</v>
      </c>
      <c r="E64" s="47">
        <f t="shared" si="10"/>
        <v>1644.085976636663</v>
      </c>
      <c r="F64" s="47">
        <f t="shared" si="10"/>
        <v>1682.180379250841</v>
      </c>
      <c r="G64" s="47">
        <f t="shared" si="10"/>
        <v>2195.780620539159</v>
      </c>
      <c r="H64" s="47">
        <f t="shared" si="10"/>
        <v>0</v>
      </c>
      <c r="I64" s="47">
        <f t="shared" si="10"/>
        <v>0</v>
      </c>
    </row>
    <row r="65" spans="1:9" ht="15">
      <c r="A65" s="43" t="str">
        <f>HLOOKUP(INDICE!$F$2,Nombres!$C$3:$D$636,319,FALSE)</f>
        <v>Impacto neto de la compra de oficinas en España</v>
      </c>
      <c r="B65" s="44">
        <v>0</v>
      </c>
      <c r="C65" s="44">
        <v>-201.39716995</v>
      </c>
      <c r="D65" s="44">
        <v>0</v>
      </c>
      <c r="E65" s="45">
        <v>0</v>
      </c>
      <c r="F65" s="44">
        <v>0</v>
      </c>
      <c r="G65" s="44">
        <v>0</v>
      </c>
      <c r="H65" s="44">
        <v>0</v>
      </c>
      <c r="I65" s="44">
        <v>0</v>
      </c>
    </row>
    <row r="66" spans="1:9" ht="15">
      <c r="A66" s="47" t="str">
        <f>HLOOKUP(INDICE!$F$2,Nombres!$C$3:$D$636,50,FALSE)</f>
        <v>Resultado atribuido</v>
      </c>
      <c r="B66" s="47">
        <f aca="true" t="shared" si="11" ref="B66:I66">+B64+B65</f>
        <v>1249.882357246254</v>
      </c>
      <c r="C66" s="47">
        <f t="shared" si="11"/>
        <v>1421.7619499363539</v>
      </c>
      <c r="D66" s="47">
        <f t="shared" si="11"/>
        <v>1651.1381792208676</v>
      </c>
      <c r="E66" s="47">
        <f t="shared" si="11"/>
        <v>1644.085976636663</v>
      </c>
      <c r="F66" s="47">
        <f t="shared" si="11"/>
        <v>1682.180379250841</v>
      </c>
      <c r="G66" s="47">
        <f t="shared" si="11"/>
        <v>2195.780620539159</v>
      </c>
      <c r="H66" s="47">
        <f t="shared" si="11"/>
        <v>0</v>
      </c>
      <c r="I66" s="47">
        <f t="shared" si="11"/>
        <v>0</v>
      </c>
    </row>
    <row r="67" spans="1:9" ht="15">
      <c r="A67" s="43"/>
      <c r="B67" s="48">
        <v>0</v>
      </c>
      <c r="C67" s="48">
        <v>0</v>
      </c>
      <c r="D67" s="48">
        <v>0</v>
      </c>
      <c r="E67" s="48">
        <v>0</v>
      </c>
      <c r="F67" s="48">
        <v>0</v>
      </c>
      <c r="G67" s="48">
        <v>0</v>
      </c>
      <c r="H67" s="48">
        <v>0</v>
      </c>
      <c r="I67" s="48">
        <v>0</v>
      </c>
    </row>
    <row r="68" spans="1:9" ht="12.75" customHeight="1">
      <c r="A68" s="278"/>
      <c r="B68" s="48">
        <v>0</v>
      </c>
      <c r="C68" s="48">
        <v>0</v>
      </c>
      <c r="D68" s="48">
        <v>0</v>
      </c>
      <c r="E68" s="48">
        <v>0</v>
      </c>
      <c r="F68" s="48">
        <v>0</v>
      </c>
      <c r="G68" s="48">
        <v>0</v>
      </c>
      <c r="H68" s="48">
        <v>0</v>
      </c>
      <c r="I68" s="48">
        <v>0</v>
      </c>
    </row>
    <row r="69" spans="1:9" ht="24" customHeight="1">
      <c r="A69" s="300"/>
      <c r="B69" s="300"/>
      <c r="C69" s="300"/>
      <c r="D69" s="300"/>
      <c r="E69" s="300"/>
      <c r="F69" s="300"/>
      <c r="G69" s="300"/>
      <c r="H69" s="300"/>
      <c r="I69" s="300"/>
    </row>
    <row r="70" spans="1:9" ht="15" customHeight="1">
      <c r="A70" s="300"/>
      <c r="B70" s="300"/>
      <c r="C70" s="300"/>
      <c r="D70" s="300"/>
      <c r="E70" s="300"/>
      <c r="F70" s="300"/>
      <c r="G70" s="300"/>
      <c r="H70" s="300"/>
      <c r="I70" s="300"/>
    </row>
    <row r="71" spans="1:9" ht="15">
      <c r="A71" s="43"/>
      <c r="B71" s="262"/>
      <c r="C71" s="262"/>
      <c r="D71" s="262"/>
      <c r="E71" s="262"/>
      <c r="F71" s="262"/>
      <c r="G71" s="262"/>
      <c r="H71" s="262"/>
      <c r="I71" s="262"/>
    </row>
    <row r="72" spans="1:9" ht="15">
      <c r="A72"/>
      <c r="B72" s="262"/>
      <c r="C72" s="262"/>
      <c r="D72" s="262"/>
      <c r="E72" s="262"/>
      <c r="F72" s="262"/>
      <c r="G72" s="262"/>
      <c r="H72" s="262"/>
      <c r="I72" s="262"/>
    </row>
    <row r="73" spans="2:9" ht="15">
      <c r="B73" s="262"/>
      <c r="C73" s="262"/>
      <c r="D73" s="262"/>
      <c r="E73" s="262"/>
      <c r="F73" s="262"/>
      <c r="G73" s="262"/>
      <c r="H73" s="262"/>
      <c r="I73" s="262"/>
    </row>
    <row r="85" ht="15">
      <c r="A85"/>
    </row>
    <row r="999" ht="15">
      <c r="A999" s="31" t="s">
        <v>391</v>
      </c>
    </row>
  </sheetData>
  <sheetProtection/>
  <mergeCells count="9">
    <mergeCell ref="A34:I34"/>
    <mergeCell ref="B42:E42"/>
    <mergeCell ref="F42:I42"/>
    <mergeCell ref="A69:I69"/>
    <mergeCell ref="A70:I70"/>
    <mergeCell ref="B6:E6"/>
    <mergeCell ref="F6:I6"/>
    <mergeCell ref="A35:I35"/>
    <mergeCell ref="A33:I33"/>
  </mergeCells>
  <conditionalFormatting sqref="H36:I36">
    <cfRule type="cellIs" priority="76" dxfId="36" operator="notBetween">
      <formula>0.4</formula>
      <formula>-0.4</formula>
    </cfRule>
  </conditionalFormatting>
  <conditionalFormatting sqref="H37:I37">
    <cfRule type="cellIs" priority="75" dxfId="36" operator="notBetween">
      <formula>0.4</formula>
      <formula>-0.4</formula>
    </cfRule>
  </conditionalFormatting>
  <conditionalFormatting sqref="H31">
    <cfRule type="cellIs" priority="70" dxfId="196" operator="notBetween">
      <formula>0.5</formula>
      <formula>-0.5</formula>
    </cfRule>
  </conditionalFormatting>
  <conditionalFormatting sqref="I31">
    <cfRule type="cellIs" priority="74" dxfId="196" operator="notBetween">
      <formula>0.5</formula>
      <formula>-0.5</formula>
    </cfRule>
  </conditionalFormatting>
  <conditionalFormatting sqref="H71">
    <cfRule type="cellIs" priority="72" dxfId="36" operator="notBetween">
      <formula>0.4</formula>
      <formula>-0.4</formula>
    </cfRule>
  </conditionalFormatting>
  <conditionalFormatting sqref="I71">
    <cfRule type="cellIs" priority="71" dxfId="36" operator="notBetween">
      <formula>0.4</formula>
      <formula>-0.4</formula>
    </cfRule>
  </conditionalFormatting>
  <conditionalFormatting sqref="H31:I31">
    <cfRule type="cellIs" priority="64" dxfId="196" operator="notBetween">
      <formula>0.5</formula>
      <formula>-0.5</formula>
    </cfRule>
  </conditionalFormatting>
  <conditionalFormatting sqref="H32:I32">
    <cfRule type="cellIs" priority="61" dxfId="196" operator="notBetween">
      <formula>0.5</formula>
      <formula>-0.5</formula>
    </cfRule>
  </conditionalFormatting>
  <conditionalFormatting sqref="H31">
    <cfRule type="cellIs" priority="58" dxfId="196" operator="notBetween">
      <formula>0.5</formula>
      <formula>-0.5</formula>
    </cfRule>
  </conditionalFormatting>
  <conditionalFormatting sqref="I31">
    <cfRule type="cellIs" priority="57" dxfId="196" operator="notBetween">
      <formula>0.5</formula>
      <formula>-0.5</formula>
    </cfRule>
  </conditionalFormatting>
  <conditionalFormatting sqref="H32:I32">
    <cfRule type="cellIs" priority="53" dxfId="196" operator="notBetween">
      <formula>0.5</formula>
      <formula>-0.5</formula>
    </cfRule>
  </conditionalFormatting>
  <conditionalFormatting sqref="H72">
    <cfRule type="cellIs" priority="51" dxfId="36" operator="notBetween">
      <formula>0.4</formula>
      <formula>-0.4</formula>
    </cfRule>
  </conditionalFormatting>
  <conditionalFormatting sqref="I72">
    <cfRule type="cellIs" priority="50" dxfId="36" operator="notBetween">
      <formula>0.4</formula>
      <formula>-0.4</formula>
    </cfRule>
  </conditionalFormatting>
  <conditionalFormatting sqref="H67">
    <cfRule type="cellIs" priority="48" dxfId="196" operator="notBetween">
      <formula>0.5</formula>
      <formula>-0.5</formula>
    </cfRule>
  </conditionalFormatting>
  <conditionalFormatting sqref="I67">
    <cfRule type="cellIs" priority="49" dxfId="196" operator="notBetween">
      <formula>0.5</formula>
      <formula>-0.5</formula>
    </cfRule>
  </conditionalFormatting>
  <conditionalFormatting sqref="H67:I67">
    <cfRule type="cellIs" priority="42" dxfId="196" operator="notBetween">
      <formula>0.5</formula>
      <formula>-0.5</formula>
    </cfRule>
  </conditionalFormatting>
  <conditionalFormatting sqref="H67">
    <cfRule type="cellIs" priority="39" dxfId="196" operator="notBetween">
      <formula>0.5</formula>
      <formula>-0.5</formula>
    </cfRule>
  </conditionalFormatting>
  <conditionalFormatting sqref="I67">
    <cfRule type="cellIs" priority="38" dxfId="196" operator="notBetween">
      <formula>0.5</formula>
      <formula>-0.5</formula>
    </cfRule>
  </conditionalFormatting>
  <conditionalFormatting sqref="H67:I67">
    <cfRule type="cellIs" priority="35" dxfId="196" operator="notBetween">
      <formula>0.5</formula>
      <formula>-0.5</formula>
    </cfRule>
  </conditionalFormatting>
  <conditionalFormatting sqref="H68:I68">
    <cfRule type="cellIs" priority="34" dxfId="196" operator="notBetween">
      <formula>0.5</formula>
      <formula>-0.5</formula>
    </cfRule>
  </conditionalFormatting>
  <conditionalFormatting sqref="H68:I68">
    <cfRule type="cellIs" priority="33" dxfId="196" operator="notBetween">
      <formula>0.5</formula>
      <formula>-0.5</formula>
    </cfRule>
  </conditionalFormatting>
  <conditionalFormatting sqref="B36:G36">
    <cfRule type="cellIs" priority="32" dxfId="36" operator="notBetween">
      <formula>0.4</formula>
      <formula>-0.4</formula>
    </cfRule>
  </conditionalFormatting>
  <conditionalFormatting sqref="B37:G37">
    <cfRule type="cellIs" priority="31" dxfId="36" operator="notBetween">
      <formula>0.4</formula>
      <formula>-0.4</formula>
    </cfRule>
  </conditionalFormatting>
  <conditionalFormatting sqref="E31">
    <cfRule type="cellIs" priority="27" dxfId="196" operator="notBetween">
      <formula>0.5</formula>
      <formula>-0.5</formula>
    </cfRule>
  </conditionalFormatting>
  <conditionalFormatting sqref="C31">
    <cfRule type="cellIs" priority="25" dxfId="196" operator="notBetween">
      <formula>0.5</formula>
      <formula>-0.5</formula>
    </cfRule>
  </conditionalFormatting>
  <conditionalFormatting sqref="B71:G71">
    <cfRule type="cellIs" priority="30" dxfId="36" operator="notBetween">
      <formula>0.4</formula>
      <formula>-0.4</formula>
    </cfRule>
  </conditionalFormatting>
  <conditionalFormatting sqref="G31">
    <cfRule type="cellIs" priority="29" dxfId="196" operator="notBetween">
      <formula>0.5</formula>
      <formula>-0.5</formula>
    </cfRule>
  </conditionalFormatting>
  <conditionalFormatting sqref="F31">
    <cfRule type="cellIs" priority="28" dxfId="196" operator="notBetween">
      <formula>0.5</formula>
      <formula>-0.5</formula>
    </cfRule>
  </conditionalFormatting>
  <conditionalFormatting sqref="D31">
    <cfRule type="cellIs" priority="26" dxfId="196" operator="notBetween">
      <formula>0.5</formula>
      <formula>-0.5</formula>
    </cfRule>
  </conditionalFormatting>
  <conditionalFormatting sqref="D32">
    <cfRule type="cellIs" priority="22" dxfId="196" operator="notBetween">
      <formula>0.5</formula>
      <formula>-0.5</formula>
    </cfRule>
  </conditionalFormatting>
  <conditionalFormatting sqref="B31:G31">
    <cfRule type="cellIs" priority="24" dxfId="196" operator="notBetween">
      <formula>0.5</formula>
      <formula>-0.5</formula>
    </cfRule>
  </conditionalFormatting>
  <conditionalFormatting sqref="C32">
    <cfRule type="cellIs" priority="23" dxfId="196" operator="notBetween">
      <formula>0.5</formula>
      <formula>-0.5</formula>
    </cfRule>
  </conditionalFormatting>
  <conditionalFormatting sqref="B32:G32">
    <cfRule type="cellIs" priority="21" dxfId="196" operator="notBetween">
      <formula>0.5</formula>
      <formula>-0.5</formula>
    </cfRule>
  </conditionalFormatting>
  <conditionalFormatting sqref="F31">
    <cfRule type="cellIs" priority="20" dxfId="196" operator="notBetween">
      <formula>0.5</formula>
      <formula>-0.5</formula>
    </cfRule>
  </conditionalFormatting>
  <conditionalFormatting sqref="G31">
    <cfRule type="cellIs" priority="19" dxfId="196" operator="notBetween">
      <formula>0.5</formula>
      <formula>-0.5</formula>
    </cfRule>
  </conditionalFormatting>
  <conditionalFormatting sqref="D31">
    <cfRule type="cellIs" priority="18" dxfId="196" operator="notBetween">
      <formula>0.5</formula>
      <formula>-0.5</formula>
    </cfRule>
  </conditionalFormatting>
  <conditionalFormatting sqref="C31">
    <cfRule type="cellIs" priority="17" dxfId="196" operator="notBetween">
      <formula>0.5</formula>
      <formula>-0.5</formula>
    </cfRule>
  </conditionalFormatting>
  <conditionalFormatting sqref="B31">
    <cfRule type="cellIs" priority="16" dxfId="196" operator="notBetween">
      <formula>0.5</formula>
      <formula>-0.5</formula>
    </cfRule>
  </conditionalFormatting>
  <conditionalFormatting sqref="F32:G32">
    <cfRule type="cellIs" priority="15" dxfId="196" operator="notBetween">
      <formula>0.5</formula>
      <formula>-0.5</formula>
    </cfRule>
  </conditionalFormatting>
  <conditionalFormatting sqref="B72:G72">
    <cfRule type="cellIs" priority="14" dxfId="36" operator="notBetween">
      <formula>0.4</formula>
      <formula>-0.4</formula>
    </cfRule>
  </conditionalFormatting>
  <conditionalFormatting sqref="E67">
    <cfRule type="cellIs" priority="11" dxfId="196" operator="notBetween">
      <formula>0.5</formula>
      <formula>-0.5</formula>
    </cfRule>
  </conditionalFormatting>
  <conditionalFormatting sqref="C67">
    <cfRule type="cellIs" priority="9" dxfId="196" operator="notBetween">
      <formula>0.5</formula>
      <formula>-0.5</formula>
    </cfRule>
  </conditionalFormatting>
  <conditionalFormatting sqref="G67">
    <cfRule type="cellIs" priority="13" dxfId="196" operator="notBetween">
      <formula>0.5</formula>
      <formula>-0.5</formula>
    </cfRule>
  </conditionalFormatting>
  <conditionalFormatting sqref="F67">
    <cfRule type="cellIs" priority="12" dxfId="196" operator="notBetween">
      <formula>0.5</formula>
      <formula>-0.5</formula>
    </cfRule>
  </conditionalFormatting>
  <conditionalFormatting sqref="D67">
    <cfRule type="cellIs" priority="10" dxfId="196" operator="notBetween">
      <formula>0.5</formula>
      <formula>-0.5</formula>
    </cfRule>
  </conditionalFormatting>
  <conditionalFormatting sqref="B67:G67">
    <cfRule type="cellIs" priority="8" dxfId="196" operator="notBetween">
      <formula>0.5</formula>
      <formula>-0.5</formula>
    </cfRule>
  </conditionalFormatting>
  <conditionalFormatting sqref="F67">
    <cfRule type="cellIs" priority="7" dxfId="196" operator="notBetween">
      <formula>0.5</formula>
      <formula>-0.5</formula>
    </cfRule>
  </conditionalFormatting>
  <conditionalFormatting sqref="G67">
    <cfRule type="cellIs" priority="6" dxfId="196" operator="notBetween">
      <formula>0.5</formula>
      <formula>-0.5</formula>
    </cfRule>
  </conditionalFormatting>
  <conditionalFormatting sqref="D67">
    <cfRule type="cellIs" priority="5" dxfId="196" operator="notBetween">
      <formula>0.5</formula>
      <formula>-0.5</formula>
    </cfRule>
  </conditionalFormatting>
  <conditionalFormatting sqref="C67">
    <cfRule type="cellIs" priority="4" dxfId="196" operator="notBetween">
      <formula>0.5</formula>
      <formula>-0.5</formula>
    </cfRule>
  </conditionalFormatting>
  <conditionalFormatting sqref="B67:G67">
    <cfRule type="cellIs" priority="3" dxfId="196" operator="notBetween">
      <formula>0.5</formula>
      <formula>-0.5</formula>
    </cfRule>
  </conditionalFormatting>
  <conditionalFormatting sqref="B68:G68">
    <cfRule type="cellIs" priority="2" dxfId="196" operator="notBetween">
      <formula>0.5</formula>
      <formula>-0.5</formula>
    </cfRule>
  </conditionalFormatting>
  <conditionalFormatting sqref="B68:G68">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7" width="11.421875" style="31" customWidth="1"/>
    <col min="8" max="9" width="0" style="31" hidden="1" customWidth="1"/>
    <col min="10"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2"/>
      <c r="D4" s="52"/>
      <c r="E4" s="52"/>
      <c r="F4" s="30"/>
      <c r="G4" s="58"/>
      <c r="H4" s="58"/>
      <c r="I4" s="58"/>
    </row>
    <row r="5" spans="1:9" ht="15.75">
      <c r="A5" s="30"/>
      <c r="B5" s="53">
        <f>+España!B32</f>
        <v>44651</v>
      </c>
      <c r="C5" s="53">
        <f>+España!C32</f>
        <v>44742</v>
      </c>
      <c r="D5" s="53">
        <f>+España!D32</f>
        <v>44834</v>
      </c>
      <c r="E5" s="53">
        <f>+España!E32</f>
        <v>44926</v>
      </c>
      <c r="F5" s="53">
        <f>+España!F32</f>
        <v>45016</v>
      </c>
      <c r="G5" s="53">
        <f>+España!G32</f>
        <v>45107</v>
      </c>
      <c r="H5" s="53">
        <f>+España!H32</f>
        <v>45199</v>
      </c>
      <c r="I5" s="53">
        <f>+España!I32</f>
        <v>45291</v>
      </c>
    </row>
    <row r="6" spans="1:18" ht="15">
      <c r="A6" s="43" t="str">
        <f>HLOOKUP(INDICE!$F$2,Nombres!$C$3:$D$636,52,FALSE)</f>
        <v>Efectivo, saldos en efectivo en bancos centrales y otros depósitos a la vista</v>
      </c>
      <c r="B6" s="44">
        <v>70936.578</v>
      </c>
      <c r="C6" s="44">
        <v>81507.862</v>
      </c>
      <c r="D6" s="44">
        <v>88076.127</v>
      </c>
      <c r="E6" s="44">
        <v>79755.783</v>
      </c>
      <c r="F6" s="44">
        <v>83267.438</v>
      </c>
      <c r="G6" s="44">
        <v>71857.706</v>
      </c>
      <c r="H6" s="44">
        <v>0</v>
      </c>
      <c r="I6" s="44">
        <v>0</v>
      </c>
      <c r="J6" s="54"/>
      <c r="K6" s="54"/>
      <c r="O6" s="54"/>
      <c r="P6" s="54"/>
      <c r="Q6" s="54"/>
      <c r="R6" s="54"/>
    </row>
    <row r="7" spans="1:18" ht="15">
      <c r="A7" s="43" t="str">
        <f>HLOOKUP(INDICE!$F$2,Nombres!$C$3:$D$636,131,FALSE)</f>
        <v>Activos financieros mantenidos para negociar</v>
      </c>
      <c r="B7" s="44">
        <v>112131.153</v>
      </c>
      <c r="C7" s="44">
        <v>120822.86</v>
      </c>
      <c r="D7" s="44">
        <v>119965.921</v>
      </c>
      <c r="E7" s="44">
        <v>110671.495</v>
      </c>
      <c r="F7" s="44">
        <v>119877.197</v>
      </c>
      <c r="G7" s="44">
        <v>141721.411</v>
      </c>
      <c r="H7" s="44">
        <v>0</v>
      </c>
      <c r="I7" s="44">
        <v>0</v>
      </c>
      <c r="J7" s="54"/>
      <c r="K7" s="54"/>
      <c r="O7" s="54"/>
      <c r="P7" s="54"/>
      <c r="Q7" s="54"/>
      <c r="R7" s="54"/>
    </row>
    <row r="8" spans="1:18" ht="15">
      <c r="A8" s="43" t="str">
        <f>HLOOKUP(INDICE!$F$2,Nombres!$C$3:$D$636,132,FALSE)</f>
        <v>Activos financieros no destinados a negociación valorados obligatoriamente a valor razonable con cambios en resultados</v>
      </c>
      <c r="B8" s="44">
        <v>6624.612</v>
      </c>
      <c r="C8" s="44">
        <v>6774.555</v>
      </c>
      <c r="D8" s="44">
        <v>7290.057</v>
      </c>
      <c r="E8" s="44">
        <v>6888.171</v>
      </c>
      <c r="F8" s="44">
        <v>7226.921</v>
      </c>
      <c r="G8" s="44">
        <v>8019.458</v>
      </c>
      <c r="H8" s="44">
        <v>0</v>
      </c>
      <c r="I8" s="44">
        <v>0</v>
      </c>
      <c r="J8" s="54"/>
      <c r="K8" s="54"/>
      <c r="O8" s="54"/>
      <c r="P8" s="54"/>
      <c r="Q8" s="54"/>
      <c r="R8" s="54"/>
    </row>
    <row r="9" spans="1:18" ht="15">
      <c r="A9" s="43" t="str">
        <f>HLOOKUP(INDICE!$F$2,Nombres!$C$3:$D$636,133,FALSE)</f>
        <v>Activos financieros designados a valor razonable con cambios en resultados</v>
      </c>
      <c r="B9" s="44">
        <v>1035.864</v>
      </c>
      <c r="C9" s="44">
        <v>1003.087</v>
      </c>
      <c r="D9" s="44">
        <v>977.632</v>
      </c>
      <c r="E9" s="44">
        <v>912.847</v>
      </c>
      <c r="F9" s="44">
        <v>996.759</v>
      </c>
      <c r="G9" s="44">
        <v>1003.995</v>
      </c>
      <c r="H9" s="44">
        <v>0</v>
      </c>
      <c r="I9" s="44">
        <v>0</v>
      </c>
      <c r="J9" s="54"/>
      <c r="K9" s="54"/>
      <c r="O9" s="54"/>
      <c r="P9" s="54"/>
      <c r="Q9" s="54"/>
      <c r="R9" s="54"/>
    </row>
    <row r="10" spans="1:18" ht="15">
      <c r="A10" s="43" t="str">
        <f>HLOOKUP(INDICE!$F$2,Nombres!$C$3:$D$636,134,FALSE)</f>
        <v>Activos financieros designados a valor razonable con cambios en otro resultado global acumulado</v>
      </c>
      <c r="B10" s="44">
        <v>71078.877</v>
      </c>
      <c r="C10" s="44">
        <v>69569.263</v>
      </c>
      <c r="D10" s="44">
        <v>69373.563</v>
      </c>
      <c r="E10" s="44">
        <v>65374.403</v>
      </c>
      <c r="F10" s="44">
        <v>66277.337</v>
      </c>
      <c r="G10" s="44">
        <v>63979.421</v>
      </c>
      <c r="H10" s="44">
        <v>0</v>
      </c>
      <c r="I10" s="44">
        <v>0</v>
      </c>
      <c r="J10" s="54"/>
      <c r="K10" s="54"/>
      <c r="O10" s="54"/>
      <c r="P10" s="54"/>
      <c r="Q10" s="54"/>
      <c r="R10" s="54"/>
    </row>
    <row r="11" spans="1:18" ht="15">
      <c r="A11" s="43" t="str">
        <f>HLOOKUP(INDICE!$F$2,Nombres!$C$3:$D$636,135,FALSE)</f>
        <v>Activos financieros a coste amortizado</v>
      </c>
      <c r="B11" s="44">
        <v>381838.336</v>
      </c>
      <c r="C11" s="44">
        <v>401102.603</v>
      </c>
      <c r="D11" s="44">
        <v>418031.685</v>
      </c>
      <c r="E11" s="44">
        <v>414421.179</v>
      </c>
      <c r="F11" s="44">
        <v>427259.441</v>
      </c>
      <c r="G11" s="44">
        <v>438841.16899999994</v>
      </c>
      <c r="H11" s="44">
        <v>0</v>
      </c>
      <c r="I11" s="44">
        <v>0</v>
      </c>
      <c r="J11" s="54"/>
      <c r="K11" s="54"/>
      <c r="O11" s="54"/>
      <c r="P11" s="54"/>
      <c r="Q11" s="54"/>
      <c r="R11" s="54"/>
    </row>
    <row r="12" spans="1:18" ht="15">
      <c r="A12" s="55" t="str">
        <f>HLOOKUP(INDICE!$F$2,Nombres!$C$3:$D$636,136,FALSE)</f>
        <v>. Préstamos y anticipos en bancos centrales  y entidades de crédito</v>
      </c>
      <c r="B12" s="56">
        <v>16749.572</v>
      </c>
      <c r="C12" s="56">
        <v>19761.975</v>
      </c>
      <c r="D12" s="56">
        <v>22797.36</v>
      </c>
      <c r="E12" s="56">
        <v>20431.347</v>
      </c>
      <c r="F12" s="56">
        <v>22255.837</v>
      </c>
      <c r="G12" s="56">
        <v>24310.91</v>
      </c>
      <c r="H12" s="56">
        <v>0</v>
      </c>
      <c r="I12" s="56">
        <v>0</v>
      </c>
      <c r="J12" s="54"/>
      <c r="K12" s="54"/>
      <c r="O12" s="54"/>
      <c r="P12" s="54"/>
      <c r="Q12" s="54"/>
      <c r="R12" s="54"/>
    </row>
    <row r="13" spans="1:18" ht="15">
      <c r="A13" s="55" t="str">
        <f>HLOOKUP(INDICE!$F$2,Nombres!$C$3:$D$636,137,FALSE)</f>
        <v>. Préstamos y anticipos a la clientela</v>
      </c>
      <c r="B13" s="56">
        <v>334552.886</v>
      </c>
      <c r="C13" s="56">
        <v>349620.297</v>
      </c>
      <c r="D13" s="56">
        <v>361175.777</v>
      </c>
      <c r="E13" s="56">
        <v>357351.148</v>
      </c>
      <c r="F13" s="56">
        <v>362317.341</v>
      </c>
      <c r="G13" s="56">
        <v>369760.779</v>
      </c>
      <c r="H13" s="56">
        <v>0</v>
      </c>
      <c r="I13" s="56">
        <v>0</v>
      </c>
      <c r="J13" s="54"/>
      <c r="K13" s="54"/>
      <c r="O13" s="54"/>
      <c r="P13" s="54"/>
      <c r="Q13" s="54"/>
      <c r="R13" s="54"/>
    </row>
    <row r="14" spans="1:18" ht="15">
      <c r="A14" s="55" t="str">
        <f>HLOOKUP(INDICE!$F$2,Nombres!$C$3:$D$636,138,FALSE)</f>
        <v>. Valores representativos de deuda</v>
      </c>
      <c r="B14" s="56">
        <v>30535.878</v>
      </c>
      <c r="C14" s="56">
        <v>31720.331</v>
      </c>
      <c r="D14" s="56">
        <v>34058.548</v>
      </c>
      <c r="E14" s="56">
        <v>36638.684</v>
      </c>
      <c r="F14" s="56">
        <v>42686.263</v>
      </c>
      <c r="G14" s="56">
        <v>44769.48</v>
      </c>
      <c r="H14" s="56">
        <v>0</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5">
      <c r="A16" s="43" t="str">
        <f>HLOOKUP(INDICE!$F$2,Nombres!$C$3:$D$636,140,FALSE)</f>
        <v>Inversiones en negocios conjuntos y asociadas</v>
      </c>
      <c r="B16" s="44">
        <v>911.008</v>
      </c>
      <c r="C16" s="44">
        <v>894.393</v>
      </c>
      <c r="D16" s="44">
        <v>902.557</v>
      </c>
      <c r="E16" s="44">
        <v>915.887</v>
      </c>
      <c r="F16" s="44">
        <v>919.642</v>
      </c>
      <c r="G16" s="44">
        <v>929.29</v>
      </c>
      <c r="H16" s="44">
        <v>0</v>
      </c>
      <c r="I16" s="44">
        <v>0</v>
      </c>
      <c r="J16" s="54"/>
      <c r="K16" s="54"/>
      <c r="O16" s="54"/>
      <c r="P16" s="54"/>
      <c r="Q16" s="54"/>
      <c r="R16" s="54"/>
    </row>
    <row r="17" spans="1:18" ht="15">
      <c r="A17" s="43" t="str">
        <f>HLOOKUP(INDICE!$F$2,Nombres!$C$3:$D$636,56,FALSE)</f>
        <v>Activos tangibles</v>
      </c>
      <c r="B17" s="44">
        <v>7628.42</v>
      </c>
      <c r="C17" s="44">
        <v>8336.727</v>
      </c>
      <c r="D17" s="44">
        <v>8566.853</v>
      </c>
      <c r="E17" s="44">
        <v>8737.019</v>
      </c>
      <c r="F17" s="44">
        <v>8945.243</v>
      </c>
      <c r="G17" s="44">
        <v>8891.825</v>
      </c>
      <c r="H17" s="44">
        <v>0</v>
      </c>
      <c r="I17" s="44">
        <v>0</v>
      </c>
      <c r="J17" s="54"/>
      <c r="K17" s="54"/>
      <c r="O17" s="54"/>
      <c r="P17" s="54"/>
      <c r="Q17" s="54"/>
      <c r="R17" s="54"/>
    </row>
    <row r="18" spans="1:18" ht="15">
      <c r="A18" s="43" t="str">
        <f>HLOOKUP(INDICE!$F$2,Nombres!$C$3:$D$636,141,FALSE)</f>
        <v>Activos Intangibles</v>
      </c>
      <c r="B18" s="44">
        <v>2055.793</v>
      </c>
      <c r="C18" s="44">
        <v>2139.492</v>
      </c>
      <c r="D18" s="44">
        <v>2210.858</v>
      </c>
      <c r="E18" s="44">
        <v>2156.35</v>
      </c>
      <c r="F18" s="44">
        <v>2208.687</v>
      </c>
      <c r="G18" s="44">
        <v>2283.689</v>
      </c>
      <c r="H18" s="44">
        <v>0</v>
      </c>
      <c r="I18" s="44">
        <v>0</v>
      </c>
      <c r="J18" s="54"/>
      <c r="K18" s="54"/>
      <c r="O18" s="54"/>
      <c r="P18" s="54"/>
      <c r="Q18" s="54"/>
      <c r="R18" s="54"/>
    </row>
    <row r="19" spans="1:18" ht="15">
      <c r="A19" s="43" t="str">
        <f>HLOOKUP(INDICE!$F$2,Nombres!$C$3:$D$636,57,FALSE)</f>
        <v>Otros activos</v>
      </c>
      <c r="B19" s="44">
        <v>21465.379999999997</v>
      </c>
      <c r="C19" s="44">
        <v>22575.609999999997</v>
      </c>
      <c r="D19" s="44">
        <v>22494.444</v>
      </c>
      <c r="E19" s="44">
        <v>22259.089</v>
      </c>
      <c r="F19" s="44">
        <v>22585.616999999995</v>
      </c>
      <c r="G19" s="44">
        <v>24928.332</v>
      </c>
      <c r="H19" s="44">
        <v>0</v>
      </c>
      <c r="I19" s="44">
        <v>0</v>
      </c>
      <c r="J19" s="54"/>
      <c r="K19" s="54"/>
      <c r="O19" s="54"/>
      <c r="P19" s="54"/>
      <c r="Q19" s="54"/>
      <c r="R19" s="54"/>
    </row>
    <row r="20" spans="1:18" ht="15">
      <c r="A20" s="47" t="str">
        <f>HLOOKUP(INDICE!$F$2,Nombres!$C$3:$D$636,58,FALSE)</f>
        <v>Total activo / pasivo</v>
      </c>
      <c r="B20" s="47">
        <f aca="true" t="shared" si="0" ref="B20:G20">+SUM(B6:B11,B16:B19)</f>
        <v>675706.021</v>
      </c>
      <c r="C20" s="47">
        <f t="shared" si="0"/>
        <v>714726.4519999999</v>
      </c>
      <c r="D20" s="47">
        <f t="shared" si="0"/>
        <v>737889.6970000002</v>
      </c>
      <c r="E20" s="47">
        <f t="shared" si="0"/>
        <v>712092.223</v>
      </c>
      <c r="F20" s="47">
        <f t="shared" si="0"/>
        <v>739564.282</v>
      </c>
      <c r="G20" s="47">
        <f t="shared" si="0"/>
        <v>762456.296</v>
      </c>
      <c r="H20" s="47">
        <f>+SUM(H6:H11,H16:H19)</f>
        <v>0</v>
      </c>
      <c r="I20" s="47">
        <f>+SUM(I6:I11,I16:I19)</f>
        <v>0</v>
      </c>
      <c r="J20" s="54"/>
      <c r="K20" s="54"/>
      <c r="O20" s="54"/>
      <c r="P20" s="54"/>
      <c r="Q20" s="54"/>
      <c r="R20" s="54"/>
    </row>
    <row r="21" spans="1:18" ht="15">
      <c r="A21" s="43" t="str">
        <f>HLOOKUP(INDICE!$F$2,Nombres!$C$3:$D$636,59,FALSE)</f>
        <v>Pasivos financieros mantenidos para negociar y designados a valor razonable con cambios en resultados</v>
      </c>
      <c r="B21" s="58">
        <v>85960.376</v>
      </c>
      <c r="C21" s="58">
        <v>102304.847</v>
      </c>
      <c r="D21" s="58">
        <v>104534.31</v>
      </c>
      <c r="E21" s="58">
        <v>95611.195</v>
      </c>
      <c r="F21" s="58">
        <v>107184.694</v>
      </c>
      <c r="G21" s="58">
        <v>127331.597</v>
      </c>
      <c r="H21" s="58">
        <v>0</v>
      </c>
      <c r="I21" s="58">
        <v>0</v>
      </c>
      <c r="O21" s="54"/>
      <c r="P21" s="54"/>
      <c r="Q21" s="54"/>
      <c r="R21" s="54"/>
    </row>
    <row r="22" spans="1:18" ht="15">
      <c r="A22" s="43" t="str">
        <f>HLOOKUP(INDICE!$F$2,Nombres!$C$3:$D$636,142,FALSE)</f>
        <v>Pasivos financieros designados a valor razonable con cambios en resultados</v>
      </c>
      <c r="B22" s="58">
        <v>9761.475</v>
      </c>
      <c r="C22" s="58">
        <v>9878.266</v>
      </c>
      <c r="D22" s="58">
        <v>10677.657</v>
      </c>
      <c r="E22" s="58">
        <v>10579.771</v>
      </c>
      <c r="F22" s="58">
        <v>11309.111</v>
      </c>
      <c r="G22" s="58">
        <v>12576.711</v>
      </c>
      <c r="H22" s="58">
        <v>0</v>
      </c>
      <c r="I22" s="58">
        <v>0</v>
      </c>
      <c r="J22" s="59"/>
      <c r="K22" s="59"/>
      <c r="L22" s="59"/>
      <c r="M22" s="59"/>
      <c r="N22" s="59"/>
      <c r="O22" s="54"/>
      <c r="P22" s="54"/>
      <c r="Q22" s="54"/>
      <c r="R22" s="54"/>
    </row>
    <row r="23" spans="1:18" ht="15">
      <c r="A23" s="43" t="str">
        <f>HLOOKUP(INDICE!$F$2,Nombres!$C$3:$D$636,143,FALSE)</f>
        <v>Pasivos financieros a coste amortizado</v>
      </c>
      <c r="B23" s="58">
        <v>504940.081</v>
      </c>
      <c r="C23" s="58">
        <v>527828.037</v>
      </c>
      <c r="D23" s="58">
        <v>545287.665</v>
      </c>
      <c r="E23" s="58">
        <v>529172.494</v>
      </c>
      <c r="F23" s="58">
        <v>542326.16</v>
      </c>
      <c r="G23" s="58">
        <v>541670.705</v>
      </c>
      <c r="H23" s="58">
        <v>0</v>
      </c>
      <c r="I23" s="58">
        <v>0</v>
      </c>
      <c r="J23" s="59"/>
      <c r="K23" s="59"/>
      <c r="L23" s="59"/>
      <c r="M23" s="59"/>
      <c r="N23" s="59"/>
      <c r="O23" s="54"/>
      <c r="P23" s="54"/>
      <c r="Q23" s="54"/>
      <c r="R23" s="54"/>
    </row>
    <row r="24" spans="1:18" ht="15">
      <c r="A24" s="55" t="str">
        <f>HLOOKUP(INDICE!$F$2,Nombres!$C$3:$D$636,60,FALSE)</f>
        <v>Depósitos de bancos centrales y entidades de crédito</v>
      </c>
      <c r="B24" s="58">
        <v>73160.91500000001</v>
      </c>
      <c r="C24" s="58">
        <v>79126.674</v>
      </c>
      <c r="D24" s="58">
        <v>84196.282</v>
      </c>
      <c r="E24" s="58">
        <v>65257.985</v>
      </c>
      <c r="F24" s="58">
        <v>75109.21800000001</v>
      </c>
      <c r="G24" s="58">
        <v>59961.331</v>
      </c>
      <c r="H24" s="58">
        <v>0</v>
      </c>
      <c r="I24" s="58">
        <v>0</v>
      </c>
      <c r="O24" s="54"/>
      <c r="P24" s="54"/>
      <c r="Q24" s="54"/>
      <c r="R24" s="54"/>
    </row>
    <row r="25" spans="1:18" ht="15">
      <c r="A25" s="55" t="str">
        <f>HLOOKUP(INDICE!$F$2,Nombres!$C$3:$D$636,61,FALSE)</f>
        <v>Depósitos de la clientela</v>
      </c>
      <c r="B25" s="58">
        <v>361194.71</v>
      </c>
      <c r="C25" s="58">
        <v>377539.811</v>
      </c>
      <c r="D25" s="58">
        <v>390277.038</v>
      </c>
      <c r="E25" s="58">
        <v>394403.99</v>
      </c>
      <c r="F25" s="58">
        <v>395879.937</v>
      </c>
      <c r="G25" s="58">
        <v>402343.774</v>
      </c>
      <c r="H25" s="58">
        <v>0</v>
      </c>
      <c r="I25" s="58">
        <v>0</v>
      </c>
      <c r="O25" s="54"/>
      <c r="P25" s="54"/>
      <c r="Q25" s="54"/>
      <c r="R25" s="54"/>
    </row>
    <row r="26" spans="1:18" ht="15">
      <c r="A26" s="55" t="str">
        <f>HLOOKUP(INDICE!$F$2,Nombres!$C$3:$D$636,62,FALSE)</f>
        <v>Valores representativos de deuda emitidos</v>
      </c>
      <c r="B26" s="58">
        <v>53539.702</v>
      </c>
      <c r="C26" s="58">
        <v>54757.069</v>
      </c>
      <c r="D26" s="58">
        <v>54811.115</v>
      </c>
      <c r="E26" s="58">
        <v>55429.375</v>
      </c>
      <c r="F26" s="58">
        <v>54586.157</v>
      </c>
      <c r="G26" s="58">
        <v>63158.292</v>
      </c>
      <c r="H26" s="58">
        <v>0</v>
      </c>
      <c r="I26" s="58">
        <v>0</v>
      </c>
      <c r="O26" s="54"/>
      <c r="P26" s="54"/>
      <c r="Q26" s="54"/>
      <c r="R26" s="54"/>
    </row>
    <row r="27" spans="1:18" ht="15">
      <c r="A27" s="55" t="str">
        <f>HLOOKUP(INDICE!$F$2,Nombres!$C$3:$D$636,144,FALSE)</f>
        <v>. Otros pasivos financieros</v>
      </c>
      <c r="B27" s="58">
        <v>17044.754</v>
      </c>
      <c r="C27" s="58">
        <v>16404.483</v>
      </c>
      <c r="D27" s="58">
        <v>16003.23</v>
      </c>
      <c r="E27" s="58">
        <v>14081.144</v>
      </c>
      <c r="F27" s="58">
        <v>16750.848</v>
      </c>
      <c r="G27" s="58">
        <v>16207.308</v>
      </c>
      <c r="H27" s="58">
        <v>0</v>
      </c>
      <c r="I27" s="58">
        <v>0</v>
      </c>
      <c r="O27" s="54"/>
      <c r="P27" s="54"/>
      <c r="Q27" s="54"/>
      <c r="R27" s="54"/>
    </row>
    <row r="28" spans="1:18" ht="15">
      <c r="A28" s="43" t="str">
        <f>HLOOKUP(INDICE!$F$2,Nombres!$C$3:$D$636,145,FALSE)</f>
        <v>Pasivos amparados por contratos de seguros o reaseguro</v>
      </c>
      <c r="B28" s="58">
        <v>9620.091</v>
      </c>
      <c r="C28" s="58">
        <v>10323.624</v>
      </c>
      <c r="D28" s="58">
        <v>10786.571</v>
      </c>
      <c r="E28" s="58">
        <v>10130.773</v>
      </c>
      <c r="F28" s="58">
        <v>11009.56</v>
      </c>
      <c r="G28" s="58">
        <v>11537.468</v>
      </c>
      <c r="H28" s="58">
        <v>0</v>
      </c>
      <c r="I28" s="58">
        <v>0</v>
      </c>
      <c r="O28" s="54"/>
      <c r="P28" s="54"/>
      <c r="Q28" s="54"/>
      <c r="R28" s="54"/>
    </row>
    <row r="29" spans="1:18" ht="15">
      <c r="A29" s="43" t="str">
        <f>HLOOKUP(INDICE!$F$2,Nombres!$C$3:$D$636,63,FALSE)</f>
        <v>Otros pasivos</v>
      </c>
      <c r="B29" s="58">
        <v>16576.647</v>
      </c>
      <c r="C29" s="58">
        <v>15634.974999999999</v>
      </c>
      <c r="D29" s="58">
        <v>16770.589000000004</v>
      </c>
      <c r="E29" s="58">
        <v>16081.094</v>
      </c>
      <c r="F29" s="58">
        <v>16263.476999999999</v>
      </c>
      <c r="G29" s="58">
        <v>16771.393</v>
      </c>
      <c r="H29" s="58">
        <v>0</v>
      </c>
      <c r="I29" s="58">
        <v>0</v>
      </c>
      <c r="O29" s="54"/>
      <c r="P29" s="54"/>
      <c r="Q29" s="54"/>
      <c r="R29" s="54"/>
    </row>
    <row r="30" spans="1:18" ht="15">
      <c r="A30" s="41" t="str">
        <f>HLOOKUP(INDICE!$F$2,Nombres!$C$3:$D$636,146,FALSE)</f>
        <v>Total pasivo</v>
      </c>
      <c r="B30" s="60">
        <f aca="true" t="shared" si="1" ref="B30:G30">+SUM(B21:B23,B28:B29)</f>
        <v>626858.67</v>
      </c>
      <c r="C30" s="60">
        <f t="shared" si="1"/>
        <v>665969.749</v>
      </c>
      <c r="D30" s="60">
        <f t="shared" si="1"/>
        <v>688056.792</v>
      </c>
      <c r="E30" s="60">
        <f t="shared" si="1"/>
        <v>661575.327</v>
      </c>
      <c r="F30" s="60">
        <f t="shared" si="1"/>
        <v>688093.0020000001</v>
      </c>
      <c r="G30" s="60">
        <f t="shared" si="1"/>
        <v>709887.874</v>
      </c>
      <c r="H30" s="60">
        <f>+SUM(H21:H23,H28:H29)</f>
        <v>0</v>
      </c>
      <c r="I30" s="60">
        <f>+SUM(I21:I23,I28:I29)</f>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5509.942</v>
      </c>
      <c r="C32" s="58">
        <v>3348.467</v>
      </c>
      <c r="D32" s="58">
        <v>3651.868</v>
      </c>
      <c r="E32" s="58">
        <v>3623.117</v>
      </c>
      <c r="F32" s="58">
        <v>3680.425</v>
      </c>
      <c r="G32" s="58">
        <v>3517.235</v>
      </c>
      <c r="H32" s="58">
        <v>0</v>
      </c>
      <c r="I32" s="58">
        <v>0</v>
      </c>
      <c r="O32" s="54"/>
      <c r="P32" s="54"/>
      <c r="Q32" s="54"/>
      <c r="R32" s="54"/>
    </row>
    <row r="33" spans="1:18" ht="15" customHeight="1" hidden="1">
      <c r="A33" s="43" t="str">
        <f>HLOOKUP(INDICE!$F$2,Nombres!$C$3:$D$636,148,FALSE)</f>
        <v>Otro resultado global acumulado</v>
      </c>
      <c r="B33" s="58">
        <v>-14108.811</v>
      </c>
      <c r="C33" s="58">
        <v>-16617.39</v>
      </c>
      <c r="D33" s="58">
        <v>-16838.153</v>
      </c>
      <c r="E33" s="58">
        <v>-17641.525</v>
      </c>
      <c r="F33" s="58">
        <v>-16194.917</v>
      </c>
      <c r="G33" s="58">
        <v>-16918.639</v>
      </c>
      <c r="H33" s="58">
        <v>0</v>
      </c>
      <c r="I33" s="58">
        <v>0</v>
      </c>
      <c r="O33" s="54"/>
      <c r="P33" s="54"/>
      <c r="Q33" s="54"/>
      <c r="R33" s="54"/>
    </row>
    <row r="34" spans="1:18" ht="15" customHeight="1" hidden="1">
      <c r="A34" s="43" t="str">
        <f>HLOOKUP(INDICE!$F$2,Nombres!$C$3:$D$636,149,FALSE)</f>
        <v>Fondos propios</v>
      </c>
      <c r="B34" s="58">
        <v>57446.217999999986</v>
      </c>
      <c r="C34" s="58">
        <v>62025.626</v>
      </c>
      <c r="D34" s="58">
        <v>63019.19</v>
      </c>
      <c r="E34" s="58">
        <v>64535.304000000004</v>
      </c>
      <c r="F34" s="58">
        <v>63985.772</v>
      </c>
      <c r="G34" s="58">
        <v>65969.826</v>
      </c>
      <c r="H34" s="58">
        <v>0</v>
      </c>
      <c r="I34" s="58">
        <v>0</v>
      </c>
      <c r="O34" s="54"/>
      <c r="P34" s="54"/>
      <c r="Q34" s="54"/>
      <c r="R34" s="54"/>
    </row>
    <row r="35" spans="1:18" ht="15">
      <c r="A35" s="41" t="str">
        <f>HLOOKUP(INDICE!$F$2,Nombres!$C$3:$D$636,150,FALSE)</f>
        <v>Patrimonio neto</v>
      </c>
      <c r="B35" s="60">
        <f aca="true" t="shared" si="2" ref="B35:G35">+B32+B33+B34</f>
        <v>48847.34899999999</v>
      </c>
      <c r="C35" s="60">
        <f t="shared" si="2"/>
        <v>48756.702999999994</v>
      </c>
      <c r="D35" s="60">
        <f t="shared" si="2"/>
        <v>49832.905000000006</v>
      </c>
      <c r="E35" s="60">
        <f t="shared" si="2"/>
        <v>50516.896</v>
      </c>
      <c r="F35" s="60">
        <f t="shared" si="2"/>
        <v>51471.28</v>
      </c>
      <c r="G35" s="60">
        <f t="shared" si="2"/>
        <v>52568.422000000006</v>
      </c>
      <c r="H35" s="60">
        <f>+H32+H33+H34</f>
        <v>0</v>
      </c>
      <c r="I35" s="60">
        <f>+I32+I33+I34</f>
        <v>0</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patrimonio neto y pasivo</v>
      </c>
      <c r="B37" s="47">
        <f aca="true" t="shared" si="3" ref="B37:I37">+B20</f>
        <v>675706.021</v>
      </c>
      <c r="C37" s="47">
        <f t="shared" si="3"/>
        <v>714726.4519999999</v>
      </c>
      <c r="D37" s="47">
        <f t="shared" si="3"/>
        <v>737889.6970000002</v>
      </c>
      <c r="E37" s="47">
        <f t="shared" si="3"/>
        <v>712092.223</v>
      </c>
      <c r="F37" s="47">
        <f t="shared" si="3"/>
        <v>739564.282</v>
      </c>
      <c r="G37" s="47">
        <f t="shared" si="3"/>
        <v>762456.296</v>
      </c>
      <c r="H37" s="47">
        <f t="shared" si="3"/>
        <v>0</v>
      </c>
      <c r="I37" s="47">
        <f t="shared" si="3"/>
        <v>0</v>
      </c>
      <c r="O37" s="54"/>
      <c r="P37" s="54"/>
      <c r="Q37" s="54"/>
      <c r="R37" s="54"/>
    </row>
    <row r="38" spans="1:9" ht="15">
      <c r="A38" s="43"/>
      <c r="B38" s="61">
        <f aca="true" t="shared" si="4" ref="B38:G38">+B37-B20</f>
        <v>0</v>
      </c>
      <c r="C38" s="61">
        <f t="shared" si="4"/>
        <v>0</v>
      </c>
      <c r="D38" s="61">
        <f t="shared" si="4"/>
        <v>0</v>
      </c>
      <c r="E38" s="61">
        <f t="shared" si="4"/>
        <v>0</v>
      </c>
      <c r="F38" s="61">
        <f t="shared" si="4"/>
        <v>0</v>
      </c>
      <c r="G38" s="61">
        <f t="shared" si="4"/>
        <v>0</v>
      </c>
      <c r="H38" s="61">
        <f>+H37-H20</f>
        <v>0</v>
      </c>
      <c r="I38" s="61">
        <f>+I37-I20</f>
        <v>0</v>
      </c>
    </row>
    <row r="39" spans="1:9" ht="15">
      <c r="A39" s="43"/>
      <c r="B39" s="61">
        <f aca="true" t="shared" si="5" ref="B39:G39">+B6+B7+B8+B9+B10+B11+B16+B17+B18+B19-B20</f>
        <v>0</v>
      </c>
      <c r="C39" s="61">
        <f t="shared" si="5"/>
        <v>0</v>
      </c>
      <c r="D39" s="61">
        <f t="shared" si="5"/>
        <v>0</v>
      </c>
      <c r="E39" s="61">
        <f t="shared" si="5"/>
        <v>0</v>
      </c>
      <c r="F39" s="61">
        <f t="shared" si="5"/>
        <v>0</v>
      </c>
      <c r="G39" s="61">
        <f t="shared" si="5"/>
        <v>0</v>
      </c>
      <c r="H39" s="61">
        <f>+H6+H7+H8+H9+H10+H11+H16+H17+H18+H19-H20</f>
        <v>0</v>
      </c>
      <c r="I39" s="61">
        <f>+I6+I7+I8+I9+I10+I11+I16+I17+I18+I19-I20</f>
        <v>0</v>
      </c>
    </row>
    <row r="40" spans="1:9" ht="66.75" customHeight="1">
      <c r="A40" s="300"/>
      <c r="B40" s="300"/>
      <c r="C40" s="300"/>
      <c r="D40" s="300"/>
      <c r="E40" s="300"/>
      <c r="F40" s="300"/>
      <c r="G40" s="300"/>
      <c r="H40" s="300"/>
      <c r="I40" s="300"/>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73">
        <v>-0.001000039977952838</v>
      </c>
      <c r="C43" s="273">
        <v>-2.0139850676059723E-08</v>
      </c>
      <c r="D43" s="273">
        <v>2.991873770952225E-08</v>
      </c>
      <c r="E43" s="273">
        <v>-3.0499999411404133E-05</v>
      </c>
      <c r="F43" s="273">
        <v>3.969762474298477E-08</v>
      </c>
      <c r="G43" s="273">
        <v>-1.00000761449337E-07</v>
      </c>
      <c r="H43" s="273">
        <v>0</v>
      </c>
      <c r="I43" s="273">
        <v>0</v>
      </c>
    </row>
    <row r="44" ht="15">
      <c r="B44" s="54"/>
    </row>
    <row r="46" ht="15">
      <c r="B46" s="54"/>
    </row>
    <row r="1000" ht="15">
      <c r="A1000" s="31" t="s">
        <v>391</v>
      </c>
    </row>
  </sheetData>
  <sheetProtection/>
  <mergeCells count="1">
    <mergeCell ref="A40:I40"/>
  </mergeCells>
  <conditionalFormatting sqref="H39:I39">
    <cfRule type="cellIs" priority="20" dxfId="196" operator="notBetween">
      <formula>0.5</formula>
      <formula>-0.5</formula>
    </cfRule>
  </conditionalFormatting>
  <conditionalFormatting sqref="I38">
    <cfRule type="cellIs" priority="19" dxfId="131" operator="notBetween">
      <formula>0.001</formula>
      <formula>-0.001</formula>
    </cfRule>
  </conditionalFormatting>
  <conditionalFormatting sqref="H38">
    <cfRule type="cellIs" priority="18" dxfId="131" operator="notBetween">
      <formula>0.001</formula>
      <formula>-0.001</formula>
    </cfRule>
  </conditionalFormatting>
  <conditionalFormatting sqref="H43:I43">
    <cfRule type="cellIs" priority="10" dxfId="196" operator="notBetween">
      <formula>0.1</formula>
      <formula>-0.1</formula>
    </cfRule>
  </conditionalFormatting>
  <conditionalFormatting sqref="F39:G39">
    <cfRule type="cellIs" priority="9" dxfId="196" operator="notBetween">
      <formula>0.5</formula>
      <formula>-0.5</formula>
    </cfRule>
  </conditionalFormatting>
  <conditionalFormatting sqref="G38">
    <cfRule type="cellIs" priority="8" dxfId="131" operator="notBetween">
      <formula>0.001</formula>
      <formula>-0.001</formula>
    </cfRule>
  </conditionalFormatting>
  <conditionalFormatting sqref="F38">
    <cfRule type="cellIs" priority="7" dxfId="131" operator="notBetween">
      <formula>0.001</formula>
      <formula>-0.001</formula>
    </cfRule>
  </conditionalFormatting>
  <conditionalFormatting sqref="B39:E39">
    <cfRule type="cellIs" priority="6" dxfId="196" operator="notBetween">
      <formula>0.5</formula>
      <formula>-0.5</formula>
    </cfRule>
  </conditionalFormatting>
  <conditionalFormatting sqref="E38">
    <cfRule type="cellIs" priority="5" dxfId="131" operator="notBetween">
      <formula>0.001</formula>
      <formula>-0.001</formula>
    </cfRule>
  </conditionalFormatting>
  <conditionalFormatting sqref="D38">
    <cfRule type="cellIs" priority="4" dxfId="131" operator="notBetween">
      <formula>0.001</formula>
      <formula>-0.001</formula>
    </cfRule>
  </conditionalFormatting>
  <conditionalFormatting sqref="C38">
    <cfRule type="cellIs" priority="3" dxfId="131" operator="notBetween">
      <formula>0.001</formula>
      <formula>-0.001</formula>
    </cfRule>
  </conditionalFormatting>
  <conditionalFormatting sqref="B38">
    <cfRule type="cellIs" priority="2" dxfId="131" operator="notBetween">
      <formula>0.001</formula>
      <formula>-0.001</formula>
    </cfRule>
  </conditionalFormatting>
  <conditionalFormatting sqref="B43:G43">
    <cfRule type="cellIs" priority="1" dxfId="196"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v>2022</v>
      </c>
      <c r="C6" s="301"/>
      <c r="D6" s="301"/>
      <c r="E6" s="302"/>
      <c r="F6" s="301">
        <v>2023</v>
      </c>
      <c r="G6" s="301"/>
      <c r="H6" s="301"/>
      <c r="I6" s="301"/>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855.98929159</v>
      </c>
      <c r="C8" s="41">
        <v>901.6803123599999</v>
      </c>
      <c r="D8" s="41">
        <v>929.5831248</v>
      </c>
      <c r="E8" s="42">
        <v>1086.61002732</v>
      </c>
      <c r="F8" s="50">
        <v>1183.1265969400001</v>
      </c>
      <c r="G8" s="50">
        <v>1360.4204608900002</v>
      </c>
      <c r="H8" s="50">
        <v>0</v>
      </c>
      <c r="I8" s="50">
        <v>0</v>
      </c>
    </row>
    <row r="9" spans="1:9" ht="15">
      <c r="A9" s="43" t="str">
        <f>HLOOKUP(INDICE!$F$2,Nombres!$C$3:$D$636,34,FALSE)</f>
        <v>Comisiones netas</v>
      </c>
      <c r="B9" s="44">
        <v>535.91236317</v>
      </c>
      <c r="C9" s="44">
        <v>573.70166227</v>
      </c>
      <c r="D9" s="44">
        <v>525.69555074</v>
      </c>
      <c r="E9" s="45">
        <v>520.7846413</v>
      </c>
      <c r="F9" s="44">
        <v>535.73882741</v>
      </c>
      <c r="G9" s="44">
        <v>557.21435452</v>
      </c>
      <c r="H9" s="44">
        <v>0</v>
      </c>
      <c r="I9" s="44">
        <v>0</v>
      </c>
    </row>
    <row r="10" spans="1:9" ht="15">
      <c r="A10" s="43" t="str">
        <f>HLOOKUP(INDICE!$F$2,Nombres!$C$3:$D$636,35,FALSE)</f>
        <v>Resultados de operaciones financieras</v>
      </c>
      <c r="B10" s="44">
        <v>189.81198705999998</v>
      </c>
      <c r="C10" s="44">
        <v>98.29681838999998</v>
      </c>
      <c r="D10" s="44">
        <v>41.02341377000002</v>
      </c>
      <c r="E10" s="45">
        <v>66.6324375</v>
      </c>
      <c r="F10" s="44">
        <v>119.69593746000001</v>
      </c>
      <c r="G10" s="44">
        <v>98.07707902999996</v>
      </c>
      <c r="H10" s="44">
        <v>0</v>
      </c>
      <c r="I10" s="44">
        <v>0</v>
      </c>
    </row>
    <row r="11" spans="1:9" ht="15">
      <c r="A11" s="43" t="str">
        <f>HLOOKUP(INDICE!$F$2,Nombres!$C$3:$D$636,36,FALSE)</f>
        <v>Otros ingresos y cargas de explotación</v>
      </c>
      <c r="B11" s="44">
        <v>72.99327926000001</v>
      </c>
      <c r="C11" s="44">
        <v>-178.81962994000003</v>
      </c>
      <c r="D11" s="44">
        <v>74.41022848999995</v>
      </c>
      <c r="E11" s="45">
        <v>-182.6010966199999</v>
      </c>
      <c r="F11" s="44">
        <v>-112.19607180000006</v>
      </c>
      <c r="G11" s="44">
        <v>-112.23299972999999</v>
      </c>
      <c r="H11" s="44">
        <v>0</v>
      </c>
      <c r="I11" s="44">
        <v>0</v>
      </c>
    </row>
    <row r="12" spans="1:9" ht="15">
      <c r="A12" s="41" t="str">
        <f>HLOOKUP(INDICE!$F$2,Nombres!$C$3:$D$636,37,FALSE)</f>
        <v>Margen bruto</v>
      </c>
      <c r="B12" s="41">
        <f aca="true" t="shared" si="0" ref="B12:I12">+SUM(B8:B11)</f>
        <v>1654.7069210799998</v>
      </c>
      <c r="C12" s="41">
        <f t="shared" si="0"/>
        <v>1394.8591630800001</v>
      </c>
      <c r="D12" s="41">
        <f t="shared" si="0"/>
        <v>1570.7123178</v>
      </c>
      <c r="E12" s="42">
        <f t="shared" si="0"/>
        <v>1491.4260095</v>
      </c>
      <c r="F12" s="50">
        <f t="shared" si="0"/>
        <v>1726.36529001</v>
      </c>
      <c r="G12" s="50">
        <f t="shared" si="0"/>
        <v>1903.47889471</v>
      </c>
      <c r="H12" s="50">
        <f t="shared" si="0"/>
        <v>0</v>
      </c>
      <c r="I12" s="50">
        <f t="shared" si="0"/>
        <v>0</v>
      </c>
    </row>
    <row r="13" spans="1:9" ht="15">
      <c r="A13" s="43" t="str">
        <f>HLOOKUP(INDICE!$F$2,Nombres!$C$3:$D$636,38,FALSE)</f>
        <v>Gastos de explotación</v>
      </c>
      <c r="B13" s="44">
        <v>-708.8829448500001</v>
      </c>
      <c r="C13" s="44">
        <v>-716.2412029300001</v>
      </c>
      <c r="D13" s="44">
        <v>-718.6222397700001</v>
      </c>
      <c r="E13" s="45">
        <v>-757.59103274</v>
      </c>
      <c r="F13" s="44">
        <v>-752.7970695700001</v>
      </c>
      <c r="G13" s="44">
        <v>-764.0044159299998</v>
      </c>
      <c r="H13" s="44">
        <v>0</v>
      </c>
      <c r="I13" s="44">
        <v>0</v>
      </c>
    </row>
    <row r="14" spans="1:9" ht="15">
      <c r="A14" s="43" t="str">
        <f>HLOOKUP(INDICE!$F$2,Nombres!$C$3:$D$636,39,FALSE)</f>
        <v>  Gastos de administración</v>
      </c>
      <c r="B14" s="44">
        <v>-604.25991721</v>
      </c>
      <c r="C14" s="44">
        <v>-612.10696429</v>
      </c>
      <c r="D14" s="44">
        <v>-620.28507813</v>
      </c>
      <c r="E14" s="45">
        <v>-661.1305150999999</v>
      </c>
      <c r="F14" s="44">
        <v>-658.43635293</v>
      </c>
      <c r="G14" s="44">
        <v>-668.3656412899999</v>
      </c>
      <c r="H14" s="44">
        <v>0</v>
      </c>
      <c r="I14" s="44">
        <v>0</v>
      </c>
    </row>
    <row r="15" spans="1:9" ht="15">
      <c r="A15" s="46" t="str">
        <f>HLOOKUP(INDICE!$F$2,Nombres!$C$3:$D$636,40,FALSE)</f>
        <v>  Gastos de personal</v>
      </c>
      <c r="B15" s="44">
        <v>-382.61152544999993</v>
      </c>
      <c r="C15" s="44">
        <v>-385.73259683000003</v>
      </c>
      <c r="D15" s="44">
        <v>-400.77492399000005</v>
      </c>
      <c r="E15" s="45">
        <v>-439.25569838</v>
      </c>
      <c r="F15" s="44">
        <v>-413.91706</v>
      </c>
      <c r="G15" s="44">
        <v>-442.816064</v>
      </c>
      <c r="H15" s="44">
        <v>0</v>
      </c>
      <c r="I15" s="44">
        <v>0</v>
      </c>
    </row>
    <row r="16" spans="1:9" ht="15">
      <c r="A16" s="46" t="str">
        <f>HLOOKUP(INDICE!$F$2,Nombres!$C$3:$D$636,41,FALSE)</f>
        <v>  Otros gastos de administración</v>
      </c>
      <c r="B16" s="44">
        <v>-221.64839176</v>
      </c>
      <c r="C16" s="44">
        <v>-226.37436746000003</v>
      </c>
      <c r="D16" s="44">
        <v>-219.51015413999997</v>
      </c>
      <c r="E16" s="45">
        <v>-221.87481672</v>
      </c>
      <c r="F16" s="44">
        <v>-244.51929293000006</v>
      </c>
      <c r="G16" s="44">
        <v>-225.54957728999992</v>
      </c>
      <c r="H16" s="44">
        <v>0</v>
      </c>
      <c r="I16" s="44">
        <v>0</v>
      </c>
    </row>
    <row r="17" spans="1:9" ht="15">
      <c r="A17" s="43" t="str">
        <f>HLOOKUP(INDICE!$F$2,Nombres!$C$3:$D$636,42,FALSE)</f>
        <v>  Amortización</v>
      </c>
      <c r="B17" s="44">
        <v>-104.62302763999999</v>
      </c>
      <c r="C17" s="44">
        <v>-104.13423863999999</v>
      </c>
      <c r="D17" s="44">
        <v>-98.33716164</v>
      </c>
      <c r="E17" s="45">
        <v>-96.46051764</v>
      </c>
      <c r="F17" s="44">
        <v>-94.36071663999999</v>
      </c>
      <c r="G17" s="44">
        <v>-95.63877464</v>
      </c>
      <c r="H17" s="44">
        <v>0</v>
      </c>
      <c r="I17" s="44">
        <v>0</v>
      </c>
    </row>
    <row r="18" spans="1:9" ht="15">
      <c r="A18" s="41" t="str">
        <f>HLOOKUP(INDICE!$F$2,Nombres!$C$3:$D$636,43,FALSE)</f>
        <v>Margen neto</v>
      </c>
      <c r="B18" s="41">
        <f aca="true" t="shared" si="1" ref="B18:I18">+B12+B13</f>
        <v>945.8239762299997</v>
      </c>
      <c r="C18" s="41">
        <f t="shared" si="1"/>
        <v>678.61796015</v>
      </c>
      <c r="D18" s="41">
        <f t="shared" si="1"/>
        <v>852.0900780299999</v>
      </c>
      <c r="E18" s="42">
        <f t="shared" si="1"/>
        <v>733.83497676</v>
      </c>
      <c r="F18" s="50">
        <f t="shared" si="1"/>
        <v>973.56822044</v>
      </c>
      <c r="G18" s="50">
        <f t="shared" si="1"/>
        <v>1139.4744787800003</v>
      </c>
      <c r="H18" s="50">
        <f t="shared" si="1"/>
        <v>0</v>
      </c>
      <c r="I18" s="50">
        <f t="shared" si="1"/>
        <v>0</v>
      </c>
    </row>
    <row r="19" spans="1:9" ht="15">
      <c r="A19" s="43" t="str">
        <f>HLOOKUP(INDICE!$F$2,Nombres!$C$3:$D$636,44,FALSE)</f>
        <v>Deterioro de activos financieros no valorados a valor razonable con cambios en resultados</v>
      </c>
      <c r="B19" s="44">
        <v>-89.41895772000001</v>
      </c>
      <c r="C19" s="44">
        <v>-103.64080666000004</v>
      </c>
      <c r="D19" s="44">
        <v>-139.18189951</v>
      </c>
      <c r="E19" s="45">
        <v>-190.22596105000002</v>
      </c>
      <c r="F19" s="44">
        <v>-113.52553180999999</v>
      </c>
      <c r="G19" s="44">
        <v>-126.7077901</v>
      </c>
      <c r="H19" s="44">
        <v>0</v>
      </c>
      <c r="I19" s="44">
        <v>0</v>
      </c>
    </row>
    <row r="20" spans="1:9" ht="15">
      <c r="A20" s="43" t="str">
        <f>HLOOKUP(INDICE!$F$2,Nombres!$C$3:$D$636,45,FALSE)</f>
        <v>Provisiones o reversión de provisiones y otros resultados</v>
      </c>
      <c r="B20" s="44">
        <v>-19.422081659999996</v>
      </c>
      <c r="C20" s="44">
        <v>-7.6821140799999945</v>
      </c>
      <c r="D20" s="44">
        <v>-10.027557550000004</v>
      </c>
      <c r="E20" s="45">
        <v>-40.634351299999985</v>
      </c>
      <c r="F20" s="44">
        <v>-8.743872220000005</v>
      </c>
      <c r="G20" s="44">
        <v>-42.7394283</v>
      </c>
      <c r="H20" s="44">
        <v>0</v>
      </c>
      <c r="I20" s="44">
        <v>0</v>
      </c>
    </row>
    <row r="21" spans="1:9" ht="15">
      <c r="A21" s="41" t="str">
        <f>HLOOKUP(INDICE!$F$2,Nombres!$C$3:$D$636,46,FALSE)</f>
        <v>Resultado antes de impuestos</v>
      </c>
      <c r="B21" s="41">
        <f aca="true" t="shared" si="2" ref="B21:I21">+B18+B19+B20</f>
        <v>836.9829368499998</v>
      </c>
      <c r="C21" s="41">
        <f t="shared" si="2"/>
        <v>567.29503941</v>
      </c>
      <c r="D21" s="41">
        <f t="shared" si="2"/>
        <v>702.8806209699999</v>
      </c>
      <c r="E21" s="42">
        <f t="shared" si="2"/>
        <v>502.97466441</v>
      </c>
      <c r="F21" s="50">
        <f t="shared" si="2"/>
        <v>851.2988164100001</v>
      </c>
      <c r="G21" s="50">
        <f t="shared" si="2"/>
        <v>970.0272603800003</v>
      </c>
      <c r="H21" s="50">
        <f t="shared" si="2"/>
        <v>0</v>
      </c>
      <c r="I21" s="50">
        <f t="shared" si="2"/>
        <v>0</v>
      </c>
    </row>
    <row r="22" spans="1:9" ht="15">
      <c r="A22" s="43" t="str">
        <f>HLOOKUP(INDICE!$F$2,Nombres!$C$3:$D$636,47,FALSE)</f>
        <v>Impuesto sobre beneficios</v>
      </c>
      <c r="B22" s="44">
        <v>-238.23210941</v>
      </c>
      <c r="C22" s="44">
        <v>-161.40904915</v>
      </c>
      <c r="D22" s="44">
        <v>-200.0203257</v>
      </c>
      <c r="E22" s="45">
        <v>-138.87849855</v>
      </c>
      <c r="F22" s="44">
        <v>-309.8652907</v>
      </c>
      <c r="G22" s="44">
        <v>-279.27071551</v>
      </c>
      <c r="H22" s="44">
        <v>0</v>
      </c>
      <c r="I22" s="44">
        <v>0</v>
      </c>
    </row>
    <row r="23" spans="1:9" ht="15">
      <c r="A23" s="41" t="str">
        <f>HLOOKUP(INDICE!$F$2,Nombres!$C$3:$D$636,48,FALSE)</f>
        <v>Resultado del ejercicio</v>
      </c>
      <c r="B23" s="41">
        <f aca="true" t="shared" si="3" ref="B23:I23">+B21+B22</f>
        <v>598.7508274399997</v>
      </c>
      <c r="C23" s="41">
        <f t="shared" si="3"/>
        <v>405.88599025999997</v>
      </c>
      <c r="D23" s="41">
        <f t="shared" si="3"/>
        <v>502.8602952699999</v>
      </c>
      <c r="E23" s="42">
        <f t="shared" si="3"/>
        <v>364.09616586000004</v>
      </c>
      <c r="F23" s="50">
        <f t="shared" si="3"/>
        <v>541.4335257100001</v>
      </c>
      <c r="G23" s="50">
        <f t="shared" si="3"/>
        <v>690.7565448700002</v>
      </c>
      <c r="H23" s="50">
        <f t="shared" si="3"/>
        <v>0</v>
      </c>
      <c r="I23" s="50">
        <f t="shared" si="3"/>
        <v>0</v>
      </c>
    </row>
    <row r="24" spans="1:9" ht="15">
      <c r="A24" s="43" t="str">
        <f>HLOOKUP(INDICE!$F$2,Nombres!$C$3:$D$636,49,FALSE)</f>
        <v>Minoritarios</v>
      </c>
      <c r="B24" s="44">
        <v>-0.9554782700000002</v>
      </c>
      <c r="C24" s="44">
        <v>-0.9747035999999999</v>
      </c>
      <c r="D24" s="44">
        <v>-0.6555142699999998</v>
      </c>
      <c r="E24" s="45">
        <v>-0.6592063400000001</v>
      </c>
      <c r="F24" s="44">
        <v>-0.63719013</v>
      </c>
      <c r="G24" s="44">
        <v>-0.5612686899999999</v>
      </c>
      <c r="H24" s="44">
        <v>0</v>
      </c>
      <c r="I24" s="44">
        <v>0</v>
      </c>
    </row>
    <row r="25" spans="1:9" ht="15">
      <c r="A25" s="47" t="str">
        <f>HLOOKUP(INDICE!$F$2,Nombres!$C$3:$D$636,305,FALSE)</f>
        <v>Resultado atribuido excluyendo impactos no recurrentes</v>
      </c>
      <c r="B25" s="47">
        <f aca="true" t="shared" si="4" ref="B25:I25">+B23+B24</f>
        <v>597.7953491699998</v>
      </c>
      <c r="C25" s="47">
        <f t="shared" si="4"/>
        <v>404.91128666</v>
      </c>
      <c r="D25" s="47">
        <f t="shared" si="4"/>
        <v>502.20478099999985</v>
      </c>
      <c r="E25" s="70">
        <f t="shared" si="4"/>
        <v>363.43695952</v>
      </c>
      <c r="F25" s="51">
        <f t="shared" si="4"/>
        <v>540.7963355800001</v>
      </c>
      <c r="G25" s="51">
        <f t="shared" si="4"/>
        <v>690.1952761800002</v>
      </c>
      <c r="H25" s="51">
        <f t="shared" si="4"/>
        <v>0</v>
      </c>
      <c r="I25" s="51">
        <f t="shared" si="4"/>
        <v>0</v>
      </c>
    </row>
    <row r="26" spans="1:9" ht="15">
      <c r="A26" s="43" t="str">
        <f>HLOOKUP(INDICE!$F$2,Nombres!$C$3:$D$636,319,FALSE)</f>
        <v>Impacto neto de la compra de oficinas en España</v>
      </c>
      <c r="B26" s="44">
        <v>0</v>
      </c>
      <c r="C26" s="44">
        <v>-201.39716995</v>
      </c>
      <c r="D26" s="44">
        <v>0</v>
      </c>
      <c r="E26" s="45">
        <v>0</v>
      </c>
      <c r="F26" s="44">
        <v>0</v>
      </c>
      <c r="G26" s="44">
        <v>0</v>
      </c>
      <c r="H26" s="44">
        <v>0</v>
      </c>
      <c r="I26" s="44">
        <v>0</v>
      </c>
    </row>
    <row r="27" spans="1:9" ht="15">
      <c r="A27" s="47" t="str">
        <f>HLOOKUP(INDICE!$F$2,Nombres!$C$3:$D$636,50,FALSE)</f>
        <v>Resultado atribuido</v>
      </c>
      <c r="B27" s="47">
        <f aca="true" t="shared" si="5" ref="B27:I27">+B25+B26</f>
        <v>597.7953491699998</v>
      </c>
      <c r="C27" s="47">
        <f t="shared" si="5"/>
        <v>203.51411670999997</v>
      </c>
      <c r="D27" s="47">
        <f t="shared" si="5"/>
        <v>502.20478099999985</v>
      </c>
      <c r="E27" s="70">
        <f t="shared" si="5"/>
        <v>363.43695952</v>
      </c>
      <c r="F27" s="47">
        <f t="shared" si="5"/>
        <v>540.7963355800001</v>
      </c>
      <c r="G27" s="47">
        <f t="shared" si="5"/>
        <v>690.1952761800002</v>
      </c>
      <c r="H27" s="47">
        <f t="shared" si="5"/>
        <v>0</v>
      </c>
      <c r="I27" s="47">
        <f t="shared" si="5"/>
        <v>0</v>
      </c>
    </row>
    <row r="28" spans="1:9" ht="15">
      <c r="A28" s="300"/>
      <c r="B28" s="300"/>
      <c r="C28" s="300"/>
      <c r="D28" s="300"/>
      <c r="E28" s="300"/>
      <c r="F28" s="300"/>
      <c r="G28" s="300"/>
      <c r="H28" s="300"/>
      <c r="I28" s="300"/>
    </row>
    <row r="29" spans="1:9" ht="15">
      <c r="A29" s="41"/>
      <c r="B29" s="41"/>
      <c r="C29" s="41"/>
      <c r="D29" s="41"/>
      <c r="E29" s="41"/>
      <c r="F29" s="41"/>
      <c r="G29" s="41"/>
      <c r="H29" s="41"/>
      <c r="I29" s="41"/>
    </row>
    <row r="30" spans="1:9" ht="18">
      <c r="A30" s="33" t="str">
        <f>HLOOKUP(INDICE!$F$2,Nombres!$C$3:$D$636,51,FALSE)</f>
        <v>Balances</v>
      </c>
      <c r="B30" s="34"/>
      <c r="C30" s="34"/>
      <c r="D30" s="34"/>
      <c r="E30" s="34"/>
      <c r="F30" s="34"/>
      <c r="G30" s="34"/>
      <c r="H30" s="34"/>
      <c r="I30" s="34"/>
    </row>
    <row r="31" spans="1:11" ht="15">
      <c r="A31" s="35" t="str">
        <f>HLOOKUP(INDICE!$F$2,Nombres!$C$3:$D$636,32,FALSE)</f>
        <v>(Millones de euros)</v>
      </c>
      <c r="B31" s="30"/>
      <c r="C31" s="52"/>
      <c r="D31" s="52"/>
      <c r="E31" s="52"/>
      <c r="F31" s="30"/>
      <c r="G31" s="58"/>
      <c r="H31" s="58"/>
      <c r="I31" s="58"/>
      <c r="K31" s="54"/>
    </row>
    <row r="32" spans="1:11" ht="15.75">
      <c r="A32" s="30"/>
      <c r="B32" s="53">
        <v>44651</v>
      </c>
      <c r="C32" s="53">
        <v>44742</v>
      </c>
      <c r="D32" s="53">
        <v>44834</v>
      </c>
      <c r="E32" s="67">
        <v>44926</v>
      </c>
      <c r="F32" s="53">
        <v>45016</v>
      </c>
      <c r="G32" s="53">
        <v>45107</v>
      </c>
      <c r="H32" s="53">
        <v>45199</v>
      </c>
      <c r="I32" s="53">
        <v>45291</v>
      </c>
      <c r="K32" s="54"/>
    </row>
    <row r="33" spans="1:11" ht="15">
      <c r="A33" s="43" t="str">
        <f>HLOOKUP(INDICE!$F$2,Nombres!$C$3:$D$636,52,FALSE)</f>
        <v>Efectivo, saldos en efectivo en bancos centrales y otros depósitos a la vista</v>
      </c>
      <c r="B33" s="44">
        <v>28593.503321999997</v>
      </c>
      <c r="C33" s="44">
        <v>37732.410629</v>
      </c>
      <c r="D33" s="44">
        <v>48898.329535</v>
      </c>
      <c r="E33" s="45">
        <v>49184.983630999996</v>
      </c>
      <c r="F33" s="44">
        <v>50952.053749000006</v>
      </c>
      <c r="G33" s="44">
        <v>39190.368633000006</v>
      </c>
      <c r="H33" s="44">
        <v>0</v>
      </c>
      <c r="I33" s="44">
        <v>0</v>
      </c>
      <c r="K33" s="54"/>
    </row>
    <row r="34" spans="1:11" ht="15">
      <c r="A34" s="43" t="str">
        <f>HLOOKUP(INDICE!$F$2,Nombres!$C$3:$D$636,53,FALSE)</f>
        <v>Activos financieros a valor razonable</v>
      </c>
      <c r="B34" s="58">
        <v>136353.24551016</v>
      </c>
      <c r="C34" s="58">
        <v>140377.23086860002</v>
      </c>
      <c r="D34" s="58">
        <v>135010.53182518</v>
      </c>
      <c r="E34" s="64">
        <v>126413.47969942997</v>
      </c>
      <c r="F34" s="44">
        <v>137431.70913717</v>
      </c>
      <c r="G34" s="44">
        <v>153651.27486332002</v>
      </c>
      <c r="H34" s="44">
        <v>0</v>
      </c>
      <c r="I34" s="44">
        <v>0</v>
      </c>
      <c r="K34" s="54"/>
    </row>
    <row r="35" spans="1:11" ht="15">
      <c r="A35" s="43" t="str">
        <f>HLOOKUP(INDICE!$F$2,Nombres!$C$3:$D$636,54,FALSE)</f>
        <v>Activos financieros a coste amortizado</v>
      </c>
      <c r="B35" s="44">
        <v>199610.38512215996</v>
      </c>
      <c r="C35" s="44">
        <v>204669.33881411003</v>
      </c>
      <c r="D35" s="44">
        <v>206855.72719879</v>
      </c>
      <c r="E35" s="45">
        <v>204527.90962357</v>
      </c>
      <c r="F35" s="44">
        <v>207349.14712439</v>
      </c>
      <c r="G35" s="44">
        <v>210404.96079228996</v>
      </c>
      <c r="H35" s="44">
        <v>0</v>
      </c>
      <c r="I35" s="44">
        <v>0</v>
      </c>
      <c r="K35" s="54"/>
    </row>
    <row r="36" spans="1:11" ht="15">
      <c r="A36" s="43" t="str">
        <f>HLOOKUP(INDICE!$F$2,Nombres!$C$3:$D$636,55,FALSE)</f>
        <v>    de los que préstamos y anticipos a la clientela</v>
      </c>
      <c r="B36" s="44">
        <v>171864.67511716002</v>
      </c>
      <c r="C36" s="44">
        <v>176028.58921811005</v>
      </c>
      <c r="D36" s="44">
        <v>176082.53535879002</v>
      </c>
      <c r="E36" s="45">
        <v>173971.14545257005</v>
      </c>
      <c r="F36" s="44">
        <v>172084.53894139003</v>
      </c>
      <c r="G36" s="44">
        <v>173944.18117729</v>
      </c>
      <c r="H36" s="44">
        <v>0</v>
      </c>
      <c r="I36" s="44">
        <v>0</v>
      </c>
      <c r="K36" s="54"/>
    </row>
    <row r="37" spans="1:11" ht="15">
      <c r="A37" s="43" t="str">
        <f>HLOOKUP(INDICE!$F$2,Nombres!$C$3:$D$636,121,FALSE)</f>
        <v>Posiciones inter-áreas activo</v>
      </c>
      <c r="B37" s="44">
        <v>37221.309266330034</v>
      </c>
      <c r="C37" s="44">
        <v>39466.192276849935</v>
      </c>
      <c r="D37" s="44">
        <v>37726.692613729974</v>
      </c>
      <c r="E37" s="45">
        <v>38924.4874518899</v>
      </c>
      <c r="F37" s="44">
        <v>37955.493378340034</v>
      </c>
      <c r="G37" s="44">
        <v>39923.525425850064</v>
      </c>
      <c r="H37" s="44">
        <v>0</v>
      </c>
      <c r="I37" s="44">
        <v>0</v>
      </c>
      <c r="K37" s="54"/>
    </row>
    <row r="38" spans="1:11" ht="15">
      <c r="A38" s="43" t="str">
        <f>HLOOKUP(INDICE!$F$2,Nombres!$C$3:$D$636,56,FALSE)</f>
        <v>Activos tangibles</v>
      </c>
      <c r="B38" s="58">
        <v>2508.384579</v>
      </c>
      <c r="C38" s="58">
        <v>2972.7728279999997</v>
      </c>
      <c r="D38" s="58">
        <v>2941.4989960000003</v>
      </c>
      <c r="E38" s="64">
        <v>2989.8220039999997</v>
      </c>
      <c r="F38" s="44">
        <v>2956.8782669999996</v>
      </c>
      <c r="G38" s="44">
        <v>2919.211772</v>
      </c>
      <c r="H38" s="44">
        <v>0</v>
      </c>
      <c r="I38" s="44">
        <v>0</v>
      </c>
      <c r="K38" s="54"/>
    </row>
    <row r="39" spans="1:11" ht="15">
      <c r="A39" s="43" t="str">
        <f>HLOOKUP(INDICE!$F$2,Nombres!$C$3:$D$636,57,FALSE)</f>
        <v>Otros activos</v>
      </c>
      <c r="B39" s="58">
        <f aca="true" t="shared" si="6" ref="B39:G39">+B40-B38-B35-B34-B33-B37</f>
        <v>5768.474589749974</v>
      </c>
      <c r="C39" s="58">
        <f t="shared" si="6"/>
        <v>6747.612317720013</v>
      </c>
      <c r="D39" s="58">
        <f t="shared" si="6"/>
        <v>5954.668764860049</v>
      </c>
      <c r="E39" s="64">
        <f t="shared" si="6"/>
        <v>5075.537933880099</v>
      </c>
      <c r="F39" s="44">
        <f t="shared" si="6"/>
        <v>5074.64560414997</v>
      </c>
      <c r="G39" s="44">
        <f t="shared" si="6"/>
        <v>6270.491848079953</v>
      </c>
      <c r="H39" s="44">
        <f>+H40-H38-H35-H34-H33-H37</f>
        <v>0</v>
      </c>
      <c r="I39" s="44">
        <f>+I40-I38-I35-I34-I33-I37</f>
        <v>0</v>
      </c>
      <c r="K39" s="54"/>
    </row>
    <row r="40" spans="1:11" ht="15">
      <c r="A40" s="47" t="str">
        <f>HLOOKUP(INDICE!$F$2,Nombres!$C$3:$D$636,58,FALSE)</f>
        <v>Total activo / pasivo</v>
      </c>
      <c r="B40" s="47">
        <v>410055.30238939996</v>
      </c>
      <c r="C40" s="47">
        <v>431965.55773428</v>
      </c>
      <c r="D40" s="47">
        <v>437387.44893356</v>
      </c>
      <c r="E40" s="47">
        <v>427116.22034377</v>
      </c>
      <c r="F40" s="51">
        <v>441719.92726005</v>
      </c>
      <c r="G40" s="51">
        <v>452359.83333454</v>
      </c>
      <c r="H40" s="51">
        <v>0</v>
      </c>
      <c r="I40" s="51">
        <v>0</v>
      </c>
      <c r="K40" s="54"/>
    </row>
    <row r="41" spans="1:11" ht="15.75" customHeight="1">
      <c r="A41" s="43" t="str">
        <f>HLOOKUP(INDICE!$F$2,Nombres!$C$3:$D$636,59,FALSE)</f>
        <v>Pasivos financieros mantenidos para negociar y designados a valor razonable con cambios en resultados</v>
      </c>
      <c r="B41" s="58">
        <v>75723.90047499997</v>
      </c>
      <c r="C41" s="58">
        <v>89118.859321</v>
      </c>
      <c r="D41" s="58">
        <v>87972.36668900002</v>
      </c>
      <c r="E41" s="64">
        <v>84619.36384300001</v>
      </c>
      <c r="F41" s="44">
        <v>96927.44413199999</v>
      </c>
      <c r="G41" s="44">
        <v>117617.9489</v>
      </c>
      <c r="H41" s="44">
        <v>0</v>
      </c>
      <c r="I41" s="44">
        <v>0</v>
      </c>
      <c r="K41" s="54"/>
    </row>
    <row r="42" spans="1:11" ht="15">
      <c r="A42" s="43" t="str">
        <f>HLOOKUP(INDICE!$F$2,Nombres!$C$3:$D$636,60,FALSE)</f>
        <v>Depósitos de bancos centrales y entidades de crédito</v>
      </c>
      <c r="B42" s="58">
        <v>59875.795284</v>
      </c>
      <c r="C42" s="58">
        <v>62815.157738</v>
      </c>
      <c r="D42" s="58">
        <v>67373.417516</v>
      </c>
      <c r="E42" s="64">
        <v>51701.969221</v>
      </c>
      <c r="F42" s="44">
        <v>60304.637791</v>
      </c>
      <c r="G42" s="44">
        <v>41559.474549</v>
      </c>
      <c r="H42" s="44">
        <v>0</v>
      </c>
      <c r="I42" s="44">
        <v>0</v>
      </c>
      <c r="K42" s="54"/>
    </row>
    <row r="43" spans="1:11" ht="15">
      <c r="A43" s="43" t="str">
        <f>HLOOKUP(INDICE!$F$2,Nombres!$C$3:$D$636,61,FALSE)</f>
        <v>Depósitos de la clientela</v>
      </c>
      <c r="B43" s="58">
        <v>206929.491863</v>
      </c>
      <c r="C43" s="58">
        <v>211589.99872099998</v>
      </c>
      <c r="D43" s="58">
        <v>213434.68435700002</v>
      </c>
      <c r="E43" s="64">
        <v>221019.117034</v>
      </c>
      <c r="F43" s="44">
        <v>214475.85191400003</v>
      </c>
      <c r="G43" s="44">
        <v>214275.81944400002</v>
      </c>
      <c r="H43" s="44">
        <v>0</v>
      </c>
      <c r="I43" s="44">
        <v>0</v>
      </c>
      <c r="K43" s="54"/>
    </row>
    <row r="44" spans="1:11" ht="15">
      <c r="A44" s="43" t="str">
        <f>HLOOKUP(INDICE!$F$2,Nombres!$C$3:$D$636,62,FALSE)</f>
        <v>Valores representativos de deuda emitidos</v>
      </c>
      <c r="B44" s="44">
        <v>36027.34682829</v>
      </c>
      <c r="C44" s="44">
        <v>36804.73515928</v>
      </c>
      <c r="D44" s="44">
        <v>38976.324485089994</v>
      </c>
      <c r="E44" s="45">
        <v>40782.29655009001</v>
      </c>
      <c r="F44" s="44">
        <v>40898.1645272</v>
      </c>
      <c r="G44" s="44">
        <v>46696.653185129995</v>
      </c>
      <c r="H44" s="44">
        <v>0</v>
      </c>
      <c r="I44" s="44">
        <v>0</v>
      </c>
      <c r="K44" s="54"/>
    </row>
    <row r="45" spans="1:11" ht="15">
      <c r="A45" s="43" t="str">
        <f>HLOOKUP(INDICE!$F$2,Nombres!$C$3:$D$636,122,FALSE)</f>
        <v>Posiciones inter-áreas pasivo</v>
      </c>
      <c r="B45" s="44">
        <v>0</v>
      </c>
      <c r="C45" s="44">
        <v>0</v>
      </c>
      <c r="D45" s="44">
        <v>0</v>
      </c>
      <c r="E45" s="45">
        <v>0</v>
      </c>
      <c r="F45" s="44">
        <v>0</v>
      </c>
      <c r="G45" s="44">
        <v>0</v>
      </c>
      <c r="H45" s="44">
        <v>0</v>
      </c>
      <c r="I45" s="44">
        <v>0</v>
      </c>
      <c r="K45" s="54"/>
    </row>
    <row r="46" spans="1:9" ht="15">
      <c r="A46" s="43" t="str">
        <f>HLOOKUP(INDICE!$F$2,Nombres!$C$3:$D$636,63,FALSE)</f>
        <v>Otros pasivos</v>
      </c>
      <c r="B46" s="44">
        <f aca="true" t="shared" si="7" ref="B46:I46">+B40-B41-B42-B43-B44-B47-B45</f>
        <v>17151.419602979997</v>
      </c>
      <c r="C46" s="44">
        <f t="shared" si="7"/>
        <v>17131.147912400054</v>
      </c>
      <c r="D46" s="44">
        <f t="shared" si="7"/>
        <v>15663.756458270007</v>
      </c>
      <c r="E46" s="45">
        <f t="shared" si="7"/>
        <v>15869.837604819983</v>
      </c>
      <c r="F46" s="44">
        <f t="shared" si="7"/>
        <v>14777.126779030006</v>
      </c>
      <c r="G46" s="44">
        <f t="shared" si="7"/>
        <v>17813.067980400003</v>
      </c>
      <c r="H46" s="44">
        <f t="shared" si="7"/>
        <v>0</v>
      </c>
      <c r="I46" s="44">
        <f t="shared" si="7"/>
        <v>0</v>
      </c>
    </row>
    <row r="47" spans="1:9" ht="15">
      <c r="A47" s="43" t="str">
        <f>HLOOKUP(INDICE!$F$2,Nombres!$C$3:$D$636,282,FALSE)</f>
        <v>Dotación de capital regulatorio</v>
      </c>
      <c r="B47" s="44">
        <v>14347.348336129999</v>
      </c>
      <c r="C47" s="44">
        <v>14505.6588826</v>
      </c>
      <c r="D47" s="44">
        <v>13966.899428199999</v>
      </c>
      <c r="E47" s="45">
        <v>13123.63609086</v>
      </c>
      <c r="F47" s="44">
        <v>14336.702116819999</v>
      </c>
      <c r="G47" s="44">
        <v>14396.869276010002</v>
      </c>
      <c r="H47" s="44">
        <v>0</v>
      </c>
      <c r="I47" s="44">
        <v>0</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Indicadores relevantes y de gestión</v>
      </c>
      <c r="B50" s="66"/>
      <c r="C50" s="66"/>
      <c r="D50" s="66"/>
      <c r="E50" s="66"/>
      <c r="F50" s="66"/>
      <c r="G50" s="66"/>
      <c r="H50" s="66"/>
      <c r="I50" s="66"/>
    </row>
    <row r="51" spans="1:9" ht="15">
      <c r="A51" s="35" t="str">
        <f>HLOOKUP(INDICE!$F$2,Nombres!$C$3:$D$636,32,FALSE)</f>
        <v>(Millones de euros)</v>
      </c>
      <c r="B51" s="30"/>
      <c r="C51" s="30"/>
      <c r="D51" s="30"/>
      <c r="E51" s="30"/>
      <c r="F51" s="30"/>
      <c r="G51" s="58"/>
      <c r="H51" s="58"/>
      <c r="I51" s="58"/>
    </row>
    <row r="52" spans="1:9" ht="15.75">
      <c r="A52" s="30"/>
      <c r="B52" s="53">
        <f aca="true" t="shared" si="8" ref="B52:G52">+B$32</f>
        <v>44651</v>
      </c>
      <c r="C52" s="53">
        <f t="shared" si="8"/>
        <v>44742</v>
      </c>
      <c r="D52" s="53">
        <f t="shared" si="8"/>
        <v>44834</v>
      </c>
      <c r="E52" s="67">
        <f t="shared" si="8"/>
        <v>44926</v>
      </c>
      <c r="F52" s="53">
        <f t="shared" si="8"/>
        <v>45016</v>
      </c>
      <c r="G52" s="53">
        <f t="shared" si="8"/>
        <v>45107</v>
      </c>
      <c r="H52" s="53">
        <f>+H$32</f>
        <v>45199</v>
      </c>
      <c r="I52" s="53">
        <f>+I$32</f>
        <v>45291</v>
      </c>
    </row>
    <row r="53" spans="1:9" ht="15">
      <c r="A53" s="43" t="str">
        <f>HLOOKUP(INDICE!$F$2,Nombres!$C$3:$D$636,66,FALSE)</f>
        <v>Préstamos y anticipos a la clientela bruto (*)</v>
      </c>
      <c r="B53" s="44">
        <v>176893.119585</v>
      </c>
      <c r="C53" s="44">
        <v>181027.61527800004</v>
      </c>
      <c r="D53" s="44">
        <v>181009.711921</v>
      </c>
      <c r="E53" s="45">
        <v>178495.86162500002</v>
      </c>
      <c r="F53" s="44">
        <v>176311.63150200003</v>
      </c>
      <c r="G53" s="44">
        <v>178227.164257</v>
      </c>
      <c r="H53" s="44">
        <v>0</v>
      </c>
      <c r="I53" s="44">
        <v>0</v>
      </c>
    </row>
    <row r="54" spans="1:9" ht="15">
      <c r="A54" s="43" t="str">
        <f>HLOOKUP(INDICE!$F$2,Nombres!$C$3:$D$636,67,FALSE)</f>
        <v>Depósitos de clientes en gestión (**)</v>
      </c>
      <c r="B54" s="44">
        <v>206405.25463299995</v>
      </c>
      <c r="C54" s="44">
        <v>211099.308105</v>
      </c>
      <c r="D54" s="44">
        <v>212870.505873</v>
      </c>
      <c r="E54" s="45">
        <v>220139.521066</v>
      </c>
      <c r="F54" s="44">
        <v>213310.99586000002</v>
      </c>
      <c r="G54" s="44">
        <v>213079.689079</v>
      </c>
      <c r="H54" s="44">
        <v>0</v>
      </c>
      <c r="I54" s="44">
        <v>0</v>
      </c>
    </row>
    <row r="55" spans="1:9" ht="15">
      <c r="A55" s="43" t="str">
        <f>HLOOKUP(INDICE!$F$2,Nombres!$C$3:$D$636,68,FALSE)</f>
        <v>Fondos de inversión y carteras gestionadas</v>
      </c>
      <c r="B55" s="44">
        <v>66158.73053186998</v>
      </c>
      <c r="C55" s="44">
        <v>63270.89122094001</v>
      </c>
      <c r="D55" s="44">
        <v>62261.04950350999</v>
      </c>
      <c r="E55" s="45">
        <v>63785.98545200001</v>
      </c>
      <c r="F55" s="44">
        <v>67197.82419900002</v>
      </c>
      <c r="G55" s="44">
        <v>69251.88242359</v>
      </c>
      <c r="H55" s="44">
        <v>0</v>
      </c>
      <c r="I55" s="44">
        <v>0</v>
      </c>
    </row>
    <row r="56" spans="1:9" ht="15">
      <c r="A56" s="43" t="str">
        <f>HLOOKUP(INDICE!$F$2,Nombres!$C$3:$D$636,69,FALSE)</f>
        <v>Fondos de pensiones</v>
      </c>
      <c r="B56" s="44">
        <v>24669.120722600004</v>
      </c>
      <c r="C56" s="44">
        <v>23557.51709119</v>
      </c>
      <c r="D56" s="44">
        <v>22919.576148710003</v>
      </c>
      <c r="E56" s="45">
        <v>22972.52035825</v>
      </c>
      <c r="F56" s="44">
        <v>23379.58141105</v>
      </c>
      <c r="G56" s="44">
        <v>23595.65664021</v>
      </c>
      <c r="H56" s="44">
        <v>0</v>
      </c>
      <c r="I56" s="44">
        <v>0</v>
      </c>
    </row>
    <row r="57" spans="1:9" ht="15">
      <c r="A57" s="43" t="str">
        <f>HLOOKUP(INDICE!$F$2,Nombres!$C$3:$D$636,70,FALSE)</f>
        <v>Otros recursos fuera de balance</v>
      </c>
      <c r="B57" s="44">
        <v>0</v>
      </c>
      <c r="C57" s="44">
        <v>0</v>
      </c>
      <c r="D57" s="44">
        <v>0</v>
      </c>
      <c r="E57" s="45">
        <v>0</v>
      </c>
      <c r="F57" s="44">
        <v>0</v>
      </c>
      <c r="G57" s="44">
        <v>0</v>
      </c>
      <c r="H57" s="44">
        <v>0</v>
      </c>
      <c r="I57" s="44">
        <v>0</v>
      </c>
    </row>
    <row r="58" spans="1:9" ht="15">
      <c r="A58" s="62" t="str">
        <f>HLOOKUP(INDICE!$F$2,Nombres!$C$3:$D$636,71,FALSE)</f>
        <v>(*) No incluye las adquisiciones temporales de activos.</v>
      </c>
      <c r="B58" s="58"/>
      <c r="C58" s="58"/>
      <c r="D58" s="58"/>
      <c r="E58" s="58"/>
      <c r="F58" s="58"/>
      <c r="G58" s="58"/>
      <c r="H58" s="58"/>
      <c r="I58" s="58"/>
    </row>
    <row r="59" spans="1:9" ht="15">
      <c r="A59" s="62" t="str">
        <f>HLOOKUP(INDICE!$F$2,Nombres!$C$3:$D$636,72,FALSE)</f>
        <v>(**) No incluye las cesiones temporales de activos.</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391</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1747.69772982</v>
      </c>
      <c r="C8" s="41">
        <v>1938.53811032</v>
      </c>
      <c r="D8" s="41">
        <v>2236.0702695</v>
      </c>
      <c r="E8" s="42">
        <v>2455.9773522500004</v>
      </c>
      <c r="F8" s="50">
        <v>2589.49323296</v>
      </c>
      <c r="G8" s="50">
        <v>2674.105297769999</v>
      </c>
      <c r="H8" s="50">
        <v>0</v>
      </c>
      <c r="I8" s="50">
        <v>0</v>
      </c>
    </row>
    <row r="9" spans="1:9" ht="15">
      <c r="A9" s="43" t="str">
        <f>HLOOKUP(INDICE!$F$2,Nombres!$C$3:$D$636,34,FALSE)</f>
        <v>Comisiones netas</v>
      </c>
      <c r="B9" s="44">
        <v>343.89284431</v>
      </c>
      <c r="C9" s="44">
        <v>401.04748298999993</v>
      </c>
      <c r="D9" s="44">
        <v>431.41148955000006</v>
      </c>
      <c r="E9" s="45">
        <v>448.82910259000005</v>
      </c>
      <c r="F9" s="44">
        <v>482.7000830400001</v>
      </c>
      <c r="G9" s="44">
        <v>534.2990649000001</v>
      </c>
      <c r="H9" s="44">
        <v>0</v>
      </c>
      <c r="I9" s="44">
        <v>0</v>
      </c>
    </row>
    <row r="10" spans="1:9" ht="15">
      <c r="A10" s="43" t="str">
        <f>HLOOKUP(INDICE!$F$2,Nombres!$C$3:$D$636,35,FALSE)</f>
        <v>Resultados de operaciones financieras</v>
      </c>
      <c r="B10" s="44">
        <v>91.88280934999999</v>
      </c>
      <c r="C10" s="44">
        <v>135.55792679</v>
      </c>
      <c r="D10" s="44">
        <v>96.11993705</v>
      </c>
      <c r="E10" s="45">
        <v>115.79044319999997</v>
      </c>
      <c r="F10" s="44">
        <v>148.75250654</v>
      </c>
      <c r="G10" s="44">
        <v>165.97206103</v>
      </c>
      <c r="H10" s="44">
        <v>0</v>
      </c>
      <c r="I10" s="44">
        <v>0</v>
      </c>
    </row>
    <row r="11" spans="1:9" ht="15">
      <c r="A11" s="43" t="str">
        <f>HLOOKUP(INDICE!$F$2,Nombres!$C$3:$D$636,36,FALSE)</f>
        <v>Otros ingresos y cargas de explotación</v>
      </c>
      <c r="B11" s="44">
        <v>48.25100002</v>
      </c>
      <c r="C11" s="44">
        <v>105.93799997000019</v>
      </c>
      <c r="D11" s="44">
        <v>84.69999998999974</v>
      </c>
      <c r="E11" s="45">
        <v>52.03694503999997</v>
      </c>
      <c r="F11" s="44">
        <v>85.52299998999987</v>
      </c>
      <c r="G11" s="44">
        <v>92.76100000999985</v>
      </c>
      <c r="H11" s="44">
        <v>0</v>
      </c>
      <c r="I11" s="44">
        <v>0</v>
      </c>
    </row>
    <row r="12" spans="1:9" ht="15">
      <c r="A12" s="41" t="str">
        <f>HLOOKUP(INDICE!$F$2,Nombres!$C$3:$D$636,37,FALSE)</f>
        <v>Margen bruto</v>
      </c>
      <c r="B12" s="41">
        <f aca="true" t="shared" si="0" ref="B12:I12">+SUM(B8:B11)</f>
        <v>2231.7243835</v>
      </c>
      <c r="C12" s="41">
        <f t="shared" si="0"/>
        <v>2581.081520070001</v>
      </c>
      <c r="D12" s="41">
        <f t="shared" si="0"/>
        <v>2848.30169609</v>
      </c>
      <c r="E12" s="42">
        <f t="shared" si="0"/>
        <v>3072.6338430800006</v>
      </c>
      <c r="F12" s="50">
        <f t="shared" si="0"/>
        <v>3306.46882253</v>
      </c>
      <c r="G12" s="50">
        <f t="shared" si="0"/>
        <v>3467.1374237099994</v>
      </c>
      <c r="H12" s="50">
        <f t="shared" si="0"/>
        <v>0</v>
      </c>
      <c r="I12" s="50">
        <f t="shared" si="0"/>
        <v>0</v>
      </c>
    </row>
    <row r="13" spans="1:9" ht="15">
      <c r="A13" s="43" t="str">
        <f>HLOOKUP(INDICE!$F$2,Nombres!$C$3:$D$636,38,FALSE)</f>
        <v>Gastos de explotación</v>
      </c>
      <c r="B13" s="44">
        <v>-744.3194831100001</v>
      </c>
      <c r="C13" s="44">
        <v>-808.66734132</v>
      </c>
      <c r="D13" s="44">
        <v>-889.84100052</v>
      </c>
      <c r="E13" s="45">
        <v>-954.4751673399999</v>
      </c>
      <c r="F13" s="44">
        <v>-988.2161742100001</v>
      </c>
      <c r="G13" s="44">
        <v>-1068.61043016</v>
      </c>
      <c r="H13" s="44">
        <v>0</v>
      </c>
      <c r="I13" s="44">
        <v>0</v>
      </c>
    </row>
    <row r="14" spans="1:9" ht="15">
      <c r="A14" s="43" t="str">
        <f>HLOOKUP(INDICE!$F$2,Nombres!$C$3:$D$636,39,FALSE)</f>
        <v>  Gastos de administración</v>
      </c>
      <c r="B14" s="44">
        <v>-653.8212020799999</v>
      </c>
      <c r="C14" s="44">
        <v>-711.1892107600002</v>
      </c>
      <c r="D14" s="44">
        <v>-786.8289675399999</v>
      </c>
      <c r="E14" s="45">
        <v>-847.8125583200001</v>
      </c>
      <c r="F14" s="44">
        <v>-879.61139719</v>
      </c>
      <c r="G14" s="44">
        <v>-954.34501617</v>
      </c>
      <c r="H14" s="44">
        <v>0</v>
      </c>
      <c r="I14" s="44">
        <v>0</v>
      </c>
    </row>
    <row r="15" spans="1:9" ht="15">
      <c r="A15" s="46" t="str">
        <f>HLOOKUP(INDICE!$F$2,Nombres!$C$3:$D$636,40,FALSE)</f>
        <v>  Gastos de personal</v>
      </c>
      <c r="B15" s="44">
        <v>-331.61017589000005</v>
      </c>
      <c r="C15" s="44">
        <v>-362.61365939000007</v>
      </c>
      <c r="D15" s="44">
        <v>-414.33823077999995</v>
      </c>
      <c r="E15" s="45">
        <v>-456.76121434000004</v>
      </c>
      <c r="F15" s="44">
        <v>-455.43766277000003</v>
      </c>
      <c r="G15" s="44">
        <v>-497.25879884999995</v>
      </c>
      <c r="H15" s="44">
        <v>0</v>
      </c>
      <c r="I15" s="44">
        <v>0</v>
      </c>
    </row>
    <row r="16" spans="1:9" ht="15">
      <c r="A16" s="46" t="str">
        <f>HLOOKUP(INDICE!$F$2,Nombres!$C$3:$D$636,41,FALSE)</f>
        <v>  Otros gastos de administración</v>
      </c>
      <c r="B16" s="44">
        <v>-322.21102619</v>
      </c>
      <c r="C16" s="44">
        <v>-348.57555137</v>
      </c>
      <c r="D16" s="44">
        <v>-372.49073676</v>
      </c>
      <c r="E16" s="45">
        <v>-391.05134398</v>
      </c>
      <c r="F16" s="44">
        <v>-424.17373442</v>
      </c>
      <c r="G16" s="44">
        <v>-457.08621731999995</v>
      </c>
      <c r="H16" s="44">
        <v>0</v>
      </c>
      <c r="I16" s="44">
        <v>0</v>
      </c>
    </row>
    <row r="17" spans="1:9" ht="15">
      <c r="A17" s="43" t="str">
        <f>HLOOKUP(INDICE!$F$2,Nombres!$C$3:$D$636,42,FALSE)</f>
        <v>  Amortización</v>
      </c>
      <c r="B17" s="44">
        <v>-90.49828103</v>
      </c>
      <c r="C17" s="44">
        <v>-97.47813055999998</v>
      </c>
      <c r="D17" s="44">
        <v>-103.01203297999999</v>
      </c>
      <c r="E17" s="45">
        <v>-106.66260901999999</v>
      </c>
      <c r="F17" s="44">
        <v>-108.60477702</v>
      </c>
      <c r="G17" s="44">
        <v>-114.26541399000001</v>
      </c>
      <c r="H17" s="44">
        <v>0</v>
      </c>
      <c r="I17" s="44">
        <v>0</v>
      </c>
    </row>
    <row r="18" spans="1:9" ht="15">
      <c r="A18" s="41" t="str">
        <f>HLOOKUP(INDICE!$F$2,Nombres!$C$3:$D$636,43,FALSE)</f>
        <v>Margen neto</v>
      </c>
      <c r="B18" s="41">
        <f aca="true" t="shared" si="1" ref="B18:I18">+B12+B13</f>
        <v>1487.40490039</v>
      </c>
      <c r="C18" s="41">
        <f t="shared" si="1"/>
        <v>1772.4141787500007</v>
      </c>
      <c r="D18" s="41">
        <f t="shared" si="1"/>
        <v>1958.46069557</v>
      </c>
      <c r="E18" s="42">
        <f t="shared" si="1"/>
        <v>2118.158675740001</v>
      </c>
      <c r="F18" s="50">
        <f t="shared" si="1"/>
        <v>2318.25264832</v>
      </c>
      <c r="G18" s="50">
        <f t="shared" si="1"/>
        <v>2398.526993549999</v>
      </c>
      <c r="H18" s="50">
        <f t="shared" si="1"/>
        <v>0</v>
      </c>
      <c r="I18" s="50">
        <f t="shared" si="1"/>
        <v>0</v>
      </c>
    </row>
    <row r="19" spans="1:9" ht="15">
      <c r="A19" s="43" t="str">
        <f>HLOOKUP(INDICE!$F$2,Nombres!$C$3:$D$636,44,FALSE)</f>
        <v>Deterioro de activos financieros no valorados a valor razonable con cambios en resultados</v>
      </c>
      <c r="B19" s="44">
        <v>-418.76099995000004</v>
      </c>
      <c r="C19" s="44">
        <v>-386.54700003999966</v>
      </c>
      <c r="D19" s="44">
        <v>-471.4429999999997</v>
      </c>
      <c r="E19" s="45">
        <v>-416.1310000100001</v>
      </c>
      <c r="F19" s="44">
        <v>-549.48399992</v>
      </c>
      <c r="G19" s="44">
        <v>-586.8700000800002</v>
      </c>
      <c r="H19" s="44">
        <v>0</v>
      </c>
      <c r="I19" s="44">
        <v>0</v>
      </c>
    </row>
    <row r="20" spans="1:9" ht="15">
      <c r="A20" s="43" t="str">
        <f>HLOOKUP(INDICE!$F$2,Nombres!$C$3:$D$636,45,FALSE)</f>
        <v>Provisiones o reversión de provisiones y otros resultados</v>
      </c>
      <c r="B20" s="44">
        <v>-1.2699999999999978</v>
      </c>
      <c r="C20" s="44">
        <v>-7.595999979999998</v>
      </c>
      <c r="D20" s="44">
        <v>-36.347000019999996</v>
      </c>
      <c r="E20" s="45">
        <v>21.353000000000023</v>
      </c>
      <c r="F20" s="44">
        <v>-0.7789999900000026</v>
      </c>
      <c r="G20" s="44">
        <v>5.490999989999999</v>
      </c>
      <c r="H20" s="44">
        <v>0</v>
      </c>
      <c r="I20" s="44">
        <v>0</v>
      </c>
    </row>
    <row r="21" spans="1:9" ht="15">
      <c r="A21" s="41" t="str">
        <f>HLOOKUP(INDICE!$F$2,Nombres!$C$3:$D$636,46,FALSE)</f>
        <v>Resultado antes de impuestos</v>
      </c>
      <c r="B21" s="41">
        <f aca="true" t="shared" si="2" ref="B21:I21">+B18+B19+B20</f>
        <v>1067.37390044</v>
      </c>
      <c r="C21" s="41">
        <f t="shared" si="2"/>
        <v>1378.271178730001</v>
      </c>
      <c r="D21" s="41">
        <f t="shared" si="2"/>
        <v>1450.6706955500003</v>
      </c>
      <c r="E21" s="42">
        <f t="shared" si="2"/>
        <v>1723.3806757300008</v>
      </c>
      <c r="F21" s="50">
        <f t="shared" si="2"/>
        <v>1767.98964841</v>
      </c>
      <c r="G21" s="50">
        <f t="shared" si="2"/>
        <v>1817.147993459999</v>
      </c>
      <c r="H21" s="50">
        <f t="shared" si="2"/>
        <v>0</v>
      </c>
      <c r="I21" s="50">
        <f t="shared" si="2"/>
        <v>0</v>
      </c>
    </row>
    <row r="22" spans="1:9" ht="15">
      <c r="A22" s="43" t="str">
        <f>HLOOKUP(INDICE!$F$2,Nombres!$C$3:$D$636,47,FALSE)</f>
        <v>Impuesto sobre beneficios</v>
      </c>
      <c r="B22" s="44">
        <v>-290.71184165</v>
      </c>
      <c r="C22" s="44">
        <v>-373.12907681999997</v>
      </c>
      <c r="D22" s="44">
        <v>-314.20726758999996</v>
      </c>
      <c r="E22" s="45">
        <v>-509.66447036</v>
      </c>
      <c r="F22" s="44">
        <v>-483.07931976</v>
      </c>
      <c r="G22" s="44">
        <v>-487.14941932</v>
      </c>
      <c r="H22" s="44">
        <v>0</v>
      </c>
      <c r="I22" s="44">
        <v>0</v>
      </c>
    </row>
    <row r="23" spans="1:9" ht="15">
      <c r="A23" s="41" t="str">
        <f>HLOOKUP(INDICE!$F$2,Nombres!$C$3:$D$636,48,FALSE)</f>
        <v>Resultado del ejercicio</v>
      </c>
      <c r="B23" s="41">
        <f aca="true" t="shared" si="3" ref="B23:I23">+B21+B22</f>
        <v>776.66205879</v>
      </c>
      <c r="C23" s="41">
        <f t="shared" si="3"/>
        <v>1005.1421019100012</v>
      </c>
      <c r="D23" s="41">
        <f t="shared" si="3"/>
        <v>1136.4634279600004</v>
      </c>
      <c r="E23" s="42">
        <f t="shared" si="3"/>
        <v>1213.7162053700008</v>
      </c>
      <c r="F23" s="50">
        <f t="shared" si="3"/>
        <v>1284.9103286499999</v>
      </c>
      <c r="G23" s="50">
        <f t="shared" si="3"/>
        <v>1329.9985741399992</v>
      </c>
      <c r="H23" s="50">
        <f t="shared" si="3"/>
        <v>0</v>
      </c>
      <c r="I23" s="50">
        <f t="shared" si="3"/>
        <v>0</v>
      </c>
    </row>
    <row r="24" spans="1:9" ht="15">
      <c r="A24" s="43" t="str">
        <f>HLOOKUP(INDICE!$F$2,Nombres!$C$3:$D$636,49,FALSE)</f>
        <v>Minoritarios</v>
      </c>
      <c r="B24" s="44">
        <v>-0.138</v>
      </c>
      <c r="C24" s="44">
        <v>-0.17900000000000002</v>
      </c>
      <c r="D24" s="44">
        <v>-0.20999999999999996</v>
      </c>
      <c r="E24" s="45">
        <v>-0.22099999999999997</v>
      </c>
      <c r="F24" s="44">
        <v>-0.234</v>
      </c>
      <c r="G24" s="44">
        <v>-0.24300000000000002</v>
      </c>
      <c r="H24" s="44">
        <v>0</v>
      </c>
      <c r="I24" s="44">
        <v>0</v>
      </c>
    </row>
    <row r="25" spans="1:9" ht="15">
      <c r="A25" s="47" t="str">
        <f>HLOOKUP(INDICE!$F$2,Nombres!$C$3:$D$636,50,FALSE)</f>
        <v>Resultado atribuido</v>
      </c>
      <c r="B25" s="47">
        <f aca="true" t="shared" si="4" ref="B25:I25">+B23+B24</f>
        <v>776.5240587899999</v>
      </c>
      <c r="C25" s="47">
        <f t="shared" si="4"/>
        <v>1004.9631019100012</v>
      </c>
      <c r="D25" s="47">
        <f t="shared" si="4"/>
        <v>1136.2534279600004</v>
      </c>
      <c r="E25" s="47">
        <f t="shared" si="4"/>
        <v>1213.4952053700008</v>
      </c>
      <c r="F25" s="51">
        <f t="shared" si="4"/>
        <v>1284.67632865</v>
      </c>
      <c r="G25" s="51">
        <f t="shared" si="4"/>
        <v>1329.7555741399992</v>
      </c>
      <c r="H25" s="51">
        <f t="shared" si="4"/>
        <v>0</v>
      </c>
      <c r="I25" s="51">
        <f t="shared" si="4"/>
        <v>0</v>
      </c>
    </row>
    <row r="26" spans="1:9" ht="15">
      <c r="A26" s="62"/>
      <c r="B26" s="63">
        <v>0</v>
      </c>
      <c r="C26" s="63">
        <v>1.2505552149377763E-12</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14926.70000001</v>
      </c>
      <c r="C31" s="44">
        <v>16588.829999989997</v>
      </c>
      <c r="D31" s="44">
        <v>16580.39899999</v>
      </c>
      <c r="E31" s="45">
        <v>13228.10800001</v>
      </c>
      <c r="F31" s="44">
        <v>12725.842999999999</v>
      </c>
      <c r="G31" s="44">
        <v>11529.04600002</v>
      </c>
      <c r="H31" s="44">
        <v>0</v>
      </c>
      <c r="I31" s="44">
        <v>0</v>
      </c>
    </row>
    <row r="32" spans="1:9" ht="15">
      <c r="A32" s="43" t="str">
        <f>HLOOKUP(INDICE!$F$2,Nombres!$C$3:$D$636,53,FALSE)</f>
        <v>Activos financieros a valor razonable</v>
      </c>
      <c r="B32" s="58">
        <v>43280.079</v>
      </c>
      <c r="C32" s="58">
        <v>46168.07599998</v>
      </c>
      <c r="D32" s="58">
        <v>50781.14</v>
      </c>
      <c r="E32" s="64">
        <v>46574.905999979994</v>
      </c>
      <c r="F32" s="44">
        <v>48366.31799999</v>
      </c>
      <c r="G32" s="44">
        <v>53880.822999979995</v>
      </c>
      <c r="H32" s="44">
        <v>0</v>
      </c>
      <c r="I32" s="44">
        <v>0</v>
      </c>
    </row>
    <row r="33" spans="1:9" ht="15">
      <c r="A33" s="43" t="str">
        <f>HLOOKUP(INDICE!$F$2,Nombres!$C$3:$D$636,54,FALSE)</f>
        <v>Activos financieros a coste amortizado</v>
      </c>
      <c r="B33" s="44">
        <v>64618.45900007</v>
      </c>
      <c r="C33" s="44">
        <v>71686.50400004999</v>
      </c>
      <c r="D33" s="44">
        <v>78324.58799998</v>
      </c>
      <c r="E33" s="45">
        <v>77191.36603053</v>
      </c>
      <c r="F33" s="44">
        <v>84617.33699992999</v>
      </c>
      <c r="G33" s="44">
        <v>92236.66200007</v>
      </c>
      <c r="H33" s="44">
        <v>0</v>
      </c>
      <c r="I33" s="44">
        <v>0</v>
      </c>
    </row>
    <row r="34" spans="1:9" ht="15">
      <c r="A34" s="43" t="str">
        <f>HLOOKUP(INDICE!$F$2,Nombres!$C$3:$D$636,55,FALSE)</f>
        <v>    de los que préstamos y anticipos a la clientela</v>
      </c>
      <c r="B34" s="44">
        <v>60331.85700003</v>
      </c>
      <c r="C34" s="44">
        <v>66578.29900003</v>
      </c>
      <c r="D34" s="44">
        <v>73088.44599999998</v>
      </c>
      <c r="E34" s="45">
        <v>71230.87603056</v>
      </c>
      <c r="F34" s="44">
        <v>77276.86599995</v>
      </c>
      <c r="G34" s="44">
        <v>83692.75600007</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1770.6509999999998</v>
      </c>
      <c r="C36" s="44">
        <v>1853.8629999999998</v>
      </c>
      <c r="D36" s="44">
        <v>1993.324</v>
      </c>
      <c r="E36" s="45">
        <v>1969.42399999</v>
      </c>
      <c r="F36" s="44">
        <v>2097.62799999</v>
      </c>
      <c r="G36" s="44">
        <v>2253.24299999</v>
      </c>
      <c r="H36" s="44">
        <v>0</v>
      </c>
      <c r="I36" s="44">
        <v>0</v>
      </c>
    </row>
    <row r="37" spans="1:9" ht="15">
      <c r="A37" s="43" t="str">
        <f>HLOOKUP(INDICE!$F$2,Nombres!$C$3:$D$636,57,FALSE)</f>
        <v>Otros activos</v>
      </c>
      <c r="B37" s="58">
        <f aca="true" t="shared" si="5" ref="B37:I37">+B38-B36-B33-B32-B31</f>
        <v>3070.1054611399977</v>
      </c>
      <c r="C37" s="58">
        <f t="shared" si="5"/>
        <v>3563.196897039961</v>
      </c>
      <c r="D37" s="58">
        <f t="shared" si="5"/>
        <v>3753.3312239899897</v>
      </c>
      <c r="E37" s="64">
        <f t="shared" si="5"/>
        <v>3592.991565969982</v>
      </c>
      <c r="F37" s="44">
        <f t="shared" si="5"/>
        <v>4147.845876789996</v>
      </c>
      <c r="G37" s="44">
        <f t="shared" si="5"/>
        <v>4857.83597194</v>
      </c>
      <c r="H37" s="44">
        <f t="shared" si="5"/>
        <v>0</v>
      </c>
      <c r="I37" s="44">
        <f t="shared" si="5"/>
        <v>0</v>
      </c>
    </row>
    <row r="38" spans="1:9" ht="15">
      <c r="A38" s="47" t="str">
        <f>HLOOKUP(INDICE!$F$2,Nombres!$C$3:$D$636,58,FALSE)</f>
        <v>Total activo / pasivo</v>
      </c>
      <c r="B38" s="47">
        <v>127665.99446121999</v>
      </c>
      <c r="C38" s="47">
        <v>139860.46989705996</v>
      </c>
      <c r="D38" s="47">
        <v>151432.78222395998</v>
      </c>
      <c r="E38" s="70">
        <v>142556.79559647996</v>
      </c>
      <c r="F38" s="47">
        <v>151954.9718767</v>
      </c>
      <c r="G38" s="51">
        <v>164757.609972</v>
      </c>
      <c r="H38" s="51">
        <v>0</v>
      </c>
      <c r="I38" s="51">
        <v>0</v>
      </c>
    </row>
    <row r="39" spans="1:9" ht="15">
      <c r="A39" s="43" t="str">
        <f>HLOOKUP(INDICE!$F$2,Nombres!$C$3:$D$636,59,FALSE)</f>
        <v>Pasivos financieros mantenidos para negociar y designados a valor razonable con cambios en resultados</v>
      </c>
      <c r="B39" s="58">
        <v>22773.464000000004</v>
      </c>
      <c r="C39" s="58">
        <v>26796.22899999</v>
      </c>
      <c r="D39" s="58">
        <v>30800.799</v>
      </c>
      <c r="E39" s="64">
        <v>25839.737999999998</v>
      </c>
      <c r="F39" s="44">
        <v>28035.307999999994</v>
      </c>
      <c r="G39" s="44">
        <v>28812.860999999997</v>
      </c>
      <c r="H39" s="44">
        <v>0</v>
      </c>
      <c r="I39" s="44">
        <v>0</v>
      </c>
    </row>
    <row r="40" spans="1:9" ht="15.75" customHeight="1">
      <c r="A40" s="43" t="str">
        <f>HLOOKUP(INDICE!$F$2,Nombres!$C$3:$D$636,60,FALSE)</f>
        <v>Depósitos de bancos centrales y entidades de crédito</v>
      </c>
      <c r="B40" s="58">
        <v>2797.4640000100003</v>
      </c>
      <c r="C40" s="58">
        <v>5140.61300001</v>
      </c>
      <c r="D40" s="58">
        <v>7319.008999979999</v>
      </c>
      <c r="E40" s="64">
        <v>4402.09899999</v>
      </c>
      <c r="F40" s="44">
        <v>6861.893999980001</v>
      </c>
      <c r="G40" s="44">
        <v>9835.589</v>
      </c>
      <c r="H40" s="44">
        <v>0</v>
      </c>
      <c r="I40" s="44">
        <v>0</v>
      </c>
    </row>
    <row r="41" spans="1:9" ht="15">
      <c r="A41" s="43" t="str">
        <f>HLOOKUP(INDICE!$F$2,Nombres!$C$3:$D$636,61,FALSE)</f>
        <v>Depósitos de la clientela</v>
      </c>
      <c r="B41" s="58">
        <v>69536.84699998</v>
      </c>
      <c r="C41" s="58">
        <v>72691.78799998</v>
      </c>
      <c r="D41" s="58">
        <v>76623.00800001</v>
      </c>
      <c r="E41" s="64">
        <v>77750.15499996</v>
      </c>
      <c r="F41" s="44">
        <v>80171.88699998999</v>
      </c>
      <c r="G41" s="44">
        <v>84865.102</v>
      </c>
      <c r="H41" s="44">
        <v>0</v>
      </c>
      <c r="I41" s="44">
        <v>0</v>
      </c>
    </row>
    <row r="42" spans="1:9" ht="15">
      <c r="A42" s="43" t="str">
        <f>HLOOKUP(INDICE!$F$2,Nombres!$C$3:$D$636,62,FALSE)</f>
        <v>Valores representativos de deuda emitidos</v>
      </c>
      <c r="B42" s="44">
        <v>8285.599972</v>
      </c>
      <c r="C42" s="44">
        <v>9353.47107761</v>
      </c>
      <c r="D42" s="44">
        <v>8510.65974108</v>
      </c>
      <c r="E42" s="45">
        <v>7757.534650130001</v>
      </c>
      <c r="F42" s="44">
        <v>8317.28095609</v>
      </c>
      <c r="G42" s="44">
        <v>9777.85682847</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 aca="true" t="shared" si="6" ref="B44:I44">+B38-B39-B40-B41-B42-B45</f>
        <v>16431.640416199978</v>
      </c>
      <c r="C44" s="58">
        <f t="shared" si="6"/>
        <v>16929.22542556996</v>
      </c>
      <c r="D44" s="58">
        <f t="shared" si="6"/>
        <v>18542.72786244998</v>
      </c>
      <c r="E44" s="64">
        <f t="shared" si="6"/>
        <v>16976.482092919963</v>
      </c>
      <c r="F44" s="44">
        <f t="shared" si="6"/>
        <v>19224.407281450018</v>
      </c>
      <c r="G44" s="44">
        <f t="shared" si="6"/>
        <v>21383.659418129995</v>
      </c>
      <c r="H44" s="44">
        <f t="shared" si="6"/>
        <v>0</v>
      </c>
      <c r="I44" s="44">
        <f t="shared" si="6"/>
        <v>0</v>
      </c>
    </row>
    <row r="45" spans="1:9" ht="15">
      <c r="A45" s="43" t="str">
        <f>HLOOKUP(INDICE!$F$2,Nombres!$C$3:$D$636,282,FALSE)</f>
        <v>Dotación de capital regulatorio</v>
      </c>
      <c r="B45" s="44">
        <v>7840.97907303</v>
      </c>
      <c r="C45" s="44">
        <v>8949.143393900002</v>
      </c>
      <c r="D45" s="44">
        <v>9636.57862044</v>
      </c>
      <c r="E45" s="45">
        <v>9830.78685348</v>
      </c>
      <c r="F45" s="44">
        <v>9344.19463919</v>
      </c>
      <c r="G45" s="44">
        <v>10082.541725399999</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Indicadores relevantes y de gestión</v>
      </c>
      <c r="B48" s="66"/>
      <c r="C48" s="66"/>
      <c r="D48" s="66"/>
      <c r="E48" s="66"/>
      <c r="F48" s="77"/>
      <c r="G48" s="77"/>
      <c r="H48" s="77"/>
      <c r="I48" s="77"/>
    </row>
    <row r="49" spans="1:9" ht="15">
      <c r="A49" s="35" t="str">
        <f>HLOOKUP(INDICE!$F$2,Nombres!$C$3:$D$636,32,FALSE)</f>
        <v>(Millones de euros)</v>
      </c>
      <c r="B49" s="30"/>
      <c r="C49" s="30"/>
      <c r="D49" s="30"/>
      <c r="E49" s="30"/>
      <c r="F49" s="78"/>
      <c r="G49" s="76"/>
      <c r="H49" s="76"/>
      <c r="I49" s="76"/>
    </row>
    <row r="50" spans="1:9" ht="15.75">
      <c r="A50" s="30"/>
      <c r="B50" s="53">
        <f aca="true" t="shared" si="7" ref="B50:G50">+B$30</f>
        <v>44651</v>
      </c>
      <c r="C50" s="53">
        <f t="shared" si="7"/>
        <v>44742</v>
      </c>
      <c r="D50" s="53">
        <f t="shared" si="7"/>
        <v>44834</v>
      </c>
      <c r="E50" s="67">
        <f t="shared" si="7"/>
        <v>44926</v>
      </c>
      <c r="F50" s="75">
        <f t="shared" si="7"/>
        <v>45016</v>
      </c>
      <c r="G50" s="75">
        <f t="shared" si="7"/>
        <v>45107</v>
      </c>
      <c r="H50" s="75">
        <f>+H$30</f>
        <v>45199</v>
      </c>
      <c r="I50" s="75">
        <f>+I$30</f>
        <v>45291</v>
      </c>
    </row>
    <row r="51" spans="1:9" ht="15">
      <c r="A51" s="43" t="str">
        <f>HLOOKUP(INDICE!$F$2,Nombres!$C$3:$D$636,66,FALSE)</f>
        <v>Préstamos y anticipos a la clientela bruto (*)</v>
      </c>
      <c r="B51" s="44">
        <v>62569.48100004</v>
      </c>
      <c r="C51" s="44">
        <v>69001.91599996999</v>
      </c>
      <c r="D51" s="44">
        <v>75774.17399997</v>
      </c>
      <c r="E51" s="45">
        <v>73726.93503051999</v>
      </c>
      <c r="F51" s="44">
        <v>79947.83199998</v>
      </c>
      <c r="G51" s="44">
        <v>86571.49100005001</v>
      </c>
      <c r="H51" s="44">
        <v>0</v>
      </c>
      <c r="I51" s="44">
        <v>0</v>
      </c>
    </row>
    <row r="52" spans="1:9" ht="15">
      <c r="A52" s="43" t="str">
        <f>HLOOKUP(INDICE!$F$2,Nombres!$C$3:$D$636,67,FALSE)</f>
        <v>Depósitos de clientes en gestión (**)</v>
      </c>
      <c r="B52" s="44">
        <v>69294.38799998001</v>
      </c>
      <c r="C52" s="44">
        <v>72205.40999998001</v>
      </c>
      <c r="D52" s="44">
        <v>75714.58600002</v>
      </c>
      <c r="E52" s="45">
        <v>77117.08499998001</v>
      </c>
      <c r="F52" s="44">
        <v>79665.34499999</v>
      </c>
      <c r="G52" s="44">
        <v>83269.56500001001</v>
      </c>
      <c r="H52" s="44">
        <v>0</v>
      </c>
      <c r="I52" s="44">
        <v>0</v>
      </c>
    </row>
    <row r="53" spans="1:9" ht="15">
      <c r="A53" s="43" t="str">
        <f>HLOOKUP(INDICE!$F$2,Nombres!$C$3:$D$636,68,FALSE)</f>
        <v>Fondos de inversión y carteras gestionadas</v>
      </c>
      <c r="B53" s="44">
        <v>31973.31093321</v>
      </c>
      <c r="C53" s="44">
        <v>33942.19299997</v>
      </c>
      <c r="D53" s="44">
        <v>37239.87531460999</v>
      </c>
      <c r="E53" s="45">
        <v>35613.51563138</v>
      </c>
      <c r="F53" s="44">
        <v>40990.70144334</v>
      </c>
      <c r="G53" s="44">
        <v>45764.5787135</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2461.04517101</v>
      </c>
      <c r="C55" s="44">
        <v>2965.88928613</v>
      </c>
      <c r="D55" s="44">
        <v>3011.4003447799996</v>
      </c>
      <c r="E55" s="45">
        <v>2582.00699414</v>
      </c>
      <c r="F55" s="44">
        <v>3417.5962243599997</v>
      </c>
      <c r="G55" s="44">
        <v>3895.29799947</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 aca="true" t="shared" si="8" ref="B63:I63">+B$7</f>
        <v>1er Trim.</v>
      </c>
      <c r="C63" s="39" t="str">
        <f t="shared" si="8"/>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2044.9844502747942</v>
      </c>
      <c r="C64" s="41">
        <v>2112.564835097779</v>
      </c>
      <c r="D64" s="41">
        <v>2339.106343124231</v>
      </c>
      <c r="E64" s="42">
        <v>2538.0273931068814</v>
      </c>
      <c r="F64" s="50">
        <v>2641.371361533191</v>
      </c>
      <c r="G64" s="50">
        <v>2622.2271691968094</v>
      </c>
      <c r="H64" s="50">
        <v>0</v>
      </c>
      <c r="I64" s="50">
        <v>0</v>
      </c>
    </row>
    <row r="65" spans="1:9" ht="15">
      <c r="A65" s="43" t="str">
        <f>HLOOKUP(INDICE!$F$2,Nombres!$C$3:$D$636,34,FALSE)</f>
        <v>Comisiones netas</v>
      </c>
      <c r="B65" s="44">
        <v>402.38967366922816</v>
      </c>
      <c r="C65" s="44">
        <v>437.7969719290362</v>
      </c>
      <c r="D65" s="44">
        <v>450.248619068518</v>
      </c>
      <c r="E65" s="45">
        <v>462.07102456141706</v>
      </c>
      <c r="F65" s="44">
        <v>492.3705377264618</v>
      </c>
      <c r="G65" s="44">
        <v>524.6286102135383</v>
      </c>
      <c r="H65" s="44">
        <v>0</v>
      </c>
      <c r="I65" s="44">
        <v>0</v>
      </c>
    </row>
    <row r="66" spans="1:9" ht="15">
      <c r="A66" s="43" t="str">
        <f>HLOOKUP(INDICE!$F$2,Nombres!$C$3:$D$636,35,FALSE)</f>
        <v>Resultados de operaciones financieras</v>
      </c>
      <c r="B66" s="44">
        <v>107.51225063825291</v>
      </c>
      <c r="C66" s="44">
        <v>149.00852312959051</v>
      </c>
      <c r="D66" s="44">
        <v>98.41904692437122</v>
      </c>
      <c r="E66" s="45">
        <v>118.83241318204105</v>
      </c>
      <c r="F66" s="44">
        <v>151.7326269595639</v>
      </c>
      <c r="G66" s="44">
        <v>162.99194061043613</v>
      </c>
      <c r="H66" s="44">
        <v>0</v>
      </c>
      <c r="I66" s="44">
        <v>0</v>
      </c>
    </row>
    <row r="67" spans="1:9" ht="15">
      <c r="A67" s="43" t="str">
        <f>HLOOKUP(INDICE!$F$2,Nombres!$C$3:$D$636,36,FALSE)</f>
        <v>Otros ingresos y cargas de explotación</v>
      </c>
      <c r="B67" s="44">
        <v>56.45858724166879</v>
      </c>
      <c r="C67" s="44">
        <v>117.44465566543487</v>
      </c>
      <c r="D67" s="44">
        <v>88.15338462516954</v>
      </c>
      <c r="E67" s="45">
        <v>51.6620128040223</v>
      </c>
      <c r="F67" s="44">
        <v>87.23637507550836</v>
      </c>
      <c r="G67" s="44">
        <v>91.04762492449134</v>
      </c>
      <c r="H67" s="44">
        <v>0</v>
      </c>
      <c r="I67" s="44">
        <v>0</v>
      </c>
    </row>
    <row r="68" spans="1:9" ht="15">
      <c r="A68" s="41" t="str">
        <f>HLOOKUP(INDICE!$F$2,Nombres!$C$3:$D$636,37,FALSE)</f>
        <v>Margen bruto</v>
      </c>
      <c r="B68" s="41">
        <f aca="true" t="shared" si="9" ref="B68:I68">+SUM(B64:B67)</f>
        <v>2611.3449618239442</v>
      </c>
      <c r="C68" s="41">
        <f t="shared" si="9"/>
        <v>2816.8149858218408</v>
      </c>
      <c r="D68" s="41">
        <f t="shared" si="9"/>
        <v>2975.92739374229</v>
      </c>
      <c r="E68" s="42">
        <f t="shared" si="9"/>
        <v>3170.592843654362</v>
      </c>
      <c r="F68" s="50">
        <f t="shared" si="9"/>
        <v>3372.710901294725</v>
      </c>
      <c r="G68" s="50">
        <f t="shared" si="9"/>
        <v>3400.8953449452747</v>
      </c>
      <c r="H68" s="50">
        <f t="shared" si="9"/>
        <v>0</v>
      </c>
      <c r="I68" s="50">
        <f t="shared" si="9"/>
        <v>0</v>
      </c>
    </row>
    <row r="69" spans="1:9" ht="15">
      <c r="A69" s="43" t="str">
        <f>HLOOKUP(INDICE!$F$2,Nombres!$C$3:$D$636,38,FALSE)</f>
        <v>Gastos de explotación</v>
      </c>
      <c r="B69" s="44">
        <v>-870.9296482025467</v>
      </c>
      <c r="C69" s="44">
        <v>-880.6184192853849</v>
      </c>
      <c r="D69" s="44">
        <v>-928.186962178532</v>
      </c>
      <c r="E69" s="45">
        <v>-983.7308584597313</v>
      </c>
      <c r="F69" s="44">
        <v>-1008.0141814382988</v>
      </c>
      <c r="G69" s="44">
        <v>-1048.8124229317013</v>
      </c>
      <c r="H69" s="44">
        <v>0</v>
      </c>
      <c r="I69" s="44">
        <v>0</v>
      </c>
    </row>
    <row r="70" spans="1:9" ht="15">
      <c r="A70" s="43" t="str">
        <f>HLOOKUP(INDICE!$F$2,Nombres!$C$3:$D$636,39,FALSE)</f>
        <v>  Gastos de administración</v>
      </c>
      <c r="B70" s="44">
        <v>-765.0374367947944</v>
      </c>
      <c r="C70" s="44">
        <v>-774.4999972000769</v>
      </c>
      <c r="D70" s="44">
        <v>-820.9888818285089</v>
      </c>
      <c r="E70" s="45">
        <v>-874.1344072908939</v>
      </c>
      <c r="F70" s="44">
        <v>-897.2336070405756</v>
      </c>
      <c r="G70" s="44">
        <v>-936.7228063194243</v>
      </c>
      <c r="H70" s="44">
        <v>0</v>
      </c>
      <c r="I70" s="44">
        <v>0</v>
      </c>
    </row>
    <row r="71" spans="1:9" ht="15">
      <c r="A71" s="46" t="str">
        <f>HLOOKUP(INDICE!$F$2,Nombres!$C$3:$D$636,40,FALSE)</f>
        <v>  Gastos de personal</v>
      </c>
      <c r="B71" s="44">
        <v>-388.0176999015629</v>
      </c>
      <c r="C71" s="44">
        <v>-394.9679622820466</v>
      </c>
      <c r="D71" s="44">
        <v>-433.0855527581208</v>
      </c>
      <c r="E71" s="45">
        <v>-471.8878674978874</v>
      </c>
      <c r="F71" s="44">
        <v>-464.56193980054763</v>
      </c>
      <c r="G71" s="44">
        <v>-488.13452181945235</v>
      </c>
      <c r="H71" s="44">
        <v>0</v>
      </c>
      <c r="I71" s="44">
        <v>0</v>
      </c>
    </row>
    <row r="72" spans="1:9" ht="15">
      <c r="A72" s="46" t="str">
        <f>HLOOKUP(INDICE!$F$2,Nombres!$C$3:$D$636,41,FALSE)</f>
        <v>  Otros gastos de administración</v>
      </c>
      <c r="B72" s="44">
        <v>-377.01973689323154</v>
      </c>
      <c r="C72" s="44">
        <v>-379.5320349180303</v>
      </c>
      <c r="D72" s="44">
        <v>-387.9033290703881</v>
      </c>
      <c r="E72" s="45">
        <v>-402.24653979300666</v>
      </c>
      <c r="F72" s="44">
        <v>-432.671667240028</v>
      </c>
      <c r="G72" s="44">
        <v>-448.58828449997196</v>
      </c>
      <c r="H72" s="44">
        <v>0</v>
      </c>
      <c r="I72" s="44">
        <v>0</v>
      </c>
    </row>
    <row r="73" spans="1:9" ht="15">
      <c r="A73" s="43" t="str">
        <f>HLOOKUP(INDICE!$F$2,Nombres!$C$3:$D$636,42,FALSE)</f>
        <v>  Amortización</v>
      </c>
      <c r="B73" s="44">
        <v>-105.8922114077524</v>
      </c>
      <c r="C73" s="44">
        <v>-106.11842208530804</v>
      </c>
      <c r="D73" s="44">
        <v>-107.19808035002326</v>
      </c>
      <c r="E73" s="45">
        <v>-109.59645116883735</v>
      </c>
      <c r="F73" s="44">
        <v>-110.78057439772319</v>
      </c>
      <c r="G73" s="44">
        <v>-112.08961661227683</v>
      </c>
      <c r="H73" s="44">
        <v>0</v>
      </c>
      <c r="I73" s="44">
        <v>0</v>
      </c>
    </row>
    <row r="74" spans="1:9" ht="15">
      <c r="A74" s="41" t="str">
        <f>HLOOKUP(INDICE!$F$2,Nombres!$C$3:$D$636,43,FALSE)</f>
        <v>Margen neto</v>
      </c>
      <c r="B74" s="41">
        <f aca="true" t="shared" si="10" ref="B74:I74">+B68+B69</f>
        <v>1740.4153136213977</v>
      </c>
      <c r="C74" s="41">
        <f t="shared" si="10"/>
        <v>1936.196566536456</v>
      </c>
      <c r="D74" s="41">
        <f t="shared" si="10"/>
        <v>2047.740431563758</v>
      </c>
      <c r="E74" s="42">
        <f t="shared" si="10"/>
        <v>2186.8619851946305</v>
      </c>
      <c r="F74" s="50">
        <f t="shared" si="10"/>
        <v>2364.696719856426</v>
      </c>
      <c r="G74" s="50">
        <f t="shared" si="10"/>
        <v>2352.0829220135734</v>
      </c>
      <c r="H74" s="50">
        <f t="shared" si="10"/>
        <v>0</v>
      </c>
      <c r="I74" s="50">
        <f t="shared" si="10"/>
        <v>0</v>
      </c>
    </row>
    <row r="75" spans="1:9" ht="15">
      <c r="A75" s="43" t="str">
        <f>HLOOKUP(INDICE!$F$2,Nombres!$C$3:$D$636,44,FALSE)</f>
        <v>Deterioro de activos financieros no valorados a valor razonable con cambios en resultados</v>
      </c>
      <c r="B75" s="44">
        <v>-489.9930455179298</v>
      </c>
      <c r="C75" s="44">
        <v>-418.27974142781335</v>
      </c>
      <c r="D75" s="44">
        <v>-492.2984460697958</v>
      </c>
      <c r="E75" s="45">
        <v>-424.9402017012176</v>
      </c>
      <c r="F75" s="44">
        <v>-560.4924093006168</v>
      </c>
      <c r="G75" s="44">
        <v>-575.8615906993832</v>
      </c>
      <c r="H75" s="44">
        <v>0</v>
      </c>
      <c r="I75" s="44">
        <v>0</v>
      </c>
    </row>
    <row r="76" spans="1:9" ht="15">
      <c r="A76" s="43" t="str">
        <f>HLOOKUP(INDICE!$F$2,Nombres!$C$3:$D$636,45,FALSE)</f>
        <v>Provisiones o reversión de provisiones y otros resultados</v>
      </c>
      <c r="B76" s="44">
        <v>-1.486029424617076</v>
      </c>
      <c r="C76" s="44">
        <v>-8.51355646177111</v>
      </c>
      <c r="D76" s="44">
        <v>-39.59820347021116</v>
      </c>
      <c r="E76" s="45">
        <v>23.86846927856562</v>
      </c>
      <c r="F76" s="44">
        <v>-0.794606542326667</v>
      </c>
      <c r="G76" s="44">
        <v>5.506606542326663</v>
      </c>
      <c r="H76" s="44">
        <v>0</v>
      </c>
      <c r="I76" s="44">
        <v>0</v>
      </c>
    </row>
    <row r="77" spans="1:9" ht="15">
      <c r="A77" s="41" t="str">
        <f>HLOOKUP(INDICE!$F$2,Nombres!$C$3:$D$636,46,FALSE)</f>
        <v>Resultado antes de impuestos</v>
      </c>
      <c r="B77" s="41">
        <f aca="true" t="shared" si="11" ref="B77:I77">+B74+B75+B76</f>
        <v>1248.936238678851</v>
      </c>
      <c r="C77" s="41">
        <f t="shared" si="11"/>
        <v>1509.4032686468715</v>
      </c>
      <c r="D77" s="41">
        <f t="shared" si="11"/>
        <v>1515.843782023751</v>
      </c>
      <c r="E77" s="42">
        <f t="shared" si="11"/>
        <v>1785.7902527719787</v>
      </c>
      <c r="F77" s="50">
        <f t="shared" si="11"/>
        <v>1803.4097040134827</v>
      </c>
      <c r="G77" s="50">
        <f t="shared" si="11"/>
        <v>1781.7279378565167</v>
      </c>
      <c r="H77" s="50">
        <f t="shared" si="11"/>
        <v>0</v>
      </c>
      <c r="I77" s="50">
        <f t="shared" si="11"/>
        <v>0</v>
      </c>
    </row>
    <row r="78" spans="1:9" ht="15">
      <c r="A78" s="43" t="str">
        <f>HLOOKUP(INDICE!$F$2,Nombres!$C$3:$D$636,47,FALSE)</f>
        <v>Impuesto sobre beneficios</v>
      </c>
      <c r="B78" s="44">
        <v>-340.1624809263942</v>
      </c>
      <c r="C78" s="44">
        <v>-408.55557615841803</v>
      </c>
      <c r="D78" s="44">
        <v>-324.18194762197464</v>
      </c>
      <c r="E78" s="45">
        <v>-531.3680221654652</v>
      </c>
      <c r="F78" s="44">
        <v>-492.7573721072972</v>
      </c>
      <c r="G78" s="44">
        <v>-477.47136697270275</v>
      </c>
      <c r="H78" s="44">
        <v>0</v>
      </c>
      <c r="I78" s="44">
        <v>0</v>
      </c>
    </row>
    <row r="79" spans="1:9" ht="15">
      <c r="A79" s="41" t="str">
        <f>HLOOKUP(INDICE!$F$2,Nombres!$C$3:$D$636,48,FALSE)</f>
        <v>Resultado del ejercicio</v>
      </c>
      <c r="B79" s="41">
        <f aca="true" t="shared" si="12" ref="B79:I79">+B77+B78</f>
        <v>908.7737577524567</v>
      </c>
      <c r="C79" s="41">
        <f t="shared" si="12"/>
        <v>1100.8476924884535</v>
      </c>
      <c r="D79" s="41">
        <f t="shared" si="12"/>
        <v>1191.6618344017763</v>
      </c>
      <c r="E79" s="42">
        <f t="shared" si="12"/>
        <v>1254.4222306065135</v>
      </c>
      <c r="F79" s="50">
        <f t="shared" si="12"/>
        <v>1310.6523319061855</v>
      </c>
      <c r="G79" s="50">
        <f t="shared" si="12"/>
        <v>1304.256570883814</v>
      </c>
      <c r="H79" s="50">
        <f t="shared" si="12"/>
        <v>0</v>
      </c>
      <c r="I79" s="50">
        <f t="shared" si="12"/>
        <v>0</v>
      </c>
    </row>
    <row r="80" spans="1:9" ht="15">
      <c r="A80" s="43" t="str">
        <f>HLOOKUP(INDICE!$F$2,Nombres!$C$3:$D$636,49,FALSE)</f>
        <v>Minoritarios</v>
      </c>
      <c r="B80" s="44">
        <v>-0.16147406346232818</v>
      </c>
      <c r="C80" s="44">
        <v>-0.19605681101721992</v>
      </c>
      <c r="D80" s="44">
        <v>-0.2205779656975658</v>
      </c>
      <c r="E80" s="45">
        <v>-0.22849348247037962</v>
      </c>
      <c r="F80" s="44">
        <v>-0.23868797598372182</v>
      </c>
      <c r="G80" s="44">
        <v>-0.23831202401627824</v>
      </c>
      <c r="H80" s="44">
        <v>0</v>
      </c>
      <c r="I80" s="44">
        <v>0</v>
      </c>
    </row>
    <row r="81" spans="1:9" ht="15">
      <c r="A81" s="47" t="str">
        <f>HLOOKUP(INDICE!$F$2,Nombres!$C$3:$D$636,50,FALSE)</f>
        <v>Resultado atribuido</v>
      </c>
      <c r="B81" s="47">
        <f aca="true" t="shared" si="13" ref="B81:I81">+B79+B80</f>
        <v>908.6122836889944</v>
      </c>
      <c r="C81" s="47">
        <f t="shared" si="13"/>
        <v>1100.6516356774364</v>
      </c>
      <c r="D81" s="47">
        <f t="shared" si="13"/>
        <v>1191.4412564360787</v>
      </c>
      <c r="E81" s="47">
        <f t="shared" si="13"/>
        <v>1254.193737124043</v>
      </c>
      <c r="F81" s="51">
        <f t="shared" si="13"/>
        <v>1310.4136439302017</v>
      </c>
      <c r="G81" s="51">
        <f t="shared" si="13"/>
        <v>1304.0182588597977</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43" t="str">
        <f>HLOOKUP(INDICE!$F$2,Nombres!$C$3:$D$636,52,FALSE)</f>
        <v>Efectivo, saldos en efectivo en bancos centrales y otros depósitos a la vista</v>
      </c>
      <c r="B87" s="44">
        <v>17764.569537373423</v>
      </c>
      <c r="C87" s="44">
        <v>18736.188595895615</v>
      </c>
      <c r="D87" s="44">
        <v>17543.258056067418</v>
      </c>
      <c r="E87" s="45">
        <v>14863.39502659718</v>
      </c>
      <c r="F87" s="44">
        <v>13464.791225097346</v>
      </c>
      <c r="G87" s="44">
        <v>11529.04600002</v>
      </c>
      <c r="H87" s="44">
        <v>0</v>
      </c>
      <c r="I87" s="44">
        <v>0</v>
      </c>
    </row>
    <row r="88" spans="1:9" ht="15">
      <c r="A88" s="43" t="str">
        <f>HLOOKUP(INDICE!$F$2,Nombres!$C$3:$D$636,53,FALSE)</f>
        <v>Activos financieros a valor razonable</v>
      </c>
      <c r="B88" s="58">
        <v>51508.50308360187</v>
      </c>
      <c r="C88" s="58">
        <v>52144.35129215193</v>
      </c>
      <c r="D88" s="58">
        <v>53730.10887143457</v>
      </c>
      <c r="E88" s="64">
        <v>52332.59557631451</v>
      </c>
      <c r="F88" s="44">
        <v>51174.79244373305</v>
      </c>
      <c r="G88" s="44">
        <v>53880.822999979995</v>
      </c>
      <c r="H88" s="44">
        <v>0</v>
      </c>
      <c r="I88" s="44">
        <v>0</v>
      </c>
    </row>
    <row r="89" spans="1:9" ht="15">
      <c r="A89" s="43" t="str">
        <f>HLOOKUP(INDICE!$F$2,Nombres!$C$3:$D$636,54,FALSE)</f>
        <v>Activos financieros a coste amortizado</v>
      </c>
      <c r="B89" s="44">
        <v>76903.74351356213</v>
      </c>
      <c r="C89" s="44">
        <v>80966.03911946605</v>
      </c>
      <c r="D89" s="44">
        <v>82873.06351431226</v>
      </c>
      <c r="E89" s="45">
        <v>86733.92793236606</v>
      </c>
      <c r="F89" s="44">
        <v>89530.78996242232</v>
      </c>
      <c r="G89" s="44">
        <v>92236.66200007</v>
      </c>
      <c r="H89" s="44">
        <v>0</v>
      </c>
      <c r="I89" s="44">
        <v>0</v>
      </c>
    </row>
    <row r="90" spans="1:9" ht="15">
      <c r="A90" s="43" t="str">
        <f>HLOOKUP(INDICE!$F$2,Nombres!$C$3:$D$636,55,FALSE)</f>
        <v>    de los que préstamos y anticipos a la clientela</v>
      </c>
      <c r="B90" s="44">
        <v>71802.17120965681</v>
      </c>
      <c r="C90" s="44">
        <v>75196.59713549675</v>
      </c>
      <c r="D90" s="44">
        <v>77332.84760491722</v>
      </c>
      <c r="E90" s="45">
        <v>80036.58939978306</v>
      </c>
      <c r="F90" s="44">
        <v>81764.08173660089</v>
      </c>
      <c r="G90" s="44">
        <v>83692.75600007</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2107.2878007797244</v>
      </c>
      <c r="C92" s="44">
        <v>2093.8382513398337</v>
      </c>
      <c r="D92" s="44">
        <v>2109.0805668412218</v>
      </c>
      <c r="E92" s="45">
        <v>2212.8884105489888</v>
      </c>
      <c r="F92" s="44">
        <v>2219.430421056102</v>
      </c>
      <c r="G92" s="44">
        <v>2253.24299999</v>
      </c>
      <c r="H92" s="44">
        <v>0</v>
      </c>
      <c r="I92" s="44">
        <v>0</v>
      </c>
    </row>
    <row r="93" spans="1:9" ht="15">
      <c r="A93" s="43" t="str">
        <f>HLOOKUP(INDICE!$F$2,Nombres!$C$3:$D$636,57,FALSE)</f>
        <v>Otros activos</v>
      </c>
      <c r="B93" s="58">
        <f aca="true" t="shared" si="15" ref="B93:I93">+B94-B92-B89-B88-B87</f>
        <v>3653.7950083712312</v>
      </c>
      <c r="C93" s="58">
        <f t="shared" si="15"/>
        <v>4024.4386775493585</v>
      </c>
      <c r="D93" s="58">
        <f t="shared" si="15"/>
        <v>3971.295155948428</v>
      </c>
      <c r="E93" s="64">
        <f t="shared" si="15"/>
        <v>4037.164874387432</v>
      </c>
      <c r="F93" s="44">
        <f t="shared" si="15"/>
        <v>4388.697767594524</v>
      </c>
      <c r="G93" s="44">
        <f t="shared" si="15"/>
        <v>4857.83597194</v>
      </c>
      <c r="H93" s="44">
        <f t="shared" si="15"/>
        <v>0</v>
      </c>
      <c r="I93" s="44">
        <f t="shared" si="15"/>
        <v>0</v>
      </c>
    </row>
    <row r="94" spans="1:9" ht="15">
      <c r="A94" s="47" t="str">
        <f>HLOOKUP(INDICE!$F$2,Nombres!$C$3:$D$636,58,FALSE)</f>
        <v>Total activo / pasivo</v>
      </c>
      <c r="B94" s="47">
        <v>151937.89894368837</v>
      </c>
      <c r="C94" s="47">
        <v>157964.85593640278</v>
      </c>
      <c r="D94" s="47">
        <v>160226.8061646039</v>
      </c>
      <c r="E94" s="47">
        <v>160179.97182021418</v>
      </c>
      <c r="F94" s="51">
        <v>160778.50181990335</v>
      </c>
      <c r="G94" s="51">
        <v>164757.609972</v>
      </c>
      <c r="H94" s="51">
        <v>0</v>
      </c>
      <c r="I94" s="51">
        <v>0</v>
      </c>
    </row>
    <row r="95" spans="1:9" ht="15">
      <c r="A95" s="43" t="str">
        <f>HLOOKUP(INDICE!$F$2,Nombres!$C$3:$D$636,59,FALSE)</f>
        <v>Pasivos financieros mantenidos para negociar y designados a valor razonable con cambios en resultados</v>
      </c>
      <c r="B95" s="58">
        <v>27103.163112717426</v>
      </c>
      <c r="C95" s="58">
        <v>30264.895125389958</v>
      </c>
      <c r="D95" s="58">
        <v>32589.46694771273</v>
      </c>
      <c r="E95" s="64">
        <v>29034.101723200612</v>
      </c>
      <c r="F95" s="44">
        <v>29663.22695881926</v>
      </c>
      <c r="G95" s="44">
        <v>28812.860999999997</v>
      </c>
      <c r="H95" s="44">
        <v>0</v>
      </c>
      <c r="I95" s="44">
        <v>0</v>
      </c>
    </row>
    <row r="96" spans="1:9" ht="15">
      <c r="A96" s="43" t="str">
        <f>HLOOKUP(INDICE!$F$2,Nombres!$C$3:$D$636,60,FALSE)</f>
        <v>Depósitos de bancos centrales y entidades de crédito</v>
      </c>
      <c r="B96" s="58">
        <v>3329.3188552354613</v>
      </c>
      <c r="C96" s="58">
        <v>5806.04507169934</v>
      </c>
      <c r="D96" s="58">
        <v>7744.039428810279</v>
      </c>
      <c r="E96" s="64">
        <v>4946.295901348123</v>
      </c>
      <c r="F96" s="44">
        <v>7260.341819278994</v>
      </c>
      <c r="G96" s="44">
        <v>9835.589</v>
      </c>
      <c r="H96" s="44">
        <v>0</v>
      </c>
      <c r="I96" s="44">
        <v>0</v>
      </c>
    </row>
    <row r="97" spans="1:9" ht="15">
      <c r="A97" s="43" t="str">
        <f>HLOOKUP(INDICE!$F$2,Nombres!$C$3:$D$636,61,FALSE)</f>
        <v>Depósitos de la clientela</v>
      </c>
      <c r="B97" s="58">
        <v>82757.21719737205</v>
      </c>
      <c r="C97" s="58">
        <v>82101.45316705928</v>
      </c>
      <c r="D97" s="58">
        <v>81072.66914246784</v>
      </c>
      <c r="E97" s="64">
        <v>87361.79559032113</v>
      </c>
      <c r="F97" s="44">
        <v>84827.20717024102</v>
      </c>
      <c r="G97" s="44">
        <v>84865.102</v>
      </c>
      <c r="H97" s="44">
        <v>0</v>
      </c>
      <c r="I97" s="44">
        <v>0</v>
      </c>
    </row>
    <row r="98" spans="1:9" ht="15">
      <c r="A98" s="43" t="str">
        <f>HLOOKUP(INDICE!$F$2,Nombres!$C$3:$D$636,62,FALSE)</f>
        <v>Valores representativos de deuda emitidos</v>
      </c>
      <c r="B98" s="44">
        <v>9860.861199150158</v>
      </c>
      <c r="C98" s="44">
        <v>10564.24100653642</v>
      </c>
      <c r="D98" s="44">
        <v>9004.891864498582</v>
      </c>
      <c r="E98" s="45">
        <v>8716.537689086781</v>
      </c>
      <c r="F98" s="44">
        <v>8800.238352322114</v>
      </c>
      <c r="G98" s="44">
        <v>9777.85682847</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 aca="true" t="shared" si="16" ref="B100:I100">+B94-B95-B96-B97-B98-B101</f>
        <v>19555.629763209887</v>
      </c>
      <c r="C100" s="58">
        <f t="shared" si="16"/>
        <v>19120.64686636135</v>
      </c>
      <c r="D100" s="58">
        <f t="shared" si="16"/>
        <v>19619.54353176836</v>
      </c>
      <c r="E100" s="64">
        <f t="shared" si="16"/>
        <v>19075.151148511388</v>
      </c>
      <c r="F100" s="44">
        <f t="shared" si="16"/>
        <v>20340.705953308207</v>
      </c>
      <c r="G100" s="44">
        <f t="shared" si="16"/>
        <v>21383.659418129995</v>
      </c>
      <c r="H100" s="44">
        <f t="shared" si="16"/>
        <v>0</v>
      </c>
      <c r="I100" s="44">
        <f t="shared" si="16"/>
        <v>0</v>
      </c>
    </row>
    <row r="101" spans="1:9" ht="15">
      <c r="A101" s="43" t="str">
        <f>HLOOKUP(INDICE!$F$2,Nombres!$C$3:$D$636,282,FALSE)</f>
        <v>Dotación de capital regulatorio</v>
      </c>
      <c r="B101" s="44">
        <v>9331.708816003398</v>
      </c>
      <c r="C101" s="44">
        <v>10107.574699356426</v>
      </c>
      <c r="D101" s="44">
        <v>10196.195249346114</v>
      </c>
      <c r="E101" s="64">
        <v>11046.089767746158</v>
      </c>
      <c r="F101" s="44">
        <v>9886.78156593376</v>
      </c>
      <c r="G101" s="44">
        <v>10082.541725399999</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Indicadores relevantes y de gestión</v>
      </c>
      <c r="B104" s="66"/>
      <c r="C104" s="66"/>
      <c r="D104" s="66"/>
      <c r="E104" s="66"/>
      <c r="F104" s="71"/>
      <c r="G104" s="71"/>
      <c r="H104" s="71"/>
      <c r="I104" s="71"/>
    </row>
    <row r="105" spans="1:9" ht="15">
      <c r="A105" s="35" t="str">
        <f>HLOOKUP(INDICE!$F$2,Nombres!$C$3:$D$636,73,FALSE)</f>
        <v>(Millones de euros constantes)</v>
      </c>
      <c r="B105" s="30"/>
      <c r="C105" s="30"/>
      <c r="D105" s="30"/>
      <c r="E105" s="30"/>
      <c r="F105" s="69"/>
      <c r="G105" s="69"/>
      <c r="H105" s="69"/>
      <c r="I105" s="69"/>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43" t="str">
        <f>HLOOKUP(INDICE!$F$2,Nombres!$C$3:$D$636,66,FALSE)</f>
        <v>Préstamos y anticipos a la clientela bruto (*)</v>
      </c>
      <c r="B107" s="44">
        <v>74465.2130840595</v>
      </c>
      <c r="C107" s="44">
        <v>77933.9417942293</v>
      </c>
      <c r="D107" s="44">
        <v>80174.54154557017</v>
      </c>
      <c r="E107" s="45">
        <v>82841.21655629482</v>
      </c>
      <c r="F107" s="44">
        <v>84590.14202665296</v>
      </c>
      <c r="G107" s="44">
        <v>86571.49100005001</v>
      </c>
      <c r="H107" s="44">
        <v>0</v>
      </c>
      <c r="I107" s="44">
        <v>0</v>
      </c>
    </row>
    <row r="108" spans="1:9" ht="15">
      <c r="A108" s="43" t="str">
        <f>HLOOKUP(INDICE!$F$2,Nombres!$C$3:$D$636,67,FALSE)</f>
        <v>Depósitos de clientes en gestión (**)</v>
      </c>
      <c r="B108" s="44">
        <v>82468.66180566061</v>
      </c>
      <c r="C108" s="44">
        <v>81552.11545385708</v>
      </c>
      <c r="D108" s="44">
        <v>80111.49314364881</v>
      </c>
      <c r="E108" s="45">
        <v>86650.46412181608</v>
      </c>
      <c r="F108" s="44">
        <v>84291.25192729615</v>
      </c>
      <c r="G108" s="44">
        <v>83269.56500001001</v>
      </c>
      <c r="H108" s="44">
        <v>0</v>
      </c>
      <c r="I108" s="44">
        <v>0</v>
      </c>
    </row>
    <row r="109" spans="1:9" ht="15">
      <c r="A109" s="43" t="str">
        <f>HLOOKUP(INDICE!$F$2,Nombres!$C$3:$D$636,68,FALSE)</f>
        <v>Fondos de inversión y carteras gestionadas</v>
      </c>
      <c r="B109" s="44">
        <v>38052.08823200643</v>
      </c>
      <c r="C109" s="44">
        <v>38335.87597233255</v>
      </c>
      <c r="D109" s="44">
        <v>39402.47412745448</v>
      </c>
      <c r="E109" s="45">
        <v>40016.13466677882</v>
      </c>
      <c r="F109" s="44">
        <v>43370.89787331728</v>
      </c>
      <c r="G109" s="44">
        <v>45764.5787135</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2928.9399582623696</v>
      </c>
      <c r="C111" s="44">
        <v>3349.8119529533665</v>
      </c>
      <c r="D111" s="44">
        <v>3186.2787716168837</v>
      </c>
      <c r="E111" s="45">
        <v>2901.200225709572</v>
      </c>
      <c r="F111" s="44">
        <v>3616.0448979834455</v>
      </c>
      <c r="G111" s="44">
        <v>3895.29799947</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HLOOKUP(INDICE!$F$2,Nombres!$C$3:$D$636,74,FALSE)</f>
        <v>(Millones de pesos mexicanos)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 aca="true" t="shared" si="18" ref="B119:I119">+B$7</f>
        <v>1er Trim.</v>
      </c>
      <c r="C119" s="39" t="str">
        <f t="shared" si="18"/>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40182.844246325636</v>
      </c>
      <c r="C120" s="41">
        <v>41510.76244985224</v>
      </c>
      <c r="D120" s="41">
        <v>45962.181203247375</v>
      </c>
      <c r="E120" s="42">
        <v>49870.8728158874</v>
      </c>
      <c r="F120" s="50">
        <v>51901.52619641244</v>
      </c>
      <c r="G120" s="50">
        <v>51525.35311657746</v>
      </c>
      <c r="H120" s="50">
        <v>0</v>
      </c>
      <c r="I120" s="50">
        <v>0</v>
      </c>
    </row>
    <row r="121" spans="1:9" ht="15">
      <c r="A121" s="43" t="str">
        <f>HLOOKUP(INDICE!$F$2,Nombres!$C$3:$D$636,34,FALSE)</f>
        <v>Comisiones netas</v>
      </c>
      <c r="B121" s="44">
        <v>7906.740601967742</v>
      </c>
      <c r="C121" s="44">
        <v>8602.474963647543</v>
      </c>
      <c r="D121" s="44">
        <v>8847.14313095257</v>
      </c>
      <c r="E121" s="45">
        <v>9079.447038434224</v>
      </c>
      <c r="F121" s="44">
        <v>9674.816170990167</v>
      </c>
      <c r="G121" s="44">
        <v>10308.66994051917</v>
      </c>
      <c r="H121" s="44">
        <v>0</v>
      </c>
      <c r="I121" s="44">
        <v>0</v>
      </c>
    </row>
    <row r="122" spans="1:9" ht="15">
      <c r="A122" s="43" t="str">
        <f>HLOOKUP(INDICE!$F$2,Nombres!$C$3:$D$636,35,FALSE)</f>
        <v>Resultados de operaciones financieras</v>
      </c>
      <c r="B122" s="44">
        <v>2112.55788345399</v>
      </c>
      <c r="C122" s="44">
        <v>2927.937312915394</v>
      </c>
      <c r="D122" s="44">
        <v>1933.8813226195452</v>
      </c>
      <c r="E122" s="45">
        <v>2334.992987192312</v>
      </c>
      <c r="F122" s="44">
        <v>2981.4644876065913</v>
      </c>
      <c r="G122" s="44">
        <v>3202.7039433358173</v>
      </c>
      <c r="H122" s="44">
        <v>0</v>
      </c>
      <c r="I122" s="44">
        <v>0</v>
      </c>
    </row>
    <row r="123" spans="1:9" ht="15">
      <c r="A123" s="43" t="str">
        <f>HLOOKUP(INDICE!$F$2,Nombres!$C$3:$D$636,36,FALSE)</f>
        <v>Otros ingresos y cargas de explotación</v>
      </c>
      <c r="B123" s="44">
        <v>1109.3808645805143</v>
      </c>
      <c r="C123" s="44">
        <v>2307.7242986045017</v>
      </c>
      <c r="D123" s="44">
        <v>1732.1665813662603</v>
      </c>
      <c r="E123" s="45">
        <v>1015.1307574376591</v>
      </c>
      <c r="F123" s="44">
        <v>1714.1478370665136</v>
      </c>
      <c r="G123" s="44">
        <v>1789.0368461467324</v>
      </c>
      <c r="H123" s="44">
        <v>0</v>
      </c>
      <c r="I123" s="44">
        <v>0</v>
      </c>
    </row>
    <row r="124" spans="1:9" ht="15">
      <c r="A124" s="41" t="str">
        <f>HLOOKUP(INDICE!$F$2,Nombres!$C$3:$D$636,37,FALSE)</f>
        <v>Margen bruto</v>
      </c>
      <c r="B124" s="41">
        <f aca="true" t="shared" si="19" ref="B124:I124">+SUM(B120:B123)</f>
        <v>51311.52359632788</v>
      </c>
      <c r="C124" s="41">
        <f t="shared" si="19"/>
        <v>55348.89902501968</v>
      </c>
      <c r="D124" s="41">
        <f t="shared" si="19"/>
        <v>58475.37223818576</v>
      </c>
      <c r="E124" s="42">
        <f t="shared" si="19"/>
        <v>62300.4435989516</v>
      </c>
      <c r="F124" s="50">
        <f t="shared" si="19"/>
        <v>66271.95469207571</v>
      </c>
      <c r="G124" s="50">
        <f t="shared" si="19"/>
        <v>66825.76384657918</v>
      </c>
      <c r="H124" s="50">
        <f t="shared" si="19"/>
        <v>0</v>
      </c>
      <c r="I124" s="50">
        <f t="shared" si="19"/>
        <v>0</v>
      </c>
    </row>
    <row r="125" spans="1:9" ht="15">
      <c r="A125" s="43" t="str">
        <f>HLOOKUP(INDICE!$F$2,Nombres!$C$3:$D$636,38,FALSE)</f>
        <v>Gastos de explotación</v>
      </c>
      <c r="B125" s="44">
        <v>-17113.29902705494</v>
      </c>
      <c r="C125" s="44">
        <v>-17303.67816627415</v>
      </c>
      <c r="D125" s="44">
        <v>-18238.37444224982</v>
      </c>
      <c r="E125" s="45">
        <v>-19329.782121560813</v>
      </c>
      <c r="F125" s="44">
        <v>-19806.93635366262</v>
      </c>
      <c r="G125" s="44">
        <v>-20608.59984955525</v>
      </c>
      <c r="H125" s="44">
        <v>0</v>
      </c>
      <c r="I125" s="44">
        <v>0</v>
      </c>
    </row>
    <row r="126" spans="1:9" ht="15">
      <c r="A126" s="43" t="str">
        <f>HLOOKUP(INDICE!$F$2,Nombres!$C$3:$D$636,39,FALSE)</f>
        <v>  Gastos de administración</v>
      </c>
      <c r="B126" s="44">
        <v>-15032.574042899227</v>
      </c>
      <c r="C126" s="44">
        <v>-15218.508264005804</v>
      </c>
      <c r="D126" s="44">
        <v>-16131.989835935936</v>
      </c>
      <c r="E126" s="45">
        <v>-17176.270818980665</v>
      </c>
      <c r="F126" s="44">
        <v>-17630.15766669313</v>
      </c>
      <c r="G126" s="44">
        <v>-18406.09918733445</v>
      </c>
      <c r="H126" s="44">
        <v>0</v>
      </c>
      <c r="I126" s="44">
        <v>0</v>
      </c>
    </row>
    <row r="127" spans="1:9" ht="15">
      <c r="A127" s="46" t="str">
        <f>HLOOKUP(INDICE!$F$2,Nombres!$C$3:$D$636,40,FALSE)</f>
        <v>  Gastos de personal</v>
      </c>
      <c r="B127" s="44">
        <v>-7624.339049554582</v>
      </c>
      <c r="C127" s="44">
        <v>-7760.907966090128</v>
      </c>
      <c r="D127" s="44">
        <v>-8509.898111682436</v>
      </c>
      <c r="E127" s="45">
        <v>-9272.342720674656</v>
      </c>
      <c r="F127" s="44">
        <v>-9128.39218277082</v>
      </c>
      <c r="G127" s="44">
        <v>-9591.580737393862</v>
      </c>
      <c r="H127" s="44">
        <v>0</v>
      </c>
      <c r="I127" s="44">
        <v>0</v>
      </c>
    </row>
    <row r="128" spans="1:9" ht="15">
      <c r="A128" s="46" t="str">
        <f>HLOOKUP(INDICE!$F$2,Nombres!$C$3:$D$636,41,FALSE)</f>
        <v>  Otros gastos de administración</v>
      </c>
      <c r="B128" s="44">
        <v>-7408.234993344645</v>
      </c>
      <c r="C128" s="44">
        <v>-7457.600297915678</v>
      </c>
      <c r="D128" s="44">
        <v>-7622.0917242535015</v>
      </c>
      <c r="E128" s="45">
        <v>-7903.928098306006</v>
      </c>
      <c r="F128" s="44">
        <v>-8501.765483922307</v>
      </c>
      <c r="G128" s="44">
        <v>-8814.518449940588</v>
      </c>
      <c r="H128" s="44">
        <v>0</v>
      </c>
      <c r="I128" s="44">
        <v>0</v>
      </c>
    </row>
    <row r="129" spans="1:9" ht="15">
      <c r="A129" s="43" t="str">
        <f>HLOOKUP(INDICE!$F$2,Nombres!$C$3:$D$636,42,FALSE)</f>
        <v>  Amortización</v>
      </c>
      <c r="B129" s="44">
        <v>-2080.724984155713</v>
      </c>
      <c r="C129" s="44">
        <v>-2085.1699022683433</v>
      </c>
      <c r="D129" s="44">
        <v>-2106.3846063138835</v>
      </c>
      <c r="E129" s="45">
        <v>-2153.5113025801493</v>
      </c>
      <c r="F129" s="44">
        <v>-2176.7786869694946</v>
      </c>
      <c r="G129" s="44">
        <v>-2202.5006622208</v>
      </c>
      <c r="H129" s="44">
        <v>0</v>
      </c>
      <c r="I129" s="44">
        <v>0</v>
      </c>
    </row>
    <row r="130" spans="1:9" ht="15">
      <c r="A130" s="41" t="str">
        <f>HLOOKUP(INDICE!$F$2,Nombres!$C$3:$D$636,43,FALSE)</f>
        <v>Margen neto</v>
      </c>
      <c r="B130" s="41">
        <f aca="true" t="shared" si="20" ref="B130:I130">+B124+B125</f>
        <v>34198.22456927294</v>
      </c>
      <c r="C130" s="41">
        <f t="shared" si="20"/>
        <v>38045.22085874553</v>
      </c>
      <c r="D130" s="41">
        <f t="shared" si="20"/>
        <v>40236.99779593594</v>
      </c>
      <c r="E130" s="42">
        <f t="shared" si="20"/>
        <v>42970.661477390786</v>
      </c>
      <c r="F130" s="50">
        <f t="shared" si="20"/>
        <v>46465.018338413094</v>
      </c>
      <c r="G130" s="50">
        <f t="shared" si="20"/>
        <v>46217.163997023934</v>
      </c>
      <c r="H130" s="50">
        <f t="shared" si="20"/>
        <v>0</v>
      </c>
      <c r="I130" s="50">
        <f t="shared" si="20"/>
        <v>0</v>
      </c>
    </row>
    <row r="131" spans="1:9" ht="15">
      <c r="A131" s="43" t="str">
        <f>HLOOKUP(INDICE!$F$2,Nombres!$C$3:$D$636,44,FALSE)</f>
        <v>Deterioro de activos financieros no valorados a valor razonable con cambios en resultados</v>
      </c>
      <c r="B131" s="44">
        <v>-9628.09972818325</v>
      </c>
      <c r="C131" s="44">
        <v>-8218.97188456796</v>
      </c>
      <c r="D131" s="44">
        <v>-9673.399608721995</v>
      </c>
      <c r="E131" s="45">
        <v>-8349.84634561291</v>
      </c>
      <c r="F131" s="44">
        <v>-11013.374297857412</v>
      </c>
      <c r="G131" s="44">
        <v>-11315.370443724029</v>
      </c>
      <c r="H131" s="44">
        <v>0</v>
      </c>
      <c r="I131" s="44">
        <v>0</v>
      </c>
    </row>
    <row r="132" spans="1:9" ht="15">
      <c r="A132" s="43" t="str">
        <f>HLOOKUP(INDICE!$F$2,Nombres!$C$3:$D$636,45,FALSE)</f>
        <v>Provisiones o reversión de provisiones y otros resultados</v>
      </c>
      <c r="B132" s="44">
        <v>-29.199678709938837</v>
      </c>
      <c r="C132" s="44">
        <v>-167.28680418067643</v>
      </c>
      <c r="D132" s="44">
        <v>-778.0833943573475</v>
      </c>
      <c r="E132" s="45">
        <v>469.0025800880455</v>
      </c>
      <c r="F132" s="44">
        <v>-15.613591058422543</v>
      </c>
      <c r="G132" s="44">
        <v>108.20185600256119</v>
      </c>
      <c r="H132" s="44">
        <v>0</v>
      </c>
      <c r="I132" s="44">
        <v>0</v>
      </c>
    </row>
    <row r="133" spans="1:9" ht="15">
      <c r="A133" s="41" t="str">
        <f>HLOOKUP(INDICE!$F$2,Nombres!$C$3:$D$636,46,FALSE)</f>
        <v>Resultado antes de impuestos</v>
      </c>
      <c r="B133" s="41">
        <f aca="true" t="shared" si="21" ref="B133:I133">+B130+B131+B132</f>
        <v>24540.925162379754</v>
      </c>
      <c r="C133" s="41">
        <f t="shared" si="21"/>
        <v>29658.962169996896</v>
      </c>
      <c r="D133" s="41">
        <f t="shared" si="21"/>
        <v>29785.514792856597</v>
      </c>
      <c r="E133" s="42">
        <f t="shared" si="21"/>
        <v>35089.81771186592</v>
      </c>
      <c r="F133" s="50">
        <f t="shared" si="21"/>
        <v>35436.03044949726</v>
      </c>
      <c r="G133" s="50">
        <f t="shared" si="21"/>
        <v>35009.995409302464</v>
      </c>
      <c r="H133" s="50">
        <f t="shared" si="21"/>
        <v>0</v>
      </c>
      <c r="I133" s="50">
        <f t="shared" si="21"/>
        <v>0</v>
      </c>
    </row>
    <row r="134" spans="1:9" ht="15">
      <c r="A134" s="43" t="str">
        <f>HLOOKUP(INDICE!$F$2,Nombres!$C$3:$D$636,47,FALSE)</f>
        <v>Impuesto sobre beneficios</v>
      </c>
      <c r="B134" s="44">
        <v>-6684.0097427989185</v>
      </c>
      <c r="C134" s="44">
        <v>-8027.8972686249635</v>
      </c>
      <c r="D134" s="44">
        <v>-6370.00086089352</v>
      </c>
      <c r="E134" s="45">
        <v>-10441.0957595711</v>
      </c>
      <c r="F134" s="44">
        <v>-9682.417258456699</v>
      </c>
      <c r="G134" s="44">
        <v>-9382.05548143223</v>
      </c>
      <c r="H134" s="44">
        <v>0</v>
      </c>
      <c r="I134" s="44">
        <v>0</v>
      </c>
    </row>
    <row r="135" spans="1:9" ht="15">
      <c r="A135" s="41" t="str">
        <f>HLOOKUP(INDICE!$F$2,Nombres!$C$3:$D$636,48,FALSE)</f>
        <v>Resultado del ejercicio</v>
      </c>
      <c r="B135" s="41">
        <f aca="true" t="shared" si="22" ref="B135:I135">+B133+B134</f>
        <v>17856.915419580837</v>
      </c>
      <c r="C135" s="41">
        <f t="shared" si="22"/>
        <v>21631.06490137193</v>
      </c>
      <c r="D135" s="41">
        <f t="shared" si="22"/>
        <v>23415.513931963076</v>
      </c>
      <c r="E135" s="42">
        <f t="shared" si="22"/>
        <v>24648.72195229482</v>
      </c>
      <c r="F135" s="50">
        <f t="shared" si="22"/>
        <v>25753.61319104056</v>
      </c>
      <c r="G135" s="50">
        <f t="shared" si="22"/>
        <v>25627.939927870233</v>
      </c>
      <c r="H135" s="50">
        <f t="shared" si="22"/>
        <v>0</v>
      </c>
      <c r="I135" s="50">
        <f t="shared" si="22"/>
        <v>0</v>
      </c>
    </row>
    <row r="136" spans="1:9" ht="15">
      <c r="A136" s="43" t="str">
        <f>HLOOKUP(INDICE!$F$2,Nombres!$C$3:$D$636,49,FALSE)</f>
        <v>Minoritarios</v>
      </c>
      <c r="B136" s="44">
        <v>-3.172878473993358</v>
      </c>
      <c r="C136" s="44">
        <v>-3.852410857929813</v>
      </c>
      <c r="D136" s="44">
        <v>-4.334238355018114</v>
      </c>
      <c r="E136" s="45">
        <v>-4.489774001056112</v>
      </c>
      <c r="F136" s="44">
        <v>-4.690090313956079</v>
      </c>
      <c r="G136" s="44">
        <v>-4.682703060057958</v>
      </c>
      <c r="H136" s="44">
        <v>0</v>
      </c>
      <c r="I136" s="44">
        <v>0</v>
      </c>
    </row>
    <row r="137" spans="1:9" ht="15">
      <c r="A137" s="47" t="str">
        <f>HLOOKUP(INDICE!$F$2,Nombres!$C$3:$D$636,50,FALSE)</f>
        <v>Resultado atribuido</v>
      </c>
      <c r="B137" s="47">
        <f aca="true" t="shared" si="23" ref="B137:I137">+B135+B136</f>
        <v>17853.742541106843</v>
      </c>
      <c r="C137" s="47">
        <f t="shared" si="23"/>
        <v>21627.212490514</v>
      </c>
      <c r="D137" s="47">
        <f t="shared" si="23"/>
        <v>23411.179693608057</v>
      </c>
      <c r="E137" s="47">
        <f t="shared" si="23"/>
        <v>24644.232178293765</v>
      </c>
      <c r="F137" s="51">
        <f t="shared" si="23"/>
        <v>25748.923100726603</v>
      </c>
      <c r="G137" s="51">
        <f t="shared" si="23"/>
        <v>25623.257224810175</v>
      </c>
      <c r="H137" s="51">
        <f t="shared" si="23"/>
        <v>0</v>
      </c>
      <c r="I137" s="51">
        <f t="shared" si="23"/>
        <v>0</v>
      </c>
    </row>
    <row r="138" spans="1:9" ht="15">
      <c r="A138" s="62"/>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HLOOKUP(INDICE!$F$2,Nombres!$C$3:$D$636,74,FALSE)</f>
        <v>(Millones de pesos mexicanos)</v>
      </c>
      <c r="B141" s="30"/>
      <c r="C141" s="52"/>
      <c r="D141" s="52"/>
      <c r="E141" s="52"/>
      <c r="F141" s="69"/>
      <c r="G141" s="44"/>
      <c r="H141" s="44"/>
      <c r="I141" s="44"/>
    </row>
    <row r="142" spans="1:9" ht="15.75">
      <c r="A142" s="30"/>
      <c r="B142" s="53">
        <f aca="true" t="shared" si="24" ref="B142:G142">+B$30</f>
        <v>44651</v>
      </c>
      <c r="C142" s="53">
        <f t="shared" si="24"/>
        <v>44742</v>
      </c>
      <c r="D142" s="53">
        <f t="shared" si="24"/>
        <v>44834</v>
      </c>
      <c r="E142" s="67">
        <f t="shared" si="24"/>
        <v>44926</v>
      </c>
      <c r="F142" s="53">
        <f t="shared" si="24"/>
        <v>45016</v>
      </c>
      <c r="G142" s="53">
        <f t="shared" si="24"/>
        <v>45107</v>
      </c>
      <c r="H142" s="53">
        <f>+H$30</f>
        <v>45199</v>
      </c>
      <c r="I142" s="53">
        <f>+I$30</f>
        <v>45291</v>
      </c>
    </row>
    <row r="143" spans="1:9" ht="15">
      <c r="A143" s="43" t="str">
        <f>HLOOKUP(INDICE!$F$2,Nombres!$C$3:$D$636,52,FALSE)</f>
        <v>Efectivo, saldos en efectivo en bancos centrales y otros depósitos a la vista</v>
      </c>
      <c r="B143" s="44">
        <v>329735.28101254924</v>
      </c>
      <c r="C143" s="44">
        <v>347769.8910054877</v>
      </c>
      <c r="D143" s="44">
        <v>325627.43008341675</v>
      </c>
      <c r="E143" s="45">
        <v>275885.42044797464</v>
      </c>
      <c r="F143" s="44">
        <v>249925.37584669385</v>
      </c>
      <c r="G143" s="44">
        <v>213995.23442577472</v>
      </c>
      <c r="H143" s="44">
        <v>0</v>
      </c>
      <c r="I143" s="44">
        <v>0</v>
      </c>
    </row>
    <row r="144" spans="1:9" ht="15">
      <c r="A144" s="43" t="str">
        <f>HLOOKUP(INDICE!$F$2,Nombres!$C$3:$D$636,53,FALSE)</f>
        <v>Activos financieros a valor razonable</v>
      </c>
      <c r="B144" s="58">
        <v>956069.9291404511</v>
      </c>
      <c r="C144" s="58">
        <v>967872.1620786877</v>
      </c>
      <c r="D144" s="58">
        <v>997306.0428109224</v>
      </c>
      <c r="E144" s="64">
        <v>971366.2395347592</v>
      </c>
      <c r="F144" s="44">
        <v>949875.792469561</v>
      </c>
      <c r="G144" s="44">
        <v>1000103.5080365186</v>
      </c>
      <c r="H144" s="44">
        <v>0</v>
      </c>
      <c r="I144" s="44">
        <v>0</v>
      </c>
    </row>
    <row r="145" spans="1:9" ht="15">
      <c r="A145" s="43" t="str">
        <f>HLOOKUP(INDICE!$F$2,Nombres!$C$3:$D$636,54,FALSE)</f>
        <v>Activos financieros a coste amortizado</v>
      </c>
      <c r="B145" s="44">
        <v>1427441.1448593258</v>
      </c>
      <c r="C145" s="44">
        <v>1502843.0385191047</v>
      </c>
      <c r="D145" s="44">
        <v>1538240.081121769</v>
      </c>
      <c r="E145" s="45">
        <v>1609903.1299313686</v>
      </c>
      <c r="F145" s="44">
        <v>1661816.8048162984</v>
      </c>
      <c r="G145" s="44">
        <v>1712041.5780561275</v>
      </c>
      <c r="H145" s="44">
        <v>0</v>
      </c>
      <c r="I145" s="44">
        <v>0</v>
      </c>
    </row>
    <row r="146" spans="1:9" ht="15">
      <c r="A146" s="43" t="str">
        <f>HLOOKUP(INDICE!$F$2,Nombres!$C$3:$D$636,55,FALSE)</f>
        <v>    de los que préstamos y anticipos a la clientela</v>
      </c>
      <c r="B146" s="44">
        <v>1332748.8206971737</v>
      </c>
      <c r="C146" s="44">
        <v>1395754.1180773547</v>
      </c>
      <c r="D146" s="44">
        <v>1435405.9175406417</v>
      </c>
      <c r="E146" s="45">
        <v>1485591.1504920998</v>
      </c>
      <c r="F146" s="44">
        <v>1517655.8267528606</v>
      </c>
      <c r="G146" s="44">
        <v>1553454.7212269837</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39114.211785576204</v>
      </c>
      <c r="C148" s="44">
        <v>38864.56931860144</v>
      </c>
      <c r="D148" s="44">
        <v>39147.488033550224</v>
      </c>
      <c r="E148" s="45">
        <v>41074.306943756616</v>
      </c>
      <c r="F148" s="44">
        <v>41195.7358175839</v>
      </c>
      <c r="G148" s="44">
        <v>41823.34462021051</v>
      </c>
      <c r="H148" s="44">
        <v>0</v>
      </c>
      <c r="I148" s="44">
        <v>0</v>
      </c>
    </row>
    <row r="149" spans="1:9" ht="15">
      <c r="A149" s="43" t="str">
        <f>HLOOKUP(INDICE!$F$2,Nombres!$C$3:$D$636,57,FALSE)</f>
        <v>Otros activos</v>
      </c>
      <c r="B149" s="58">
        <f aca="true" t="shared" si="25" ref="B149:I149">+B150-B148-B145-B144-B143</f>
        <v>67819.55066869996</v>
      </c>
      <c r="C149" s="58">
        <f t="shared" si="25"/>
        <v>74699.21606981609</v>
      </c>
      <c r="D149" s="58">
        <f t="shared" si="25"/>
        <v>73712.79790796619</v>
      </c>
      <c r="E149" s="64">
        <f t="shared" si="25"/>
        <v>74935.43209980644</v>
      </c>
      <c r="F149" s="44">
        <f t="shared" si="25"/>
        <v>81460.37474381112</v>
      </c>
      <c r="G149" s="44">
        <f t="shared" si="25"/>
        <v>90168.23660998949</v>
      </c>
      <c r="H149" s="44">
        <f t="shared" si="25"/>
        <v>0</v>
      </c>
      <c r="I149" s="44">
        <f t="shared" si="25"/>
        <v>0</v>
      </c>
    </row>
    <row r="150" spans="1:9" ht="15">
      <c r="A150" s="47" t="str">
        <f>HLOOKUP(INDICE!$F$2,Nombres!$C$3:$D$636,58,FALSE)</f>
        <v>Total activo / pasivo</v>
      </c>
      <c r="B150" s="47">
        <v>2820180.1174666025</v>
      </c>
      <c r="C150" s="47">
        <v>2932048.8769916976</v>
      </c>
      <c r="D150" s="47">
        <v>2974033.8399576247</v>
      </c>
      <c r="E150" s="47">
        <v>2973164.5289576654</v>
      </c>
      <c r="F150" s="51">
        <v>2984274.083693948</v>
      </c>
      <c r="G150" s="51">
        <v>3058131.901748621</v>
      </c>
      <c r="H150" s="51">
        <v>0</v>
      </c>
      <c r="I150" s="51">
        <v>0</v>
      </c>
    </row>
    <row r="151" spans="1:9" ht="15">
      <c r="A151" s="43" t="str">
        <f>HLOOKUP(INDICE!$F$2,Nombres!$C$3:$D$636,59,FALSE)</f>
        <v>Pasivos financieros mantenidos para negociar y designados a valor razonable con cambios en resultados</v>
      </c>
      <c r="B151" s="58">
        <v>503072.6518027524</v>
      </c>
      <c r="C151" s="58">
        <v>561758.8243830474</v>
      </c>
      <c r="D151" s="58">
        <v>604906.1318061118</v>
      </c>
      <c r="E151" s="64">
        <v>538913.5757275431</v>
      </c>
      <c r="F151" s="44">
        <v>550591.0208760097</v>
      </c>
      <c r="G151" s="44">
        <v>534807.0381679079</v>
      </c>
      <c r="H151" s="44">
        <v>0</v>
      </c>
      <c r="I151" s="44">
        <v>0</v>
      </c>
    </row>
    <row r="152" spans="1:9" ht="15">
      <c r="A152" s="43" t="str">
        <f>HLOOKUP(INDICE!$F$2,Nombres!$C$3:$D$636,60,FALSE)</f>
        <v>Depósitos de bancos centrales y entidades de crédito</v>
      </c>
      <c r="B152" s="58">
        <v>61796.81899985728</v>
      </c>
      <c r="C152" s="58">
        <v>107768.3249943455</v>
      </c>
      <c r="D152" s="58">
        <v>143740.21345459318</v>
      </c>
      <c r="E152" s="64">
        <v>91810.17674371359</v>
      </c>
      <c r="F152" s="44">
        <v>134762.10864499706</v>
      </c>
      <c r="G152" s="44">
        <v>182562.30166545612</v>
      </c>
      <c r="H152" s="44">
        <v>0</v>
      </c>
      <c r="I152" s="44">
        <v>0</v>
      </c>
    </row>
    <row r="153" spans="1:9" ht="15">
      <c r="A153" s="43" t="str">
        <f>HLOOKUP(INDICE!$F$2,Nombres!$C$3:$D$636,61,FALSE)</f>
        <v>Depósitos de la clientela</v>
      </c>
      <c r="B153" s="58">
        <v>1536089.811294505</v>
      </c>
      <c r="C153" s="58">
        <v>1523917.9128222005</v>
      </c>
      <c r="D153" s="58">
        <v>1504822.2410280593</v>
      </c>
      <c r="E153" s="64">
        <v>1621557.2326777908</v>
      </c>
      <c r="F153" s="44">
        <v>1574511.723177095</v>
      </c>
      <c r="G153" s="44">
        <v>1575215.1042701867</v>
      </c>
      <c r="H153" s="44">
        <v>0</v>
      </c>
      <c r="I153" s="44">
        <v>0</v>
      </c>
    </row>
    <row r="154" spans="1:9" ht="15">
      <c r="A154" s="43" t="str">
        <f>HLOOKUP(INDICE!$F$2,Nombres!$C$3:$D$636,62,FALSE)</f>
        <v>Valores representativos de deuda emitidos</v>
      </c>
      <c r="B154" s="44">
        <v>183031.389062764</v>
      </c>
      <c r="C154" s="44">
        <v>196087.10301964468</v>
      </c>
      <c r="D154" s="44">
        <v>167143.3998544878</v>
      </c>
      <c r="E154" s="45">
        <v>161791.14266297407</v>
      </c>
      <c r="F154" s="44">
        <v>163344.74415355767</v>
      </c>
      <c r="G154" s="44">
        <v>181490.71173681415</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 aca="true" t="shared" si="26" ref="B156:I156">+B150-B151-B152-B153-B154-B157</f>
        <v>362979.8662885465</v>
      </c>
      <c r="C156" s="58">
        <f t="shared" si="26"/>
        <v>354905.9747469452</v>
      </c>
      <c r="D156" s="58">
        <f t="shared" si="26"/>
        <v>364166.1953122724</v>
      </c>
      <c r="E156" s="64">
        <f t="shared" si="26"/>
        <v>354061.5105296385</v>
      </c>
      <c r="F156" s="44">
        <f t="shared" si="26"/>
        <v>377551.97948350536</v>
      </c>
      <c r="G156" s="44">
        <f t="shared" si="26"/>
        <v>396910.65592553886</v>
      </c>
      <c r="H156" s="44">
        <f t="shared" si="26"/>
        <v>0</v>
      </c>
      <c r="I156" s="44">
        <f t="shared" si="26"/>
        <v>0</v>
      </c>
    </row>
    <row r="157" spans="1:9" ht="15.75" customHeight="1">
      <c r="A157" s="43" t="str">
        <f>HLOOKUP(INDICE!$F$2,Nombres!$C$3:$D$636,282,FALSE)</f>
        <v>Dotación de capital regulatorio</v>
      </c>
      <c r="B157" s="44">
        <v>173209.58001817772</v>
      </c>
      <c r="C157" s="44">
        <v>187610.7370255141</v>
      </c>
      <c r="D157" s="44">
        <v>189255.65850210036</v>
      </c>
      <c r="E157" s="64">
        <v>205030.89061600505</v>
      </c>
      <c r="F157" s="44">
        <v>183512.5073587834</v>
      </c>
      <c r="G157" s="44">
        <v>187146.08998271727</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Indicadores relevantes y de gestión</v>
      </c>
      <c r="B160" s="66"/>
      <c r="C160" s="66"/>
      <c r="D160" s="66"/>
      <c r="E160" s="66"/>
      <c r="F160" s="71"/>
      <c r="G160" s="71"/>
      <c r="H160" s="71"/>
      <c r="I160" s="71"/>
    </row>
    <row r="161" spans="1:9" ht="15">
      <c r="A161" s="35" t="str">
        <f>HLOOKUP(INDICE!$F$2,Nombres!$C$3:$D$636,74,FALSE)</f>
        <v>(Millones de pesos mexicanos)</v>
      </c>
      <c r="B161" s="30"/>
      <c r="C161" s="30"/>
      <c r="D161" s="30"/>
      <c r="E161" s="30"/>
      <c r="F161" s="69"/>
      <c r="G161" s="44"/>
      <c r="H161" s="44"/>
      <c r="I161" s="44"/>
    </row>
    <row r="162" spans="1:9" ht="15.75">
      <c r="A162" s="30"/>
      <c r="B162" s="53">
        <f aca="true" t="shared" si="27" ref="B162:G162">+B$30</f>
        <v>44651</v>
      </c>
      <c r="C162" s="53">
        <f t="shared" si="27"/>
        <v>44742</v>
      </c>
      <c r="D162" s="53">
        <f t="shared" si="27"/>
        <v>44834</v>
      </c>
      <c r="E162" s="67">
        <f t="shared" si="27"/>
        <v>44926</v>
      </c>
      <c r="F162" s="53">
        <f t="shared" si="27"/>
        <v>45016</v>
      </c>
      <c r="G162" s="53">
        <f t="shared" si="27"/>
        <v>45107</v>
      </c>
      <c r="H162" s="53">
        <f>+H$30</f>
        <v>45199</v>
      </c>
      <c r="I162" s="53">
        <f>+I$30</f>
        <v>45291</v>
      </c>
    </row>
    <row r="163" spans="1:9" ht="15">
      <c r="A163" s="43" t="str">
        <f>HLOOKUP(INDICE!$F$2,Nombres!$C$3:$D$636,66,FALSE)</f>
        <v>Préstamos y anticipos a la clientela bruto (*)</v>
      </c>
      <c r="B163" s="44">
        <v>1382178.6061449437</v>
      </c>
      <c r="C163" s="44">
        <v>1446563.0672261908</v>
      </c>
      <c r="D163" s="44">
        <v>1488151.7354509246</v>
      </c>
      <c r="E163" s="45">
        <v>1537648.956995221</v>
      </c>
      <c r="F163" s="44">
        <v>1570111.462220879</v>
      </c>
      <c r="G163" s="44">
        <v>1606888.0730558634</v>
      </c>
      <c r="H163" s="44">
        <v>0</v>
      </c>
      <c r="I163" s="44">
        <v>0</v>
      </c>
    </row>
    <row r="164" spans="1:9" ht="15">
      <c r="A164" s="43" t="str">
        <f>HLOOKUP(INDICE!$F$2,Nombres!$C$3:$D$636,67,FALSE)</f>
        <v>Depósitos de clientes en gestión (**)</v>
      </c>
      <c r="B164" s="44">
        <v>1530733.8192467673</v>
      </c>
      <c r="C164" s="44">
        <v>1513721.4357923213</v>
      </c>
      <c r="D164" s="44">
        <v>1486981.468843496</v>
      </c>
      <c r="E164" s="45">
        <v>1608353.9247582192</v>
      </c>
      <c r="F164" s="44">
        <v>1564563.6435306515</v>
      </c>
      <c r="G164" s="44">
        <v>1545599.7037984335</v>
      </c>
      <c r="H164" s="44">
        <v>0</v>
      </c>
      <c r="I164" s="44">
        <v>0</v>
      </c>
    </row>
    <row r="165" spans="1:9" ht="15">
      <c r="A165" s="43" t="str">
        <f>HLOOKUP(INDICE!$F$2,Nombres!$C$3:$D$636,68,FALSE)</f>
        <v>Fondos de inversión y carteras gestionadas</v>
      </c>
      <c r="B165" s="44">
        <v>706300.0305128762</v>
      </c>
      <c r="C165" s="44">
        <v>711567.52827619</v>
      </c>
      <c r="D165" s="44">
        <v>731365.0832727632</v>
      </c>
      <c r="E165" s="45">
        <v>742755.4820074316</v>
      </c>
      <c r="F165" s="44">
        <v>805024.5837895662</v>
      </c>
      <c r="G165" s="44">
        <v>849454.6513367423</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54365.22614154609</v>
      </c>
      <c r="C167" s="44">
        <v>62177.19958384019</v>
      </c>
      <c r="D167" s="44">
        <v>59141.79479176696</v>
      </c>
      <c r="E167" s="45">
        <v>53850.33786973818</v>
      </c>
      <c r="F167" s="44">
        <v>67118.85576974467</v>
      </c>
      <c r="G167" s="44">
        <v>72302.18428770152</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H26:I26">
    <cfRule type="cellIs" priority="6" dxfId="196" operator="notBetween">
      <formula>0.5</formula>
      <formula>-0.5</formula>
    </cfRule>
  </conditionalFormatting>
  <conditionalFormatting sqref="H82:I82">
    <cfRule type="cellIs" priority="5" dxfId="196" operator="notBetween">
      <formula>0.5</formula>
      <formula>-0.5</formula>
    </cfRule>
  </conditionalFormatting>
  <conditionalFormatting sqref="H138:I138">
    <cfRule type="cellIs" priority="4" dxfId="196" operator="notBetween">
      <formula>0.5</formula>
      <formula>-0.5</formula>
    </cfRule>
  </conditionalFormatting>
  <conditionalFormatting sqref="B26:G26">
    <cfRule type="cellIs" priority="3" dxfId="196" operator="notBetween">
      <formula>0.5</formula>
      <formula>-0.5</formula>
    </cfRule>
  </conditionalFormatting>
  <conditionalFormatting sqref="B82:G82">
    <cfRule type="cellIs" priority="2" dxfId="196" operator="notBetween">
      <formula>0.5</formula>
      <formula>-0.5</formula>
    </cfRule>
  </conditionalFormatting>
  <conditionalFormatting sqref="B138:G138">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491.72099998999977</v>
      </c>
      <c r="C8" s="41">
        <v>661.5430000000001</v>
      </c>
      <c r="D8" s="41">
        <v>807.5929998499998</v>
      </c>
      <c r="E8" s="42">
        <v>650.3160000100005</v>
      </c>
      <c r="F8" s="50">
        <v>626.46199913</v>
      </c>
      <c r="G8" s="50">
        <v>353.7579997000001</v>
      </c>
      <c r="H8" s="50">
        <v>0</v>
      </c>
      <c r="I8" s="50">
        <v>0</v>
      </c>
    </row>
    <row r="9" spans="1:9" ht="15">
      <c r="A9" s="43" t="str">
        <f>HLOOKUP(INDICE!$F$2,Nombres!$C$3:$D$636,34,FALSE)</f>
        <v>Comisiones netas</v>
      </c>
      <c r="B9" s="44">
        <v>136.62699999</v>
      </c>
      <c r="C9" s="44">
        <v>165.56400004</v>
      </c>
      <c r="D9" s="44">
        <v>161.24599966</v>
      </c>
      <c r="E9" s="45">
        <v>138.3319996799999</v>
      </c>
      <c r="F9" s="44">
        <v>171.99399953</v>
      </c>
      <c r="G9" s="44">
        <v>113.22899994999997</v>
      </c>
      <c r="H9" s="44">
        <v>0</v>
      </c>
      <c r="I9" s="44">
        <v>0</v>
      </c>
    </row>
    <row r="10" spans="1:9" ht="15">
      <c r="A10" s="43" t="str">
        <f>HLOOKUP(INDICE!$F$2,Nombres!$C$3:$D$636,35,FALSE)</f>
        <v>Resultados de operaciones financieras</v>
      </c>
      <c r="B10" s="44">
        <v>174.91700000000003</v>
      </c>
      <c r="C10" s="44">
        <v>220.159</v>
      </c>
      <c r="D10" s="44">
        <v>196.23599941000003</v>
      </c>
      <c r="E10" s="45">
        <v>150.14099987999998</v>
      </c>
      <c r="F10" s="44">
        <v>223.76600002</v>
      </c>
      <c r="G10" s="44">
        <v>170.65500057999998</v>
      </c>
      <c r="H10" s="44">
        <v>0</v>
      </c>
      <c r="I10" s="44">
        <v>0</v>
      </c>
    </row>
    <row r="11" spans="1:9" ht="15">
      <c r="A11" s="43" t="str">
        <f>HLOOKUP(INDICE!$F$2,Nombres!$C$3:$D$636,36,FALSE)</f>
        <v>Otros ingresos y cargas de explotación</v>
      </c>
      <c r="B11" s="44">
        <v>-303.35600001</v>
      </c>
      <c r="C11" s="44">
        <v>-211.69399998000011</v>
      </c>
      <c r="D11" s="44">
        <v>-153.327</v>
      </c>
      <c r="E11" s="45">
        <v>-113.98099851</v>
      </c>
      <c r="F11" s="44">
        <v>-220.45699999999997</v>
      </c>
      <c r="G11" s="44">
        <v>40.11899999999992</v>
      </c>
      <c r="H11" s="44">
        <v>0</v>
      </c>
      <c r="I11" s="44">
        <v>0</v>
      </c>
    </row>
    <row r="12" spans="1:9" ht="15">
      <c r="A12" s="41" t="str">
        <f>HLOOKUP(INDICE!$F$2,Nombres!$C$3:$D$636,37,FALSE)</f>
        <v>Margen bruto</v>
      </c>
      <c r="B12" s="41">
        <f aca="true" t="shared" si="0" ref="B12:I12">+SUM(B8:B11)</f>
        <v>499.90899996999974</v>
      </c>
      <c r="C12" s="41">
        <f t="shared" si="0"/>
        <v>835.5720000599999</v>
      </c>
      <c r="D12" s="41">
        <f t="shared" si="0"/>
        <v>1011.7479989199999</v>
      </c>
      <c r="E12" s="42">
        <f t="shared" si="0"/>
        <v>824.8080010600004</v>
      </c>
      <c r="F12" s="50">
        <f t="shared" si="0"/>
        <v>801.76499868</v>
      </c>
      <c r="G12" s="50">
        <f t="shared" si="0"/>
        <v>677.7610002299999</v>
      </c>
      <c r="H12" s="50">
        <f t="shared" si="0"/>
        <v>0</v>
      </c>
      <c r="I12" s="50">
        <f t="shared" si="0"/>
        <v>0</v>
      </c>
    </row>
    <row r="13" spans="1:9" ht="15">
      <c r="A13" s="43" t="str">
        <f>HLOOKUP(INDICE!$F$2,Nombres!$C$3:$D$636,38,FALSE)</f>
        <v>Gastos de explotación</v>
      </c>
      <c r="B13" s="44">
        <v>-237.80315695</v>
      </c>
      <c r="C13" s="44">
        <v>-259.20114091000005</v>
      </c>
      <c r="D13" s="44">
        <v>-289.1236217</v>
      </c>
      <c r="E13" s="45">
        <v>-275.04751940999995</v>
      </c>
      <c r="F13" s="44">
        <v>-398.72017852</v>
      </c>
      <c r="G13" s="44">
        <v>-192.34164598</v>
      </c>
      <c r="H13" s="44">
        <v>0</v>
      </c>
      <c r="I13" s="44">
        <v>0</v>
      </c>
    </row>
    <row r="14" spans="1:9" ht="15">
      <c r="A14" s="43" t="str">
        <f>HLOOKUP(INDICE!$F$2,Nombres!$C$3:$D$636,39,FALSE)</f>
        <v>  Gastos de administración</v>
      </c>
      <c r="B14" s="44">
        <v>-208.48513495000003</v>
      </c>
      <c r="C14" s="44">
        <v>-224.76311991</v>
      </c>
      <c r="D14" s="44">
        <v>-256.8875997</v>
      </c>
      <c r="E14" s="45">
        <v>-242.47249641000002</v>
      </c>
      <c r="F14" s="44">
        <v>-362.3051565299999</v>
      </c>
      <c r="G14" s="44">
        <v>-167.89062495000005</v>
      </c>
      <c r="H14" s="44">
        <v>0</v>
      </c>
      <c r="I14" s="44">
        <v>0</v>
      </c>
    </row>
    <row r="15" spans="1:9" ht="15">
      <c r="A15" s="46" t="str">
        <f>HLOOKUP(INDICE!$F$2,Nombres!$C$3:$D$636,40,FALSE)</f>
        <v>  Gastos de personal</v>
      </c>
      <c r="B15" s="44">
        <v>-131.55028511</v>
      </c>
      <c r="C15" s="44">
        <v>-148.47128487999998</v>
      </c>
      <c r="D15" s="44">
        <v>-173.76428507000003</v>
      </c>
      <c r="E15" s="45">
        <v>-139.28546218999998</v>
      </c>
      <c r="F15" s="44">
        <v>-208.75799998999997</v>
      </c>
      <c r="G15" s="44">
        <v>-115.53599999000001</v>
      </c>
      <c r="H15" s="44">
        <v>0</v>
      </c>
      <c r="I15" s="44">
        <v>0</v>
      </c>
    </row>
    <row r="16" spans="1:9" ht="15">
      <c r="A16" s="46" t="str">
        <f>HLOOKUP(INDICE!$F$2,Nombres!$C$3:$D$636,41,FALSE)</f>
        <v>  Otros gastos de administración</v>
      </c>
      <c r="B16" s="44">
        <v>-76.93484984</v>
      </c>
      <c r="C16" s="44">
        <v>-76.29183503</v>
      </c>
      <c r="D16" s="44">
        <v>-83.12331463000001</v>
      </c>
      <c r="E16" s="45">
        <v>-103.18703422</v>
      </c>
      <c r="F16" s="44">
        <v>-153.54715653999997</v>
      </c>
      <c r="G16" s="44">
        <v>-52.35462496000001</v>
      </c>
      <c r="H16" s="44">
        <v>0</v>
      </c>
      <c r="I16" s="44">
        <v>0</v>
      </c>
    </row>
    <row r="17" spans="1:9" ht="15">
      <c r="A17" s="43" t="str">
        <f>HLOOKUP(INDICE!$F$2,Nombres!$C$3:$D$636,42,FALSE)</f>
        <v>  Amortización</v>
      </c>
      <c r="B17" s="44">
        <v>-29.318022</v>
      </c>
      <c r="C17" s="44">
        <v>-34.43802099999999</v>
      </c>
      <c r="D17" s="44">
        <v>-32.236022000000006</v>
      </c>
      <c r="E17" s="45">
        <v>-32.575023</v>
      </c>
      <c r="F17" s="44">
        <v>-36.41502199</v>
      </c>
      <c r="G17" s="44">
        <v>-24.45102103</v>
      </c>
      <c r="H17" s="44">
        <v>0</v>
      </c>
      <c r="I17" s="44">
        <v>0</v>
      </c>
    </row>
    <row r="18" spans="1:9" ht="15">
      <c r="A18" s="41" t="str">
        <f>HLOOKUP(INDICE!$F$2,Nombres!$C$3:$D$636,43,FALSE)</f>
        <v>Margen neto</v>
      </c>
      <c r="B18" s="41">
        <f aca="true" t="shared" si="1" ref="B18:I18">+B12+B13</f>
        <v>262.1058430199997</v>
      </c>
      <c r="C18" s="41">
        <f t="shared" si="1"/>
        <v>576.3708591499999</v>
      </c>
      <c r="D18" s="41">
        <f t="shared" si="1"/>
        <v>722.6243772199998</v>
      </c>
      <c r="E18" s="42">
        <f t="shared" si="1"/>
        <v>549.7604816500004</v>
      </c>
      <c r="F18" s="50">
        <f t="shared" si="1"/>
        <v>403.04482016</v>
      </c>
      <c r="G18" s="50">
        <f t="shared" si="1"/>
        <v>485.4193542499999</v>
      </c>
      <c r="H18" s="50">
        <f t="shared" si="1"/>
        <v>0</v>
      </c>
      <c r="I18" s="50">
        <f t="shared" si="1"/>
        <v>0</v>
      </c>
    </row>
    <row r="19" spans="1:9" ht="15">
      <c r="A19" s="43" t="str">
        <f>HLOOKUP(INDICE!$F$2,Nombres!$C$3:$D$636,44,FALSE)</f>
        <v>Deterioro de activos financieros no valorados a valor razonable con cambios en resultados</v>
      </c>
      <c r="B19" s="44">
        <v>-95.88099999</v>
      </c>
      <c r="C19" s="44">
        <v>-75.47300002</v>
      </c>
      <c r="D19" s="44">
        <v>-113.48000000000002</v>
      </c>
      <c r="E19" s="45">
        <v>-101.79900100000003</v>
      </c>
      <c r="F19" s="44">
        <v>-59.44499901</v>
      </c>
      <c r="G19" s="44">
        <v>4.920999009999992</v>
      </c>
      <c r="H19" s="44">
        <v>0</v>
      </c>
      <c r="I19" s="44">
        <v>0</v>
      </c>
    </row>
    <row r="20" spans="1:9" ht="15">
      <c r="A20" s="43" t="str">
        <f>HLOOKUP(INDICE!$F$2,Nombres!$C$3:$D$636,45,FALSE)</f>
        <v>Provisiones o reversión de provisiones y otros resultados</v>
      </c>
      <c r="B20" s="44">
        <v>-10.823000009999998</v>
      </c>
      <c r="C20" s="44">
        <v>-23.199999990000002</v>
      </c>
      <c r="D20" s="44">
        <v>-37.114999999999995</v>
      </c>
      <c r="E20" s="45">
        <v>-17.00899999000002</v>
      </c>
      <c r="F20" s="44">
        <v>-16.115</v>
      </c>
      <c r="G20" s="44">
        <v>-30.668999989999996</v>
      </c>
      <c r="H20" s="44">
        <v>0</v>
      </c>
      <c r="I20" s="44">
        <v>0</v>
      </c>
    </row>
    <row r="21" spans="1:9" ht="15">
      <c r="A21" s="41" t="str">
        <f>HLOOKUP(INDICE!$F$2,Nombres!$C$3:$D$636,46,FALSE)</f>
        <v>Resultado antes de impuestos</v>
      </c>
      <c r="B21" s="41">
        <f aca="true" t="shared" si="2" ref="B21:I21">+B18+B19+B20</f>
        <v>155.40184301999972</v>
      </c>
      <c r="C21" s="41">
        <f t="shared" si="2"/>
        <v>477.69785913999993</v>
      </c>
      <c r="D21" s="41">
        <f t="shared" si="2"/>
        <v>572.0293772199998</v>
      </c>
      <c r="E21" s="42">
        <f t="shared" si="2"/>
        <v>430.9524806600004</v>
      </c>
      <c r="F21" s="50">
        <f t="shared" si="2"/>
        <v>327.48482114999996</v>
      </c>
      <c r="G21" s="50">
        <f t="shared" si="2"/>
        <v>459.67135326999994</v>
      </c>
      <c r="H21" s="50">
        <f t="shared" si="2"/>
        <v>0</v>
      </c>
      <c r="I21" s="50">
        <f t="shared" si="2"/>
        <v>0</v>
      </c>
    </row>
    <row r="22" spans="1:9" ht="15">
      <c r="A22" s="43" t="str">
        <f>HLOOKUP(INDICE!$F$2,Nombres!$C$3:$D$636,47,FALSE)</f>
        <v>Impuesto sobre beneficios</v>
      </c>
      <c r="B22" s="44">
        <v>-308.13385291</v>
      </c>
      <c r="C22" s="44">
        <v>-326.72415774</v>
      </c>
      <c r="D22" s="44">
        <v>-255.16651371999998</v>
      </c>
      <c r="E22" s="45">
        <v>-213.46384415999998</v>
      </c>
      <c r="F22" s="44">
        <v>-4.965546149999966</v>
      </c>
      <c r="G22" s="44">
        <v>-165.49870612999996</v>
      </c>
      <c r="H22" s="44">
        <v>0</v>
      </c>
      <c r="I22" s="44">
        <v>0</v>
      </c>
    </row>
    <row r="23" spans="1:9" ht="15">
      <c r="A23" s="41" t="str">
        <f>HLOOKUP(INDICE!$F$2,Nombres!$C$3:$D$636,48,FALSE)</f>
        <v>Resultado del ejercicio</v>
      </c>
      <c r="B23" s="41">
        <f aca="true" t="shared" si="3" ref="B23:I23">+B21+B22</f>
        <v>-152.73200989000026</v>
      </c>
      <c r="C23" s="41">
        <f t="shared" si="3"/>
        <v>150.97370139999992</v>
      </c>
      <c r="D23" s="41">
        <f t="shared" si="3"/>
        <v>316.8628634999998</v>
      </c>
      <c r="E23" s="42">
        <f t="shared" si="3"/>
        <v>217.4886365000004</v>
      </c>
      <c r="F23" s="50">
        <f t="shared" si="3"/>
        <v>322.519275</v>
      </c>
      <c r="G23" s="50">
        <f t="shared" si="3"/>
        <v>294.17264714</v>
      </c>
      <c r="H23" s="50">
        <f t="shared" si="3"/>
        <v>0</v>
      </c>
      <c r="I23" s="50">
        <f t="shared" si="3"/>
        <v>0</v>
      </c>
    </row>
    <row r="24" spans="1:9" ht="15">
      <c r="A24" s="43" t="str">
        <f>HLOOKUP(INDICE!$F$2,Nombres!$C$3:$D$636,49,FALSE)</f>
        <v>Minoritarios</v>
      </c>
      <c r="B24" s="44">
        <v>76.85299998999999</v>
      </c>
      <c r="C24" s="44">
        <v>-15.717999969999937</v>
      </c>
      <c r="D24" s="44">
        <v>-43.423000090000045</v>
      </c>
      <c r="E24" s="45">
        <v>-45.290999649999996</v>
      </c>
      <c r="F24" s="44">
        <v>-45.441999810000006</v>
      </c>
      <c r="G24" s="44">
        <v>-46.14999868999998</v>
      </c>
      <c r="H24" s="44">
        <v>0</v>
      </c>
      <c r="I24" s="44">
        <v>0</v>
      </c>
    </row>
    <row r="25" spans="1:9" ht="15">
      <c r="A25" s="47" t="str">
        <f>HLOOKUP(INDICE!$F$2,Nombres!$C$3:$D$636,50,FALSE)</f>
        <v>Resultado atribuido</v>
      </c>
      <c r="B25" s="47">
        <f aca="true" t="shared" si="4" ref="B25:I25">+B23+B24</f>
        <v>-75.87900990000027</v>
      </c>
      <c r="C25" s="47">
        <f t="shared" si="4"/>
        <v>135.25570143</v>
      </c>
      <c r="D25" s="47">
        <f t="shared" si="4"/>
        <v>273.4398634099997</v>
      </c>
      <c r="E25" s="47">
        <f t="shared" si="4"/>
        <v>172.1976368500004</v>
      </c>
      <c r="F25" s="51">
        <f t="shared" si="4"/>
        <v>277.07727518999997</v>
      </c>
      <c r="G25" s="51">
        <f t="shared" si="4"/>
        <v>248.02264845</v>
      </c>
      <c r="H25" s="51">
        <f t="shared" si="4"/>
        <v>0</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7926.378000000001</v>
      </c>
      <c r="C31" s="44">
        <v>8050.876</v>
      </c>
      <c r="D31" s="44">
        <v>8109.888</v>
      </c>
      <c r="E31" s="45">
        <v>6061.198</v>
      </c>
      <c r="F31" s="44">
        <v>8479.194</v>
      </c>
      <c r="G31" s="44">
        <v>7759.051</v>
      </c>
      <c r="H31" s="44">
        <v>0</v>
      </c>
      <c r="I31" s="44">
        <v>0</v>
      </c>
    </row>
    <row r="32" spans="1:9" ht="15">
      <c r="A32" s="43" t="str">
        <f>HLOOKUP(INDICE!$F$2,Nombres!$C$3:$D$636,53,FALSE)</f>
        <v>Activos financieros a valor razonable</v>
      </c>
      <c r="B32" s="58">
        <v>5177.576</v>
      </c>
      <c r="C32" s="58">
        <v>5598.161000000001</v>
      </c>
      <c r="D32" s="58">
        <v>5557.729000000001</v>
      </c>
      <c r="E32" s="64">
        <v>5203.253</v>
      </c>
      <c r="F32" s="44">
        <v>5109.284</v>
      </c>
      <c r="G32" s="44">
        <v>4118.526</v>
      </c>
      <c r="H32" s="44">
        <v>0</v>
      </c>
      <c r="I32" s="44">
        <v>0</v>
      </c>
    </row>
    <row r="33" spans="1:9" ht="15">
      <c r="A33" s="43" t="str">
        <f>HLOOKUP(INDICE!$F$2,Nombres!$C$3:$D$636,54,FALSE)</f>
        <v>Activos financieros a coste amortizado</v>
      </c>
      <c r="B33" s="44">
        <v>44006.130000000005</v>
      </c>
      <c r="C33" s="44">
        <v>48362.121</v>
      </c>
      <c r="D33" s="44">
        <v>52000.083999999995</v>
      </c>
      <c r="E33" s="45">
        <v>51621.424000000006</v>
      </c>
      <c r="F33" s="44">
        <v>54239.655999999995</v>
      </c>
      <c r="G33" s="44">
        <v>52530.938</v>
      </c>
      <c r="H33" s="44">
        <v>0</v>
      </c>
      <c r="I33" s="44">
        <v>0</v>
      </c>
    </row>
    <row r="34" spans="1:9" ht="15">
      <c r="A34" s="43" t="str">
        <f>HLOOKUP(INDICE!$F$2,Nombres!$C$3:$D$636,55,FALSE)</f>
        <v>    de los que préstamos y anticipos a la clientela</v>
      </c>
      <c r="B34" s="44">
        <v>33726.289000000004</v>
      </c>
      <c r="C34" s="44">
        <v>35609.825999999994</v>
      </c>
      <c r="D34" s="44">
        <v>36898.085</v>
      </c>
      <c r="E34" s="45">
        <v>37442.536</v>
      </c>
      <c r="F34" s="44">
        <v>38995.194</v>
      </c>
      <c r="G34" s="44">
        <v>35672.837</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859.8760000000001</v>
      </c>
      <c r="C36" s="44">
        <v>921.2160000000001</v>
      </c>
      <c r="D36" s="44">
        <v>960.4679999999998</v>
      </c>
      <c r="E36" s="45">
        <v>1212.8300000000002</v>
      </c>
      <c r="F36" s="44">
        <v>1368.49</v>
      </c>
      <c r="G36" s="44">
        <v>1164.863</v>
      </c>
      <c r="H36" s="44">
        <v>0</v>
      </c>
      <c r="I36" s="44">
        <v>0</v>
      </c>
    </row>
    <row r="37" spans="1:9" ht="15">
      <c r="A37" s="43" t="str">
        <f>HLOOKUP(INDICE!$F$2,Nombres!$C$3:$D$636,57,FALSE)</f>
        <v>Otros activos</v>
      </c>
      <c r="B37" s="58">
        <f aca="true" t="shared" si="5" ref="B37:I37">+B38-B36-B33-B32-B31</f>
        <v>990.622999999996</v>
      </c>
      <c r="C37" s="58">
        <f t="shared" si="5"/>
        <v>1161.5330004899988</v>
      </c>
      <c r="D37" s="58">
        <f t="shared" si="5"/>
        <v>1769.8550000000005</v>
      </c>
      <c r="E37" s="64">
        <f t="shared" si="5"/>
        <v>1937.7750485200022</v>
      </c>
      <c r="F37" s="44">
        <f t="shared" si="5"/>
        <v>2025.4140000900043</v>
      </c>
      <c r="G37" s="44">
        <f t="shared" si="5"/>
        <v>1750.3199999999897</v>
      </c>
      <c r="H37" s="44">
        <f t="shared" si="5"/>
        <v>0</v>
      </c>
      <c r="I37" s="44">
        <f t="shared" si="5"/>
        <v>0</v>
      </c>
    </row>
    <row r="38" spans="1:9" ht="15">
      <c r="A38" s="47" t="str">
        <f>HLOOKUP(INDICE!$F$2,Nombres!$C$3:$D$636,58,FALSE)</f>
        <v>Total activo / pasivo</v>
      </c>
      <c r="B38" s="51">
        <v>58960.583</v>
      </c>
      <c r="C38" s="51">
        <v>64093.90700049</v>
      </c>
      <c r="D38" s="51">
        <v>68398.02399999999</v>
      </c>
      <c r="E38" s="79">
        <v>66036.48004852001</v>
      </c>
      <c r="F38" s="51">
        <v>71222.03800009</v>
      </c>
      <c r="G38" s="51">
        <v>67323.69799999999</v>
      </c>
      <c r="H38" s="51">
        <v>0</v>
      </c>
      <c r="I38" s="51">
        <v>0</v>
      </c>
    </row>
    <row r="39" spans="1:9" ht="15">
      <c r="A39" s="43" t="str">
        <f>HLOOKUP(INDICE!$F$2,Nombres!$C$3:$D$636,59,FALSE)</f>
        <v>Pasivos financieros mantenidos para negociar y designados a valor razonable con cambios en resultados</v>
      </c>
      <c r="B39" s="58">
        <v>2198.122</v>
      </c>
      <c r="C39" s="58">
        <v>2380.947</v>
      </c>
      <c r="D39" s="58">
        <v>2417.973</v>
      </c>
      <c r="E39" s="64">
        <v>2137.822</v>
      </c>
      <c r="F39" s="44">
        <v>2079.359</v>
      </c>
      <c r="G39" s="44">
        <v>2196.516</v>
      </c>
      <c r="H39" s="44">
        <v>0</v>
      </c>
      <c r="I39" s="44">
        <v>0</v>
      </c>
    </row>
    <row r="40" spans="1:9" ht="15.75" customHeight="1">
      <c r="A40" s="43" t="str">
        <f>HLOOKUP(INDICE!$F$2,Nombres!$C$3:$D$636,60,FALSE)</f>
        <v>Depósitos de bancos centrales y entidades de crédito</v>
      </c>
      <c r="B40" s="58">
        <v>3677.411</v>
      </c>
      <c r="C40" s="58">
        <v>5306.936</v>
      </c>
      <c r="D40" s="58">
        <v>3999.3920000000007</v>
      </c>
      <c r="E40" s="64">
        <v>2871.904</v>
      </c>
      <c r="F40" s="44">
        <v>2756.4519999999998</v>
      </c>
      <c r="G40" s="44">
        <v>2346.333</v>
      </c>
      <c r="H40" s="44">
        <v>0</v>
      </c>
      <c r="I40" s="44">
        <v>0</v>
      </c>
    </row>
    <row r="41" spans="1:9" ht="15">
      <c r="A41" s="43" t="str">
        <f>HLOOKUP(INDICE!$F$2,Nombres!$C$3:$D$636,61,FALSE)</f>
        <v>Depósitos de la clientela</v>
      </c>
      <c r="B41" s="58">
        <v>40156.687</v>
      </c>
      <c r="C41" s="58">
        <v>42688.41499999999</v>
      </c>
      <c r="D41" s="58">
        <v>47197.636</v>
      </c>
      <c r="E41" s="64">
        <v>46339.215</v>
      </c>
      <c r="F41" s="44">
        <v>51233.727</v>
      </c>
      <c r="G41" s="44">
        <v>50792.774</v>
      </c>
      <c r="H41" s="44">
        <v>0</v>
      </c>
      <c r="I41" s="44">
        <v>0</v>
      </c>
    </row>
    <row r="42" spans="1:9" ht="15">
      <c r="A42" s="43" t="str">
        <f>HLOOKUP(INDICE!$F$2,Nombres!$C$3:$D$636,62,FALSE)</f>
        <v>Valores representativos de deuda emitidos</v>
      </c>
      <c r="B42" s="44">
        <v>3548.0527025700003</v>
      </c>
      <c r="C42" s="44">
        <v>3897.0927195699996</v>
      </c>
      <c r="D42" s="44">
        <v>3378.92576667</v>
      </c>
      <c r="E42" s="45">
        <v>3235.59943234</v>
      </c>
      <c r="F42" s="44">
        <v>2904.1294815</v>
      </c>
      <c r="G42" s="44">
        <v>2859.73232653</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 aca="true" t="shared" si="6" ref="B44:I44">+B38-B39-B40-B41-B42-B45</f>
        <v>2977.226512729998</v>
      </c>
      <c r="C44" s="58">
        <f t="shared" si="6"/>
        <v>2999.736389970005</v>
      </c>
      <c r="D44" s="58">
        <f t="shared" si="6"/>
        <v>4843.201171659995</v>
      </c>
      <c r="E44" s="64">
        <f t="shared" si="6"/>
        <v>4741.393774020011</v>
      </c>
      <c r="F44" s="44">
        <f t="shared" si="6"/>
        <v>5087.139314660004</v>
      </c>
      <c r="G44" s="44">
        <f t="shared" si="6"/>
        <v>1850.9935869899891</v>
      </c>
      <c r="H44" s="44">
        <f t="shared" si="6"/>
        <v>0</v>
      </c>
      <c r="I44" s="44">
        <f t="shared" si="6"/>
        <v>0</v>
      </c>
    </row>
    <row r="45" spans="1:9" ht="15">
      <c r="A45" s="43" t="str">
        <f>HLOOKUP(INDICE!$F$2,Nombres!$C$3:$D$636,282,FALSE)</f>
        <v>Dotación de capital regulatorio</v>
      </c>
      <c r="B45" s="44">
        <v>6403.0837847</v>
      </c>
      <c r="C45" s="44">
        <v>6820.77989095</v>
      </c>
      <c r="D45" s="44">
        <v>6560.896061669999</v>
      </c>
      <c r="E45" s="44">
        <v>6710.54584216</v>
      </c>
      <c r="F45" s="44">
        <v>7161.2312039299995</v>
      </c>
      <c r="G45" s="44">
        <v>7277.349086480001</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G50">+B$30</f>
        <v>44651</v>
      </c>
      <c r="C50" s="53">
        <f t="shared" si="7"/>
        <v>44742</v>
      </c>
      <c r="D50" s="53">
        <f t="shared" si="7"/>
        <v>44834</v>
      </c>
      <c r="E50" s="67">
        <f t="shared" si="7"/>
        <v>44926</v>
      </c>
      <c r="F50" s="75">
        <f t="shared" si="7"/>
        <v>45016</v>
      </c>
      <c r="G50" s="75">
        <f t="shared" si="7"/>
        <v>45107</v>
      </c>
      <c r="H50" s="75">
        <f>+H$30</f>
        <v>45199</v>
      </c>
      <c r="I50" s="75">
        <f>+I$30</f>
        <v>45291</v>
      </c>
    </row>
    <row r="51" spans="1:9" ht="15">
      <c r="A51" s="43" t="str">
        <f>HLOOKUP(INDICE!$F$2,Nombres!$C$3:$D$636,66,FALSE)</f>
        <v>Préstamos y anticipos a la clientela bruto (*)</v>
      </c>
      <c r="B51" s="44">
        <v>35828.403</v>
      </c>
      <c r="C51" s="44">
        <v>37754.281</v>
      </c>
      <c r="D51" s="44">
        <v>39072.556</v>
      </c>
      <c r="E51" s="45">
        <v>39547.111000000004</v>
      </c>
      <c r="F51" s="44">
        <v>41062.337999999996</v>
      </c>
      <c r="G51" s="44">
        <v>37439.632</v>
      </c>
      <c r="H51" s="44">
        <v>0</v>
      </c>
      <c r="I51" s="44">
        <v>0</v>
      </c>
    </row>
    <row r="52" spans="1:9" ht="15">
      <c r="A52" s="43" t="str">
        <f>HLOOKUP(INDICE!$F$2,Nombres!$C$3:$D$636,67,FALSE)</f>
        <v>Depósitos de clientes en gestión (**)</v>
      </c>
      <c r="B52" s="44">
        <v>40154.911</v>
      </c>
      <c r="C52" s="44">
        <v>42686.904</v>
      </c>
      <c r="D52" s="44">
        <v>47195.384</v>
      </c>
      <c r="E52" s="45">
        <v>45591.769</v>
      </c>
      <c r="F52" s="44">
        <v>49806.140999999996</v>
      </c>
      <c r="G52" s="44">
        <v>49519.876</v>
      </c>
      <c r="H52" s="44">
        <v>0</v>
      </c>
      <c r="I52" s="44">
        <v>0</v>
      </c>
    </row>
    <row r="53" spans="1:9" ht="15">
      <c r="A53" s="43" t="str">
        <f>HLOOKUP(INDICE!$F$2,Nombres!$C$3:$D$636,68,FALSE)</f>
        <v>Fondos de inversión y carteras gestionadas</v>
      </c>
      <c r="B53" s="44">
        <v>2088.436</v>
      </c>
      <c r="C53" s="44">
        <v>2319.513</v>
      </c>
      <c r="D53" s="44">
        <v>2667.946</v>
      </c>
      <c r="E53" s="45">
        <v>3730.904</v>
      </c>
      <c r="F53" s="44">
        <v>4270.78</v>
      </c>
      <c r="G53" s="44">
        <v>3850.658</v>
      </c>
      <c r="H53" s="44">
        <v>0</v>
      </c>
      <c r="I53" s="44">
        <v>0</v>
      </c>
    </row>
    <row r="54" spans="1:9" ht="15">
      <c r="A54" s="43" t="str">
        <f>HLOOKUP(INDICE!$F$2,Nombres!$C$3:$D$636,69,FALSE)</f>
        <v>Fondos de pensiones</v>
      </c>
      <c r="B54" s="44">
        <v>2333.143</v>
      </c>
      <c r="C54" s="44">
        <v>2605.557</v>
      </c>
      <c r="D54" s="44">
        <v>2902.554</v>
      </c>
      <c r="E54" s="45">
        <v>3204.8</v>
      </c>
      <c r="F54" s="44">
        <v>3220.571</v>
      </c>
      <c r="G54" s="44">
        <v>2949.631</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 aca="true" t="shared" si="8" ref="B63:I63">+B$7</f>
        <v>1er Trim.</v>
      </c>
      <c r="C63" s="39" t="str">
        <f t="shared" si="8"/>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289.62042039997954</v>
      </c>
      <c r="C64" s="41">
        <v>469.2044209301257</v>
      </c>
      <c r="D64" s="41">
        <v>581.5563532928015</v>
      </c>
      <c r="E64" s="42">
        <v>611.0884280566845</v>
      </c>
      <c r="F64" s="50">
        <v>477.1619465616319</v>
      </c>
      <c r="G64" s="50">
        <v>503.0580522683682</v>
      </c>
      <c r="H64" s="50">
        <v>0</v>
      </c>
      <c r="I64" s="50">
        <v>0</v>
      </c>
    </row>
    <row r="65" spans="1:9" ht="15">
      <c r="A65" s="43" t="str">
        <f>HLOOKUP(INDICE!$F$2,Nombres!$C$3:$D$636,34,FALSE)</f>
        <v>Comisiones netas</v>
      </c>
      <c r="B65" s="44">
        <v>80.40164086943656</v>
      </c>
      <c r="C65" s="44">
        <v>118.22992345756998</v>
      </c>
      <c r="D65" s="44">
        <v>119.1027926658955</v>
      </c>
      <c r="E65" s="45">
        <v>132.61645328878126</v>
      </c>
      <c r="F65" s="44">
        <v>129.62820348952795</v>
      </c>
      <c r="G65" s="44">
        <v>155.59479599047205</v>
      </c>
      <c r="H65" s="44">
        <v>0</v>
      </c>
      <c r="I65" s="44">
        <v>0</v>
      </c>
    </row>
    <row r="66" spans="1:9" ht="15">
      <c r="A66" s="43" t="str">
        <f>HLOOKUP(INDICE!$F$2,Nombres!$C$3:$D$636,35,FALSE)</f>
        <v>Resultados de operaciones financieras</v>
      </c>
      <c r="B66" s="44">
        <v>101.63604744041982</v>
      </c>
      <c r="C66" s="44">
        <v>156.72962969848464</v>
      </c>
      <c r="D66" s="44">
        <v>146.01282695720565</v>
      </c>
      <c r="E66" s="45">
        <v>151.66062885628577</v>
      </c>
      <c r="F66" s="44">
        <v>167.8872770157488</v>
      </c>
      <c r="G66" s="44">
        <v>226.5337235842512</v>
      </c>
      <c r="H66" s="44">
        <v>0</v>
      </c>
      <c r="I66" s="44">
        <v>0</v>
      </c>
    </row>
    <row r="67" spans="1:9" ht="15">
      <c r="A67" s="43" t="str">
        <f>HLOOKUP(INDICE!$F$2,Nombres!$C$3:$D$636,36,FALSE)</f>
        <v>Otros ingresos y cargas de explotación</v>
      </c>
      <c r="B67" s="44">
        <v>-548.9580486883453</v>
      </c>
      <c r="C67" s="44">
        <v>-419.1993484234963</v>
      </c>
      <c r="D67" s="44">
        <v>-203.9893513387792</v>
      </c>
      <c r="E67" s="45">
        <v>-68.59592960539013</v>
      </c>
      <c r="F67" s="44">
        <v>-338.677738868258</v>
      </c>
      <c r="G67" s="44">
        <v>158.339738868258</v>
      </c>
      <c r="H67" s="44">
        <v>0</v>
      </c>
      <c r="I67" s="44">
        <v>0</v>
      </c>
    </row>
    <row r="68" spans="1:9" ht="15">
      <c r="A68" s="41" t="str">
        <f>HLOOKUP(INDICE!$F$2,Nombres!$C$3:$D$636,37,FALSE)</f>
        <v>Margen bruto</v>
      </c>
      <c r="B68" s="41">
        <f aca="true" t="shared" si="9" ref="B68:I68">+SUM(B64:B67)</f>
        <v>-77.29993997850943</v>
      </c>
      <c r="C68" s="41">
        <f t="shared" si="9"/>
        <v>324.96462566268406</v>
      </c>
      <c r="D68" s="41">
        <f t="shared" si="9"/>
        <v>642.6826215771235</v>
      </c>
      <c r="E68" s="42">
        <f t="shared" si="9"/>
        <v>826.7695805963614</v>
      </c>
      <c r="F68" s="50">
        <f t="shared" si="9"/>
        <v>435.99968819865063</v>
      </c>
      <c r="G68" s="50">
        <f t="shared" si="9"/>
        <v>1043.5263107113497</v>
      </c>
      <c r="H68" s="50">
        <f t="shared" si="9"/>
        <v>0</v>
      </c>
      <c r="I68" s="50">
        <f t="shared" si="9"/>
        <v>0</v>
      </c>
    </row>
    <row r="69" spans="1:9" ht="15">
      <c r="A69" s="43" t="str">
        <f>HLOOKUP(INDICE!$F$2,Nombres!$C$3:$D$636,38,FALSE)</f>
        <v>Gastos de explotación</v>
      </c>
      <c r="B69" s="44">
        <v>-144.67924563040424</v>
      </c>
      <c r="C69" s="44">
        <v>-192.8677241132105</v>
      </c>
      <c r="D69" s="44">
        <v>-219.04643849527469</v>
      </c>
      <c r="E69" s="45">
        <v>-255.48732555215867</v>
      </c>
      <c r="F69" s="44">
        <v>-306.11236153056655</v>
      </c>
      <c r="G69" s="44">
        <v>-284.9494629694334</v>
      </c>
      <c r="H69" s="44">
        <v>0</v>
      </c>
      <c r="I69" s="44">
        <v>0</v>
      </c>
    </row>
    <row r="70" spans="1:9" ht="15">
      <c r="A70" s="43" t="str">
        <f>HLOOKUP(INDICE!$F$2,Nombres!$C$3:$D$636,39,FALSE)</f>
        <v>  Gastos de administración</v>
      </c>
      <c r="B70" s="44">
        <v>-124.50395447483696</v>
      </c>
      <c r="C70" s="44">
        <v>-164.33073807852338</v>
      </c>
      <c r="D70" s="44">
        <v>-188.80307245503496</v>
      </c>
      <c r="E70" s="45">
        <v>-223.834169952203</v>
      </c>
      <c r="F70" s="44">
        <v>-274.82609344355956</v>
      </c>
      <c r="G70" s="44">
        <v>-255.3696880364405</v>
      </c>
      <c r="H70" s="44">
        <v>0</v>
      </c>
      <c r="I70" s="44">
        <v>0</v>
      </c>
    </row>
    <row r="71" spans="1:9" ht="15">
      <c r="A71" s="46" t="str">
        <f>HLOOKUP(INDICE!$F$2,Nombres!$C$3:$D$636,40,FALSE)</f>
        <v>  Gastos de personal</v>
      </c>
      <c r="B71" s="44">
        <v>-78.4816612860235</v>
      </c>
      <c r="C71" s="44">
        <v>-107.74386297609848</v>
      </c>
      <c r="D71" s="44">
        <v>-126.96792938241188</v>
      </c>
      <c r="E71" s="45">
        <v>-132.90193486187724</v>
      </c>
      <c r="F71" s="44">
        <v>-158.76754752742704</v>
      </c>
      <c r="G71" s="44">
        <v>-165.52645245257295</v>
      </c>
      <c r="H71" s="44">
        <v>0</v>
      </c>
      <c r="I71" s="44">
        <v>0</v>
      </c>
    </row>
    <row r="72" spans="1:9" ht="15">
      <c r="A72" s="46" t="str">
        <f>HLOOKUP(INDICE!$F$2,Nombres!$C$3:$D$636,41,FALSE)</f>
        <v>  Otros gastos de administración</v>
      </c>
      <c r="B72" s="44">
        <v>-46.02229318881346</v>
      </c>
      <c r="C72" s="44">
        <v>-56.586875102424884</v>
      </c>
      <c r="D72" s="44">
        <v>-61.83514307262311</v>
      </c>
      <c r="E72" s="45">
        <v>-90.9322350903258</v>
      </c>
      <c r="F72" s="44">
        <v>-116.05854591613247</v>
      </c>
      <c r="G72" s="44">
        <v>-89.84323558386754</v>
      </c>
      <c r="H72" s="44">
        <v>0</v>
      </c>
      <c r="I72" s="44">
        <v>0</v>
      </c>
    </row>
    <row r="73" spans="1:9" ht="15">
      <c r="A73" s="43" t="str">
        <f>HLOOKUP(INDICE!$F$2,Nombres!$C$3:$D$636,42,FALSE)</f>
        <v>  Amortización</v>
      </c>
      <c r="B73" s="44">
        <v>-20.175291155567304</v>
      </c>
      <c r="C73" s="44">
        <v>-28.53698603468712</v>
      </c>
      <c r="D73" s="44">
        <v>-30.243366040239692</v>
      </c>
      <c r="E73" s="45">
        <v>-31.65315559995563</v>
      </c>
      <c r="F73" s="44">
        <v>-31.286268087007016</v>
      </c>
      <c r="G73" s="44">
        <v>-29.57977493299298</v>
      </c>
      <c r="H73" s="44">
        <v>0</v>
      </c>
      <c r="I73" s="44">
        <v>0</v>
      </c>
    </row>
    <row r="74" spans="1:9" ht="15">
      <c r="A74" s="41" t="str">
        <f>HLOOKUP(INDICE!$F$2,Nombres!$C$3:$D$636,43,FALSE)</f>
        <v>Margen neto</v>
      </c>
      <c r="B74" s="41">
        <f aca="true" t="shared" si="10" ref="B74:I74">+B68+B69</f>
        <v>-221.97918560891367</v>
      </c>
      <c r="C74" s="41">
        <f t="shared" si="10"/>
        <v>132.09690154947356</v>
      </c>
      <c r="D74" s="41">
        <f t="shared" si="10"/>
        <v>423.63618308184886</v>
      </c>
      <c r="E74" s="42">
        <f t="shared" si="10"/>
        <v>571.2822550442027</v>
      </c>
      <c r="F74" s="50">
        <f t="shared" si="10"/>
        <v>129.88732666808409</v>
      </c>
      <c r="G74" s="50">
        <f t="shared" si="10"/>
        <v>758.5768477419163</v>
      </c>
      <c r="H74" s="50">
        <f t="shared" si="10"/>
        <v>0</v>
      </c>
      <c r="I74" s="50">
        <f t="shared" si="10"/>
        <v>0</v>
      </c>
    </row>
    <row r="75" spans="1:9" ht="15">
      <c r="A75" s="43" t="str">
        <f>HLOOKUP(INDICE!$F$2,Nombres!$C$3:$D$636,44,FALSE)</f>
        <v>Deterioro de activos financieros no valorados a valor razonable con cambios en resultados</v>
      </c>
      <c r="B75" s="44">
        <v>-54.97926889935066</v>
      </c>
      <c r="C75" s="44">
        <v>-57.113016860679934</v>
      </c>
      <c r="D75" s="44">
        <v>-81.3886052609265</v>
      </c>
      <c r="E75" s="45">
        <v>-94.84814030077169</v>
      </c>
      <c r="F75" s="44">
        <v>-40.82999665589488</v>
      </c>
      <c r="G75" s="44">
        <v>-13.694003344105122</v>
      </c>
      <c r="H75" s="44">
        <v>0</v>
      </c>
      <c r="I75" s="44">
        <v>0</v>
      </c>
    </row>
    <row r="76" spans="1:9" ht="15">
      <c r="A76" s="43" t="str">
        <f>HLOOKUP(INDICE!$F$2,Nombres!$C$3:$D$636,45,FALSE)</f>
        <v>Provisiones o reversión de provisiones y otros resultados</v>
      </c>
      <c r="B76" s="44">
        <v>-8.971317003754816</v>
      </c>
      <c r="C76" s="44">
        <v>-16.804219269778287</v>
      </c>
      <c r="D76" s="44">
        <v>-27.104539873257178</v>
      </c>
      <c r="E76" s="45">
        <v>-11.941207564263799</v>
      </c>
      <c r="F76" s="44">
        <v>-16.271235019879207</v>
      </c>
      <c r="G76" s="44">
        <v>-30.5127649701208</v>
      </c>
      <c r="H76" s="44">
        <v>0</v>
      </c>
      <c r="I76" s="44">
        <v>0</v>
      </c>
    </row>
    <row r="77" spans="1:9" ht="15">
      <c r="A77" s="41" t="str">
        <f>HLOOKUP(INDICE!$F$2,Nombres!$C$3:$D$636,46,FALSE)</f>
        <v>Resultado antes de impuestos</v>
      </c>
      <c r="B77" s="41">
        <f aca="true" t="shared" si="11" ref="B77:I77">+B74+B75+B76</f>
        <v>-285.9297715120191</v>
      </c>
      <c r="C77" s="41">
        <f t="shared" si="11"/>
        <v>58.179665419015336</v>
      </c>
      <c r="D77" s="41">
        <f t="shared" si="11"/>
        <v>315.14303794766516</v>
      </c>
      <c r="E77" s="42">
        <f t="shared" si="11"/>
        <v>464.4929071791672</v>
      </c>
      <c r="F77" s="50">
        <f t="shared" si="11"/>
        <v>72.78609499230998</v>
      </c>
      <c r="G77" s="50">
        <f t="shared" si="11"/>
        <v>714.3700794276904</v>
      </c>
      <c r="H77" s="50">
        <f t="shared" si="11"/>
        <v>0</v>
      </c>
      <c r="I77" s="50">
        <f t="shared" si="11"/>
        <v>0</v>
      </c>
    </row>
    <row r="78" spans="1:9" ht="15">
      <c r="A78" s="43" t="str">
        <f>HLOOKUP(INDICE!$F$2,Nombres!$C$3:$D$636,47,FALSE)</f>
        <v>Impuesto sobre beneficios</v>
      </c>
      <c r="B78" s="44">
        <v>-188.49620430028415</v>
      </c>
      <c r="C78" s="44">
        <v>-239.52275997460669</v>
      </c>
      <c r="D78" s="44">
        <v>-191.09731075019178</v>
      </c>
      <c r="E78" s="45">
        <v>-220.288513117032</v>
      </c>
      <c r="F78" s="44">
        <v>58.82883147979095</v>
      </c>
      <c r="G78" s="44">
        <v>-229.29308375979096</v>
      </c>
      <c r="H78" s="44">
        <v>0</v>
      </c>
      <c r="I78" s="44">
        <v>0</v>
      </c>
    </row>
    <row r="79" spans="1:9" ht="15">
      <c r="A79" s="41" t="str">
        <f>HLOOKUP(INDICE!$F$2,Nombres!$C$3:$D$636,48,FALSE)</f>
        <v>Resultado del ejercicio</v>
      </c>
      <c r="B79" s="41">
        <f aca="true" t="shared" si="12" ref="B79:I79">+B77+B78</f>
        <v>-474.42597581230325</v>
      </c>
      <c r="C79" s="41">
        <f t="shared" si="12"/>
        <v>-181.34309455559134</v>
      </c>
      <c r="D79" s="41">
        <f t="shared" si="12"/>
        <v>124.04572719747338</v>
      </c>
      <c r="E79" s="42">
        <f t="shared" si="12"/>
        <v>244.2043940621352</v>
      </c>
      <c r="F79" s="50">
        <f t="shared" si="12"/>
        <v>131.61492647210093</v>
      </c>
      <c r="G79" s="50">
        <f t="shared" si="12"/>
        <v>485.0769956678994</v>
      </c>
      <c r="H79" s="50">
        <f t="shared" si="12"/>
        <v>0</v>
      </c>
      <c r="I79" s="50">
        <f t="shared" si="12"/>
        <v>0</v>
      </c>
    </row>
    <row r="80" spans="1:9" ht="15">
      <c r="A80" s="43" t="str">
        <f>HLOOKUP(INDICE!$F$2,Nombres!$C$3:$D$636,49,FALSE)</f>
        <v>Minoritarios</v>
      </c>
      <c r="B80" s="44">
        <v>238.94602906963908</v>
      </c>
      <c r="C80" s="44">
        <v>82.07935625329239</v>
      </c>
      <c r="D80" s="44">
        <v>-28.470866207460546</v>
      </c>
      <c r="E80" s="45">
        <v>-73.23310172334891</v>
      </c>
      <c r="F80" s="44">
        <v>-18.61004729306364</v>
      </c>
      <c r="G80" s="44">
        <v>-72.98195120693636</v>
      </c>
      <c r="H80" s="44">
        <v>0</v>
      </c>
      <c r="I80" s="44">
        <v>0</v>
      </c>
    </row>
    <row r="81" spans="1:9" ht="15">
      <c r="A81" s="47" t="str">
        <f>HLOOKUP(INDICE!$F$2,Nombres!$C$3:$D$636,50,FALSE)</f>
        <v>Resultado atribuido</v>
      </c>
      <c r="B81" s="47">
        <f aca="true" t="shared" si="13" ref="B81:I81">+B79+B80</f>
        <v>-235.47994674266417</v>
      </c>
      <c r="C81" s="47">
        <f t="shared" si="13"/>
        <v>-99.26373830229895</v>
      </c>
      <c r="D81" s="47">
        <f t="shared" si="13"/>
        <v>95.57486099001284</v>
      </c>
      <c r="E81" s="47">
        <f t="shared" si="13"/>
        <v>170.9712923387863</v>
      </c>
      <c r="F81" s="51">
        <f t="shared" si="13"/>
        <v>113.00487917903729</v>
      </c>
      <c r="G81" s="51">
        <f t="shared" si="13"/>
        <v>412.09504446096304</v>
      </c>
      <c r="H81" s="51">
        <f t="shared" si="13"/>
        <v>0</v>
      </c>
      <c r="I81" s="51">
        <f t="shared" si="13"/>
        <v>0</v>
      </c>
    </row>
    <row r="82" spans="1:9" ht="15">
      <c r="A82" s="62"/>
      <c r="B82" s="63">
        <v>0</v>
      </c>
      <c r="C82" s="63">
        <v>0</v>
      </c>
      <c r="D82" s="63">
        <v>1.2789769243681803E-13</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43" t="str">
        <f>HLOOKUP(INDICE!$F$2,Nombres!$C$3:$D$636,52,FALSE)</f>
        <v>Efectivo, saldos en efectivo en bancos centrales y otros depósitos a la vista</v>
      </c>
      <c r="B87" s="44">
        <v>4557.304188593818</v>
      </c>
      <c r="C87" s="44">
        <v>4924.460494112287</v>
      </c>
      <c r="D87" s="44">
        <v>5178.801226719596</v>
      </c>
      <c r="E87" s="45">
        <v>4273.100392620058</v>
      </c>
      <c r="F87" s="44">
        <v>6246.733508877132</v>
      </c>
      <c r="G87" s="44">
        <v>7759.051</v>
      </c>
      <c r="H87" s="44">
        <v>0</v>
      </c>
      <c r="I87" s="44">
        <v>0</v>
      </c>
    </row>
    <row r="88" spans="1:9" ht="15">
      <c r="A88" s="43" t="str">
        <f>HLOOKUP(INDICE!$F$2,Nombres!$C$3:$D$636,53,FALSE)</f>
        <v>Activos financieros a valor razonable</v>
      </c>
      <c r="B88" s="58">
        <v>2976.8689799505946</v>
      </c>
      <c r="C88" s="58">
        <v>3424.2140462951033</v>
      </c>
      <c r="D88" s="58">
        <v>3549.047010633819</v>
      </c>
      <c r="E88" s="64">
        <v>3668.2554236310193</v>
      </c>
      <c r="F88" s="44">
        <v>3764.0765819451462</v>
      </c>
      <c r="G88" s="44">
        <v>4118.526</v>
      </c>
      <c r="H88" s="44">
        <v>0</v>
      </c>
      <c r="I88" s="44">
        <v>0</v>
      </c>
    </row>
    <row r="89" spans="1:9" ht="15">
      <c r="A89" s="43" t="str">
        <f>HLOOKUP(INDICE!$F$2,Nombres!$C$3:$D$636,54,FALSE)</f>
        <v>Activos financieros a coste amortizado</v>
      </c>
      <c r="B89" s="44">
        <v>25301.50852921778</v>
      </c>
      <c r="C89" s="44">
        <v>29581.545446231965</v>
      </c>
      <c r="D89" s="44">
        <v>33206.142773947315</v>
      </c>
      <c r="E89" s="45">
        <v>36392.72750403574</v>
      </c>
      <c r="F89" s="44">
        <v>39959.066468483754</v>
      </c>
      <c r="G89" s="44">
        <v>52530.938</v>
      </c>
      <c r="H89" s="44">
        <v>0</v>
      </c>
      <c r="I89" s="44">
        <v>0</v>
      </c>
    </row>
    <row r="90" spans="1:9" ht="15">
      <c r="A90" s="43" t="str">
        <f>HLOOKUP(INDICE!$F$2,Nombres!$C$3:$D$636,55,FALSE)</f>
        <v>    de los que préstamos y anticipos a la clientela</v>
      </c>
      <c r="B90" s="44">
        <v>19391.070943806324</v>
      </c>
      <c r="C90" s="44">
        <v>21781.378987729106</v>
      </c>
      <c r="D90" s="44">
        <v>23562.32883383888</v>
      </c>
      <c r="E90" s="45">
        <v>26396.714854438123</v>
      </c>
      <c r="F90" s="44">
        <v>28728.27123013868</v>
      </c>
      <c r="G90" s="44">
        <v>35672.837</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601.9726499135314</v>
      </c>
      <c r="C92" s="44">
        <v>670.092738182539</v>
      </c>
      <c r="D92" s="44">
        <v>717.1258877839608</v>
      </c>
      <c r="E92" s="45">
        <v>902.9089095120423</v>
      </c>
      <c r="F92" s="44">
        <v>1113.161207842083</v>
      </c>
      <c r="G92" s="44">
        <v>1164.863</v>
      </c>
      <c r="H92" s="44">
        <v>0</v>
      </c>
      <c r="I92" s="44">
        <v>0</v>
      </c>
    </row>
    <row r="93" spans="1:9" ht="15">
      <c r="A93" s="43" t="str">
        <f>HLOOKUP(INDICE!$F$2,Nombres!$C$3:$D$636,57,FALSE)</f>
        <v>Otros activos</v>
      </c>
      <c r="B93" s="58">
        <f aca="true" t="shared" si="15" ref="B93:I93">+B94-B92-B89-B88-B87</f>
        <v>583.932486908504</v>
      </c>
      <c r="C93" s="58">
        <f t="shared" si="15"/>
        <v>722.139230385199</v>
      </c>
      <c r="D93" s="58">
        <f t="shared" si="15"/>
        <v>1162.4220667778263</v>
      </c>
      <c r="E93" s="64">
        <f t="shared" si="15"/>
        <v>1387.4636776560992</v>
      </c>
      <c r="F93" s="44">
        <f t="shared" si="15"/>
        <v>1510.7926841850403</v>
      </c>
      <c r="G93" s="44">
        <f t="shared" si="15"/>
        <v>1750.3199999999897</v>
      </c>
      <c r="H93" s="44">
        <f t="shared" si="15"/>
        <v>0</v>
      </c>
      <c r="I93" s="44">
        <f t="shared" si="15"/>
        <v>0</v>
      </c>
    </row>
    <row r="94" spans="1:9" ht="15">
      <c r="A94" s="47" t="str">
        <f>HLOOKUP(INDICE!$F$2,Nombres!$C$3:$D$636,58,FALSE)</f>
        <v>Total activo / pasivo</v>
      </c>
      <c r="B94" s="47">
        <v>34021.586834584225</v>
      </c>
      <c r="C94" s="47">
        <v>39322.45195520709</v>
      </c>
      <c r="D94" s="47">
        <v>43813.53896586251</v>
      </c>
      <c r="E94" s="47">
        <v>46624.45590745496</v>
      </c>
      <c r="F94" s="47">
        <v>52593.83045133315</v>
      </c>
      <c r="G94" s="47">
        <v>67323.69799999999</v>
      </c>
      <c r="H94" s="47">
        <v>0</v>
      </c>
      <c r="I94" s="47">
        <v>0</v>
      </c>
    </row>
    <row r="95" spans="1:9" ht="15">
      <c r="A95" s="43" t="str">
        <f>HLOOKUP(INDICE!$F$2,Nombres!$C$3:$D$636,59,FALSE)</f>
        <v>Pasivos financieros mantenidos para negociar y designados a valor razonable con cambios en resultados</v>
      </c>
      <c r="B95" s="58">
        <v>1263.8194390477242</v>
      </c>
      <c r="C95" s="58">
        <v>1456.3482831030026</v>
      </c>
      <c r="D95" s="58">
        <v>1544.0659030771894</v>
      </c>
      <c r="E95" s="64">
        <v>1507.1489213109019</v>
      </c>
      <c r="F95" s="44">
        <v>1531.8910668024866</v>
      </c>
      <c r="G95" s="44">
        <v>2196.516</v>
      </c>
      <c r="H95" s="44">
        <v>0</v>
      </c>
      <c r="I95" s="44">
        <v>0</v>
      </c>
    </row>
    <row r="96" spans="1:9" ht="15">
      <c r="A96" s="43" t="str">
        <f>HLOOKUP(INDICE!$F$2,Nombres!$C$3:$D$636,60,FALSE)</f>
        <v>Depósitos de bancos centrales y entidades de crédito</v>
      </c>
      <c r="B96" s="58">
        <v>2114.34283773509</v>
      </c>
      <c r="C96" s="58">
        <v>3246.0811316411146</v>
      </c>
      <c r="D96" s="58">
        <v>2553.9262929071947</v>
      </c>
      <c r="E96" s="64">
        <v>2024.6713784910364</v>
      </c>
      <c r="F96" s="44">
        <v>2030.7143667206326</v>
      </c>
      <c r="G96" s="44">
        <v>2346.333</v>
      </c>
      <c r="H96" s="44">
        <v>0</v>
      </c>
      <c r="I96" s="44">
        <v>0</v>
      </c>
    </row>
    <row r="97" spans="1:9" ht="15">
      <c r="A97" s="43" t="str">
        <f>HLOOKUP(INDICE!$F$2,Nombres!$C$3:$D$636,61,FALSE)</f>
        <v>Depósitos de la clientela</v>
      </c>
      <c r="B97" s="58">
        <v>23088.255173441255</v>
      </c>
      <c r="C97" s="58">
        <v>26111.122966466057</v>
      </c>
      <c r="D97" s="58">
        <v>30139.402074981183</v>
      </c>
      <c r="E97" s="64">
        <v>32668.808676140463</v>
      </c>
      <c r="F97" s="44">
        <v>37744.55912148762</v>
      </c>
      <c r="G97" s="44">
        <v>50792.774</v>
      </c>
      <c r="H97" s="44">
        <v>0</v>
      </c>
      <c r="I97" s="44">
        <v>0</v>
      </c>
    </row>
    <row r="98" spans="1:9" ht="15">
      <c r="A98" s="43" t="str">
        <f>HLOOKUP(INDICE!$F$2,Nombres!$C$3:$D$636,62,FALSE)</f>
        <v>Valores representativos de deuda emitidos</v>
      </c>
      <c r="B98" s="44">
        <v>2039.9677434982132</v>
      </c>
      <c r="C98" s="44">
        <v>2383.725589540204</v>
      </c>
      <c r="D98" s="44">
        <v>2157.7098112113326</v>
      </c>
      <c r="E98" s="45">
        <v>2281.0740062761997</v>
      </c>
      <c r="F98" s="44">
        <v>2139.510305602634</v>
      </c>
      <c r="G98" s="44">
        <v>2859.73232653</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 aca="true" t="shared" si="16" ref="B100:I100">+B94-B95-B96-B97-B98-B101</f>
        <v>1833.7218335741127</v>
      </c>
      <c r="C100" s="58">
        <f t="shared" si="16"/>
        <v>1953.123500507043</v>
      </c>
      <c r="D100" s="58">
        <f t="shared" si="16"/>
        <v>3217.6458132100797</v>
      </c>
      <c r="E100" s="64">
        <f t="shared" si="16"/>
        <v>3402.301982435386</v>
      </c>
      <c r="F100" s="44">
        <f t="shared" si="16"/>
        <v>3860.2682271643052</v>
      </c>
      <c r="G100" s="44">
        <f t="shared" si="16"/>
        <v>1850.9935869899891</v>
      </c>
      <c r="H100" s="44">
        <f t="shared" si="16"/>
        <v>0</v>
      </c>
      <c r="I100" s="44">
        <f t="shared" si="16"/>
        <v>0</v>
      </c>
    </row>
    <row r="101" spans="1:9" ht="15">
      <c r="A101" s="43" t="str">
        <f>HLOOKUP(INDICE!$F$2,Nombres!$C$3:$D$636,282,FALSE)</f>
        <v>Dotación de capital regulatorio</v>
      </c>
      <c r="B101" s="44">
        <v>3681.4798072878275</v>
      </c>
      <c r="C101" s="44">
        <v>4172.050483949671</v>
      </c>
      <c r="D101" s="44">
        <v>4200.789070475541</v>
      </c>
      <c r="E101" s="44">
        <v>4740.450942800972</v>
      </c>
      <c r="F101" s="44">
        <v>5286.887363555478</v>
      </c>
      <c r="G101" s="44">
        <v>7277.349086480001</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43" t="str">
        <f>HLOOKUP(INDICE!$F$2,Nombres!$C$3:$D$636,66,FALSE)</f>
        <v>Préstamos y anticipos a la clientela bruto (*)</v>
      </c>
      <c r="B107" s="44">
        <v>20599.690181634964</v>
      </c>
      <c r="C107" s="44">
        <v>23093.07276228253</v>
      </c>
      <c r="D107" s="44">
        <v>24950.89956160555</v>
      </c>
      <c r="E107" s="45">
        <v>27880.424883181342</v>
      </c>
      <c r="F107" s="44">
        <v>30251.16334611979</v>
      </c>
      <c r="G107" s="44">
        <v>37439.632</v>
      </c>
      <c r="H107" s="44">
        <v>0</v>
      </c>
      <c r="I107" s="44">
        <v>0</v>
      </c>
    </row>
    <row r="108" spans="1:9" ht="15">
      <c r="A108" s="43" t="str">
        <f>HLOOKUP(INDICE!$F$2,Nombres!$C$3:$D$636,67,FALSE)</f>
        <v>Depósitos de clientes en gestión (**)</v>
      </c>
      <c r="B108" s="44">
        <v>23087.23405481192</v>
      </c>
      <c r="C108" s="44">
        <v>26110.198736629878</v>
      </c>
      <c r="D108" s="44">
        <v>30137.96399589025</v>
      </c>
      <c r="E108" s="45">
        <v>32141.86469640869</v>
      </c>
      <c r="F108" s="44">
        <v>36692.837778279296</v>
      </c>
      <c r="G108" s="44">
        <v>49519.876</v>
      </c>
      <c r="H108" s="44">
        <v>0</v>
      </c>
      <c r="I108" s="44">
        <v>0</v>
      </c>
    </row>
    <row r="109" spans="1:9" ht="15">
      <c r="A109" s="43" t="str">
        <f>HLOOKUP(INDICE!$F$2,Nombres!$C$3:$D$636,68,FALSE)</f>
        <v>Fondos de inversión y carteras gestionadas</v>
      </c>
      <c r="B109" s="44">
        <v>1200.755014511057</v>
      </c>
      <c r="C109" s="44">
        <v>1418.7710920004076</v>
      </c>
      <c r="D109" s="44">
        <v>1703.6933207488983</v>
      </c>
      <c r="E109" s="45">
        <v>2630.2601147871665</v>
      </c>
      <c r="F109" s="44">
        <v>3146.3396798141753</v>
      </c>
      <c r="G109" s="44">
        <v>3850.658</v>
      </c>
      <c r="H109" s="44">
        <v>0</v>
      </c>
      <c r="I109" s="44">
        <v>0</v>
      </c>
    </row>
    <row r="110" spans="1:9" ht="15">
      <c r="A110" s="43" t="str">
        <f>HLOOKUP(INDICE!$F$2,Nombres!$C$3:$D$636,69,FALSE)</f>
        <v>Fondos de pensiones</v>
      </c>
      <c r="B110" s="44">
        <v>1341.4503278153463</v>
      </c>
      <c r="C110" s="44">
        <v>1593.7349565013458</v>
      </c>
      <c r="D110" s="44">
        <v>1853.5089776603415</v>
      </c>
      <c r="E110" s="45">
        <v>2259.3606310615096</v>
      </c>
      <c r="F110" s="44">
        <v>2372.636925563672</v>
      </c>
      <c r="G110" s="44">
        <v>2949.631</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HLOOKUP(INDICE!$F$2,Nombres!$C$3:$D$636,77,FALSE)</f>
        <v>(Millones de liras turcas)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 aca="true" t="shared" si="18" ref="B119:I119">+B$7</f>
        <v>1er Trim.</v>
      </c>
      <c r="C119" s="39" t="str">
        <f t="shared" si="18"/>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7984.370673066187</v>
      </c>
      <c r="C120" s="41">
        <v>11912.103729912464</v>
      </c>
      <c r="D120" s="41">
        <v>15421.139150641178</v>
      </c>
      <c r="E120" s="42">
        <v>16399.000355130935</v>
      </c>
      <c r="F120" s="50">
        <v>13036.521394293313</v>
      </c>
      <c r="G120" s="50">
        <v>13928.519305398997</v>
      </c>
      <c r="H120" s="50">
        <v>0</v>
      </c>
      <c r="I120" s="50">
        <v>0</v>
      </c>
    </row>
    <row r="121" spans="1:9" ht="15">
      <c r="A121" s="43" t="str">
        <f>HLOOKUP(INDICE!$F$2,Nombres!$C$3:$D$636,34,FALSE)</f>
        <v>Comisiones netas</v>
      </c>
      <c r="B121" s="44">
        <v>2219.170072850806</v>
      </c>
      <c r="C121" s="44">
        <v>2996.504286845563</v>
      </c>
      <c r="D121" s="44">
        <v>3132.4320903463604</v>
      </c>
      <c r="E121" s="45">
        <v>3574.414693272105</v>
      </c>
      <c r="F121" s="44">
        <v>3582.695857508028</v>
      </c>
      <c r="G121" s="44">
        <v>4377.920612559932</v>
      </c>
      <c r="H121" s="44">
        <v>0</v>
      </c>
      <c r="I121" s="44">
        <v>0</v>
      </c>
    </row>
    <row r="122" spans="1:9" ht="15">
      <c r="A122" s="43" t="str">
        <f>HLOOKUP(INDICE!$F$2,Nombres!$C$3:$D$636,35,FALSE)</f>
        <v>Resultados de operaciones financieras</v>
      </c>
      <c r="B122" s="44">
        <v>2843.792037335866</v>
      </c>
      <c r="C122" s="44">
        <v>3985.033567464518</v>
      </c>
      <c r="D122" s="44">
        <v>3838.1417238681247</v>
      </c>
      <c r="E122" s="45">
        <v>4065.0601163117767</v>
      </c>
      <c r="F122" s="44">
        <v>4665.416546586612</v>
      </c>
      <c r="G122" s="44">
        <v>6420.526734248186</v>
      </c>
      <c r="H122" s="44">
        <v>0</v>
      </c>
      <c r="I122" s="44">
        <v>0</v>
      </c>
    </row>
    <row r="123" spans="1:9" ht="15">
      <c r="A123" s="43" t="str">
        <f>HLOOKUP(INDICE!$F$2,Nombres!$C$3:$D$636,36,FALSE)</f>
        <v>Otros ingresos y cargas de explotación</v>
      </c>
      <c r="B123" s="44">
        <v>-4937.368536376534</v>
      </c>
      <c r="C123" s="44">
        <v>-3978.9817955351737</v>
      </c>
      <c r="D123" s="44">
        <v>-3164.033233882611</v>
      </c>
      <c r="E123" s="45">
        <v>-3524.908682650352</v>
      </c>
      <c r="F123" s="44">
        <v>-4597.245514813606</v>
      </c>
      <c r="G123" s="44">
        <v>-480.60870658986073</v>
      </c>
      <c r="H123" s="44">
        <v>0</v>
      </c>
      <c r="I123" s="44">
        <v>0</v>
      </c>
    </row>
    <row r="124" spans="1:9" ht="15">
      <c r="A124" s="41" t="str">
        <f>HLOOKUP(INDICE!$F$2,Nombres!$C$3:$D$636,37,FALSE)</f>
        <v>Margen bruto</v>
      </c>
      <c r="B124" s="41">
        <f aca="true" t="shared" si="19" ref="B124:I124">+SUM(B120:B123)</f>
        <v>8109.964246876325</v>
      </c>
      <c r="C124" s="41">
        <f t="shared" si="19"/>
        <v>14914.65978868737</v>
      </c>
      <c r="D124" s="41">
        <f t="shared" si="19"/>
        <v>19227.67973097305</v>
      </c>
      <c r="E124" s="42">
        <f t="shared" si="19"/>
        <v>20513.566482064463</v>
      </c>
      <c r="F124" s="50">
        <f t="shared" si="19"/>
        <v>16687.388283574342</v>
      </c>
      <c r="G124" s="50">
        <f t="shared" si="19"/>
        <v>24246.357945617256</v>
      </c>
      <c r="H124" s="50">
        <f t="shared" si="19"/>
        <v>0</v>
      </c>
      <c r="I124" s="50">
        <f t="shared" si="19"/>
        <v>0</v>
      </c>
    </row>
    <row r="125" spans="1:9" ht="15">
      <c r="A125" s="43" t="str">
        <f>HLOOKUP(INDICE!$F$2,Nombres!$C$3:$D$636,38,FALSE)</f>
        <v>Gastos de explotación</v>
      </c>
      <c r="B125" s="44">
        <v>-3856.0286582633553</v>
      </c>
      <c r="C125" s="44">
        <v>-4696.176632754803</v>
      </c>
      <c r="D125" s="44">
        <v>-5565.864149058144</v>
      </c>
      <c r="E125" s="45">
        <v>-6778.651719747641</v>
      </c>
      <c r="F125" s="44">
        <v>-8300.127756597496</v>
      </c>
      <c r="G125" s="44">
        <v>-8024.211383337111</v>
      </c>
      <c r="H125" s="44">
        <v>0</v>
      </c>
      <c r="I125" s="44">
        <v>0</v>
      </c>
    </row>
    <row r="126" spans="1:9" ht="15">
      <c r="A126" s="43" t="str">
        <f>HLOOKUP(INDICE!$F$2,Nombres!$C$3:$D$636,39,FALSE)</f>
        <v>  Gastos de administración</v>
      </c>
      <c r="B126" s="44">
        <v>-3380.52319117532</v>
      </c>
      <c r="C126" s="44">
        <v>-4073.5851726070514</v>
      </c>
      <c r="D126" s="44">
        <v>-4938.568872738388</v>
      </c>
      <c r="E126" s="45">
        <v>-5966.492445958412</v>
      </c>
      <c r="F126" s="44">
        <v>-7542.205530046736</v>
      </c>
      <c r="G126" s="44">
        <v>-7098.334164375726</v>
      </c>
      <c r="H126" s="44">
        <v>0</v>
      </c>
      <c r="I126" s="44">
        <v>0</v>
      </c>
    </row>
    <row r="127" spans="1:9" ht="15">
      <c r="A127" s="46" t="str">
        <f>HLOOKUP(INDICE!$F$2,Nombres!$C$3:$D$636,40,FALSE)</f>
        <v>  Gastos de personal</v>
      </c>
      <c r="B127" s="44">
        <v>-2132.377900234281</v>
      </c>
      <c r="C127" s="44">
        <v>-2683.87051961705</v>
      </c>
      <c r="D127" s="44">
        <v>-3330.9030264493813</v>
      </c>
      <c r="E127" s="45">
        <v>-3521.16125324525</v>
      </c>
      <c r="F127" s="44">
        <v>-4344.464123194133</v>
      </c>
      <c r="G127" s="44">
        <v>-4600.387729488601</v>
      </c>
      <c r="H127" s="44">
        <v>0</v>
      </c>
      <c r="I127" s="44">
        <v>0</v>
      </c>
    </row>
    <row r="128" spans="1:9" ht="15">
      <c r="A128" s="46" t="str">
        <f>HLOOKUP(INDICE!$F$2,Nombres!$C$3:$D$636,41,FALSE)</f>
        <v>  Otros gastos de administración</v>
      </c>
      <c r="B128" s="44">
        <v>-1248.1452909410395</v>
      </c>
      <c r="C128" s="44">
        <v>-1389.7146529900017</v>
      </c>
      <c r="D128" s="44">
        <v>-1607.665846289006</v>
      </c>
      <c r="E128" s="45">
        <v>-2445.3311927131604</v>
      </c>
      <c r="F128" s="44">
        <v>-3197.741406852604</v>
      </c>
      <c r="G128" s="44">
        <v>-2497.9464348871247</v>
      </c>
      <c r="H128" s="44">
        <v>0</v>
      </c>
      <c r="I128" s="44">
        <v>0</v>
      </c>
    </row>
    <row r="129" spans="1:9" ht="15">
      <c r="A129" s="43" t="str">
        <f>HLOOKUP(INDICE!$F$2,Nombres!$C$3:$D$636,42,FALSE)</f>
        <v>  Amortización</v>
      </c>
      <c r="B129" s="44">
        <v>-475.50546708803546</v>
      </c>
      <c r="C129" s="44">
        <v>-622.5914601477508</v>
      </c>
      <c r="D129" s="44">
        <v>-627.2952763197571</v>
      </c>
      <c r="E129" s="45">
        <v>-812.1592737892307</v>
      </c>
      <c r="F129" s="44">
        <v>-757.9222265507597</v>
      </c>
      <c r="G129" s="44">
        <v>-925.8772189613856</v>
      </c>
      <c r="H129" s="44">
        <v>0</v>
      </c>
      <c r="I129" s="44">
        <v>0</v>
      </c>
    </row>
    <row r="130" spans="1:9" ht="15">
      <c r="A130" s="41" t="str">
        <f>HLOOKUP(INDICE!$F$2,Nombres!$C$3:$D$636,43,FALSE)</f>
        <v>Margen neto</v>
      </c>
      <c r="B130" s="41">
        <f aca="true" t="shared" si="20" ref="B130:I130">+B124+B125</f>
        <v>4253.93558861297</v>
      </c>
      <c r="C130" s="41">
        <f t="shared" si="20"/>
        <v>10218.483155932567</v>
      </c>
      <c r="D130" s="41">
        <f t="shared" si="20"/>
        <v>13661.815581914907</v>
      </c>
      <c r="E130" s="42">
        <f t="shared" si="20"/>
        <v>13734.914762316821</v>
      </c>
      <c r="F130" s="50">
        <f t="shared" si="20"/>
        <v>8387.260526976846</v>
      </c>
      <c r="G130" s="50">
        <f t="shared" si="20"/>
        <v>16222.146562280144</v>
      </c>
      <c r="H130" s="50">
        <f t="shared" si="20"/>
        <v>0</v>
      </c>
      <c r="I130" s="50">
        <f t="shared" si="20"/>
        <v>0</v>
      </c>
    </row>
    <row r="131" spans="1:9" ht="15">
      <c r="A131" s="43" t="str">
        <f>HLOOKUP(INDICE!$F$2,Nombres!$C$3:$D$636,44,FALSE)</f>
        <v>Deterioro de activos financieros no valorados a valor razonable con cambios en resultados</v>
      </c>
      <c r="B131" s="44">
        <v>-1560.0697863285266</v>
      </c>
      <c r="C131" s="44">
        <v>-1409.2385700027787</v>
      </c>
      <c r="D131" s="44">
        <v>-2181.3812838063163</v>
      </c>
      <c r="E131" s="45">
        <v>-2548.167318311701</v>
      </c>
      <c r="F131" s="44">
        <v>-1250.0872622362563</v>
      </c>
      <c r="G131" s="44">
        <v>-409.49714435543694</v>
      </c>
      <c r="H131" s="44">
        <v>0</v>
      </c>
      <c r="I131" s="44">
        <v>0</v>
      </c>
    </row>
    <row r="132" spans="1:9" ht="15">
      <c r="A132" s="43" t="str">
        <f>HLOOKUP(INDICE!$F$2,Nombres!$C$3:$D$636,45,FALSE)</f>
        <v>Provisiones o reversión de provisiones y otros resultados</v>
      </c>
      <c r="B132" s="44">
        <v>-176.10807576008972</v>
      </c>
      <c r="C132" s="44">
        <v>-414.09356780461087</v>
      </c>
      <c r="D132" s="44">
        <v>-698.0207741786018</v>
      </c>
      <c r="E132" s="45">
        <v>-475.0050557967588</v>
      </c>
      <c r="F132" s="44">
        <v>-336.43324756264764</v>
      </c>
      <c r="G132" s="44">
        <v>-994.4858248465473</v>
      </c>
      <c r="H132" s="44">
        <v>0</v>
      </c>
      <c r="I132" s="44">
        <v>0</v>
      </c>
    </row>
    <row r="133" spans="1:9" ht="15">
      <c r="A133" s="41" t="str">
        <f>HLOOKUP(INDICE!$F$2,Nombres!$C$3:$D$636,46,FALSE)</f>
        <v>Resultado antes de impuestos</v>
      </c>
      <c r="B133" s="41">
        <f aca="true" t="shared" si="21" ref="B133:I133">+B130+B131+B132</f>
        <v>2517.757726524353</v>
      </c>
      <c r="C133" s="41">
        <f t="shared" si="21"/>
        <v>8395.151018125176</v>
      </c>
      <c r="D133" s="41">
        <f t="shared" si="21"/>
        <v>10782.413523929989</v>
      </c>
      <c r="E133" s="42">
        <f t="shared" si="21"/>
        <v>10711.74238820836</v>
      </c>
      <c r="F133" s="50">
        <f t="shared" si="21"/>
        <v>6800.740017177942</v>
      </c>
      <c r="G133" s="50">
        <f t="shared" si="21"/>
        <v>14818.16359307816</v>
      </c>
      <c r="H133" s="50">
        <f t="shared" si="21"/>
        <v>0</v>
      </c>
      <c r="I133" s="50">
        <f t="shared" si="21"/>
        <v>0</v>
      </c>
    </row>
    <row r="134" spans="1:9" ht="15">
      <c r="A134" s="43" t="str">
        <f>HLOOKUP(INDICE!$F$2,Nombres!$C$3:$D$636,47,FALSE)</f>
        <v>Impuesto sobre beneficios</v>
      </c>
      <c r="B134" s="44">
        <v>-5014.49947887421</v>
      </c>
      <c r="C134" s="44">
        <v>-5971.20947581308</v>
      </c>
      <c r="D134" s="44">
        <v>-5088.490819968889</v>
      </c>
      <c r="E134" s="45">
        <v>-5901.5640876184825</v>
      </c>
      <c r="F134" s="44">
        <v>-96.39797976041245</v>
      </c>
      <c r="G134" s="44">
        <v>-4571.317441992932</v>
      </c>
      <c r="H134" s="44">
        <v>0</v>
      </c>
      <c r="I134" s="44">
        <v>0</v>
      </c>
    </row>
    <row r="135" spans="1:9" ht="15">
      <c r="A135" s="41" t="str">
        <f>HLOOKUP(INDICE!$F$2,Nombres!$C$3:$D$636,48,FALSE)</f>
        <v>Resultado del ejercicio</v>
      </c>
      <c r="B135" s="41">
        <f aca="true" t="shared" si="22" ref="B135:I135">+B133+B134</f>
        <v>-2496.7417523498566</v>
      </c>
      <c r="C135" s="41">
        <f t="shared" si="22"/>
        <v>2423.9415423120963</v>
      </c>
      <c r="D135" s="41">
        <f t="shared" si="22"/>
        <v>5693.9227039611</v>
      </c>
      <c r="E135" s="42">
        <f t="shared" si="22"/>
        <v>4810.178300589878</v>
      </c>
      <c r="F135" s="50">
        <f t="shared" si="22"/>
        <v>6704.342037417529</v>
      </c>
      <c r="G135" s="50">
        <f t="shared" si="22"/>
        <v>10246.846151085228</v>
      </c>
      <c r="H135" s="50">
        <f t="shared" si="22"/>
        <v>0</v>
      </c>
      <c r="I135" s="50">
        <f t="shared" si="22"/>
        <v>0</v>
      </c>
    </row>
    <row r="136" spans="1:9" ht="15">
      <c r="A136" s="43" t="str">
        <f>HLOOKUP(INDICE!$F$2,Nombres!$C$3:$D$636,49,FALSE)</f>
        <v>Minoritarios</v>
      </c>
      <c r="B136" s="44">
        <v>1256.3325964271485</v>
      </c>
      <c r="C136" s="44">
        <v>-183.04769133979153</v>
      </c>
      <c r="D136" s="44">
        <v>-732.7922673901845</v>
      </c>
      <c r="E136" s="45">
        <v>-842.9678548377824</v>
      </c>
      <c r="F136" s="44">
        <v>-944.5719145202634</v>
      </c>
      <c r="G136" s="44">
        <v>-1576.6655093115182</v>
      </c>
      <c r="H136" s="44">
        <v>0</v>
      </c>
      <c r="I136" s="44">
        <v>0</v>
      </c>
    </row>
    <row r="137" spans="1:9" ht="15">
      <c r="A137" s="47" t="str">
        <f>HLOOKUP(INDICE!$F$2,Nombres!$C$3:$D$636,50,FALSE)</f>
        <v>Resultado atribuido</v>
      </c>
      <c r="B137" s="47">
        <f aca="true" t="shared" si="23" ref="B137:I137">+B135+B136</f>
        <v>-1240.4091559227081</v>
      </c>
      <c r="C137" s="47">
        <f t="shared" si="23"/>
        <v>2240.893850972305</v>
      </c>
      <c r="D137" s="47">
        <f t="shared" si="23"/>
        <v>4961.130436570915</v>
      </c>
      <c r="E137" s="47">
        <f t="shared" si="23"/>
        <v>3967.2104457520954</v>
      </c>
      <c r="F137" s="51">
        <f t="shared" si="23"/>
        <v>5759.7701228972655</v>
      </c>
      <c r="G137" s="51">
        <f t="shared" si="23"/>
        <v>8670.18064177371</v>
      </c>
      <c r="H137" s="51">
        <f t="shared" si="23"/>
        <v>0</v>
      </c>
      <c r="I137" s="51">
        <f t="shared" si="23"/>
        <v>0</v>
      </c>
    </row>
    <row r="138" spans="1:9" ht="15">
      <c r="A138" s="62"/>
      <c r="B138" s="63">
        <v>0</v>
      </c>
      <c r="C138" s="63">
        <v>0</v>
      </c>
      <c r="D138" s="63">
        <v>0</v>
      </c>
      <c r="E138" s="63">
        <v>-5.4569682106375694E-12</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HLOOKUP(INDICE!$F$2,Nombres!$C$3:$D$636,77,FALSE)</f>
        <v>(Millones de liras turcas)</v>
      </c>
      <c r="B141" s="30"/>
      <c r="C141" s="52"/>
      <c r="D141" s="52"/>
      <c r="E141" s="52"/>
      <c r="F141" s="69"/>
      <c r="G141" s="44"/>
      <c r="H141" s="44"/>
      <c r="I141" s="44"/>
    </row>
    <row r="142" spans="1:9" ht="15.75">
      <c r="A142" s="30"/>
      <c r="B142" s="53">
        <f aca="true" t="shared" si="24" ref="B142:G142">+B$30</f>
        <v>44651</v>
      </c>
      <c r="C142" s="53">
        <f t="shared" si="24"/>
        <v>44742</v>
      </c>
      <c r="D142" s="53">
        <f t="shared" si="24"/>
        <v>44834</v>
      </c>
      <c r="E142" s="67">
        <f t="shared" si="24"/>
        <v>44926</v>
      </c>
      <c r="F142" s="53">
        <f t="shared" si="24"/>
        <v>45016</v>
      </c>
      <c r="G142" s="53">
        <f t="shared" si="24"/>
        <v>45107</v>
      </c>
      <c r="H142" s="53">
        <f>+H$30</f>
        <v>45199</v>
      </c>
      <c r="I142" s="53">
        <f>+I$30</f>
        <v>45291</v>
      </c>
    </row>
    <row r="143" spans="1:9" ht="15">
      <c r="A143" s="43" t="str">
        <f>HLOOKUP(INDICE!$F$2,Nombres!$C$3:$D$636,52,FALSE)</f>
        <v>Efectivo, saldos en efectivo en bancos centrales y otros depósitos a la vista</v>
      </c>
      <c r="B143" s="44">
        <v>129059.66450961103</v>
      </c>
      <c r="C143" s="44">
        <v>139457.27407260635</v>
      </c>
      <c r="D143" s="44">
        <v>146660.02558161994</v>
      </c>
      <c r="E143" s="45">
        <v>121011.2119501936</v>
      </c>
      <c r="F143" s="44">
        <v>176903.1202600908</v>
      </c>
      <c r="G143" s="44">
        <v>219730.89298696633</v>
      </c>
      <c r="H143" s="44">
        <v>0</v>
      </c>
      <c r="I143" s="44">
        <v>0</v>
      </c>
    </row>
    <row r="144" spans="1:9" ht="15">
      <c r="A144" s="43" t="str">
        <f>HLOOKUP(INDICE!$F$2,Nombres!$C$3:$D$636,53,FALSE)</f>
        <v>Activos financieros a valor razonable</v>
      </c>
      <c r="B144" s="58">
        <v>84302.84570493786</v>
      </c>
      <c r="C144" s="58">
        <v>96971.34484242162</v>
      </c>
      <c r="D144" s="58">
        <v>100506.5270094619</v>
      </c>
      <c r="E144" s="64">
        <v>103882.4258196945</v>
      </c>
      <c r="F144" s="44">
        <v>106596.01394837265</v>
      </c>
      <c r="G144" s="44">
        <v>116633.7733532153</v>
      </c>
      <c r="H144" s="44">
        <v>0</v>
      </c>
      <c r="I144" s="44">
        <v>0</v>
      </c>
    </row>
    <row r="145" spans="1:9" ht="15">
      <c r="A145" s="43" t="str">
        <f>HLOOKUP(INDICE!$F$2,Nombres!$C$3:$D$636,54,FALSE)</f>
        <v>Activos financieros a coste amortizado</v>
      </c>
      <c r="B145" s="44">
        <v>716521.0105001717</v>
      </c>
      <c r="C145" s="44">
        <v>837728.6599656425</v>
      </c>
      <c r="D145" s="44">
        <v>940374.7190696573</v>
      </c>
      <c r="E145" s="45">
        <v>1030616.5680175455</v>
      </c>
      <c r="F145" s="44">
        <v>1131612.7910546635</v>
      </c>
      <c r="G145" s="44">
        <v>1487639.3925214522</v>
      </c>
      <c r="H145" s="44">
        <v>0</v>
      </c>
      <c r="I145" s="44">
        <v>0</v>
      </c>
    </row>
    <row r="146" spans="1:9" ht="15">
      <c r="A146" s="43" t="str">
        <f>HLOOKUP(INDICE!$F$2,Nombres!$C$3:$D$636,55,FALSE)</f>
        <v>    de los que préstamos y anticipos a la clientela</v>
      </c>
      <c r="B146" s="44">
        <v>549141.555385598</v>
      </c>
      <c r="C146" s="44">
        <v>616833.4059746821</v>
      </c>
      <c r="D146" s="44">
        <v>667268.6589522304</v>
      </c>
      <c r="E146" s="45">
        <v>747536.4869863604</v>
      </c>
      <c r="F146" s="44">
        <v>813564.5314575385</v>
      </c>
      <c r="G146" s="44">
        <v>1010229.7728663587</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14000.758994822892</v>
      </c>
      <c r="C148" s="44">
        <v>15957.303552069381</v>
      </c>
      <c r="D148" s="44">
        <v>17369.199358897105</v>
      </c>
      <c r="E148" s="45">
        <v>24214.029666998722</v>
      </c>
      <c r="F148" s="44">
        <v>28551.080567885543</v>
      </c>
      <c r="G148" s="44">
        <v>32988.104756300294</v>
      </c>
      <c r="H148" s="44">
        <v>0</v>
      </c>
      <c r="I148" s="44">
        <v>0</v>
      </c>
    </row>
    <row r="149" spans="1:9" ht="15">
      <c r="A149" s="43" t="str">
        <f>HLOOKUP(INDICE!$F$2,Nombres!$C$3:$D$636,57,FALSE)</f>
        <v>Otros activos</v>
      </c>
      <c r="B149" s="58">
        <f aca="true" t="shared" si="25" ref="B149:I149">+B150-B148-B145-B144-B143</f>
        <v>16129.620872926316</v>
      </c>
      <c r="C149" s="58">
        <f t="shared" si="25"/>
        <v>20120.074634575023</v>
      </c>
      <c r="D149" s="58">
        <f t="shared" si="25"/>
        <v>32006.23480567918</v>
      </c>
      <c r="E149" s="64">
        <f t="shared" si="25"/>
        <v>38687.48506619496</v>
      </c>
      <c r="F149" s="44">
        <f t="shared" si="25"/>
        <v>42256.61736650849</v>
      </c>
      <c r="G149" s="44">
        <f t="shared" si="25"/>
        <v>49567.83717660137</v>
      </c>
      <c r="H149" s="44">
        <f t="shared" si="25"/>
        <v>0</v>
      </c>
      <c r="I149" s="44">
        <f t="shared" si="25"/>
        <v>0</v>
      </c>
    </row>
    <row r="150" spans="1:9" ht="15">
      <c r="A150" s="47" t="str">
        <f>HLOOKUP(INDICE!$F$2,Nombres!$C$3:$D$636,58,FALSE)</f>
        <v>Total activo / pasivo</v>
      </c>
      <c r="B150" s="47">
        <v>960013.9005824698</v>
      </c>
      <c r="C150" s="47">
        <v>1110234.657067315</v>
      </c>
      <c r="D150" s="47">
        <v>1236916.7058253153</v>
      </c>
      <c r="E150" s="70">
        <v>1318411.7205206272</v>
      </c>
      <c r="F150" s="51">
        <v>1485919.623197521</v>
      </c>
      <c r="G150" s="51">
        <v>1906560.0007945355</v>
      </c>
      <c r="H150" s="51">
        <v>0</v>
      </c>
      <c r="I150" s="51">
        <v>0</v>
      </c>
    </row>
    <row r="151" spans="1:9" ht="15">
      <c r="A151" s="43" t="str">
        <f>HLOOKUP(INDICE!$F$2,Nombres!$C$3:$D$636,59,FALSE)</f>
        <v>Pasivos financieros mantenidos para negociar y designados a valor razonable con cambios en resultados</v>
      </c>
      <c r="B151" s="58">
        <v>35790.48184065852</v>
      </c>
      <c r="C151" s="58">
        <v>41242.763934179326</v>
      </c>
      <c r="D151" s="58">
        <v>43726.86552954446</v>
      </c>
      <c r="E151" s="64">
        <v>42681.40244779775</v>
      </c>
      <c r="F151" s="44">
        <v>43382.082688626084</v>
      </c>
      <c r="G151" s="44">
        <v>62203.79555955481</v>
      </c>
      <c r="H151" s="44">
        <v>0</v>
      </c>
      <c r="I151" s="44">
        <v>0</v>
      </c>
    </row>
    <row r="152" spans="1:9" ht="15">
      <c r="A152" s="43" t="str">
        <f>HLOOKUP(INDICE!$F$2,Nombres!$C$3:$D$636,60,FALSE)</f>
        <v>Depósitos de bancos centrales y entidades de crédito</v>
      </c>
      <c r="B152" s="58">
        <v>59876.70912539791</v>
      </c>
      <c r="C152" s="58">
        <v>91926.7453923997</v>
      </c>
      <c r="D152" s="58">
        <v>72325.40486760435</v>
      </c>
      <c r="E152" s="64">
        <v>57337.276169596975</v>
      </c>
      <c r="F152" s="44">
        <v>57508.40936616945</v>
      </c>
      <c r="G152" s="44">
        <v>66446.5081277063</v>
      </c>
      <c r="H152" s="44">
        <v>0</v>
      </c>
      <c r="I152" s="44">
        <v>0</v>
      </c>
    </row>
    <row r="153" spans="1:9" ht="15">
      <c r="A153" s="43" t="str">
        <f>HLOOKUP(INDICE!$F$2,Nombres!$C$3:$D$636,61,FALSE)</f>
        <v>Depósitos de la clientela</v>
      </c>
      <c r="B153" s="58">
        <v>653843.2247411691</v>
      </c>
      <c r="C153" s="58">
        <v>739448.7246332152</v>
      </c>
      <c r="D153" s="58">
        <v>853526.769192372</v>
      </c>
      <c r="E153" s="64">
        <v>925157.7935534512</v>
      </c>
      <c r="F153" s="44">
        <v>1068899.493142115</v>
      </c>
      <c r="G153" s="44">
        <v>1438415.8047556547</v>
      </c>
      <c r="H153" s="44">
        <v>0</v>
      </c>
      <c r="I153" s="44">
        <v>0</v>
      </c>
    </row>
    <row r="154" spans="1:9" ht="15">
      <c r="A154" s="43" t="str">
        <f>HLOOKUP(INDICE!$F$2,Nombres!$C$3:$D$636,62,FALSE)</f>
        <v>Valores representativos de deuda emitidos</v>
      </c>
      <c r="B154" s="44">
        <v>57770.458519149965</v>
      </c>
      <c r="C154" s="44">
        <v>67505.44008868505</v>
      </c>
      <c r="D154" s="44">
        <v>61104.83145737857</v>
      </c>
      <c r="E154" s="45">
        <v>64598.419106721456</v>
      </c>
      <c r="F154" s="44">
        <v>60589.43419818791</v>
      </c>
      <c r="G154" s="44">
        <v>80985.61767568375</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 aca="true" t="shared" si="26" ref="B156:I156">+B150-B151-B152-B153-B154-B157</f>
        <v>48476.095248302954</v>
      </c>
      <c r="C156" s="58">
        <f t="shared" si="26"/>
        <v>51961.43374728589</v>
      </c>
      <c r="D156" s="58">
        <f t="shared" si="26"/>
        <v>87584.9343089062</v>
      </c>
      <c r="E156" s="64">
        <f t="shared" si="26"/>
        <v>94661.45255892666</v>
      </c>
      <c r="F156" s="44">
        <f t="shared" si="26"/>
        <v>106134.0049491892</v>
      </c>
      <c r="G156" s="44">
        <f t="shared" si="26"/>
        <v>52418.84268868202</v>
      </c>
      <c r="H156" s="44">
        <f t="shared" si="26"/>
        <v>0</v>
      </c>
      <c r="I156" s="44">
        <f t="shared" si="26"/>
        <v>0</v>
      </c>
    </row>
    <row r="157" spans="1:9" ht="15.75" customHeight="1">
      <c r="A157" s="43" t="str">
        <f>HLOOKUP(INDICE!$F$2,Nombres!$C$3:$D$636,282,FALSE)</f>
        <v>Dotación de capital regulatorio</v>
      </c>
      <c r="B157" s="44">
        <v>104256.93110779127</v>
      </c>
      <c r="C157" s="44">
        <v>118149.54927154962</v>
      </c>
      <c r="D157" s="44">
        <v>118647.90046950977</v>
      </c>
      <c r="E157" s="44">
        <v>133975.37668413314</v>
      </c>
      <c r="F157" s="44">
        <v>149406.19885323342</v>
      </c>
      <c r="G157" s="44">
        <v>206089.4319872539</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HLOOKUP(INDICE!$F$2,Nombres!$C$3:$D$636,77,FALSE)</f>
        <v>(Millones de liras turcas)</v>
      </c>
      <c r="B161" s="30"/>
      <c r="C161" s="30"/>
      <c r="D161" s="30"/>
      <c r="E161" s="30"/>
      <c r="F161" s="69"/>
      <c r="G161" s="44"/>
      <c r="H161" s="44"/>
      <c r="I161" s="44"/>
    </row>
    <row r="162" spans="1:9" ht="15.75">
      <c r="A162" s="30"/>
      <c r="B162" s="53">
        <f aca="true" t="shared" si="27" ref="B162:G162">+B$30</f>
        <v>44651</v>
      </c>
      <c r="C162" s="53">
        <f t="shared" si="27"/>
        <v>44742</v>
      </c>
      <c r="D162" s="53">
        <f t="shared" si="27"/>
        <v>44834</v>
      </c>
      <c r="E162" s="67">
        <f t="shared" si="27"/>
        <v>44926</v>
      </c>
      <c r="F162" s="53">
        <f t="shared" si="27"/>
        <v>45016</v>
      </c>
      <c r="G162" s="53">
        <f t="shared" si="27"/>
        <v>45107</v>
      </c>
      <c r="H162" s="53">
        <f>+H$30</f>
        <v>45199</v>
      </c>
      <c r="I162" s="53">
        <f>+I$30</f>
        <v>45291</v>
      </c>
    </row>
    <row r="163" spans="1:9" ht="15">
      <c r="A163" s="43" t="str">
        <f>HLOOKUP(INDICE!$F$2,Nombres!$C$3:$D$636,66,FALSE)</f>
        <v>Préstamos y anticipos a la clientela bruto (*)</v>
      </c>
      <c r="B163" s="44">
        <v>583368.8061678539</v>
      </c>
      <c r="C163" s="44">
        <v>653979.6554848434</v>
      </c>
      <c r="D163" s="44">
        <v>706592.0099635504</v>
      </c>
      <c r="E163" s="45">
        <v>789554.1164038583</v>
      </c>
      <c r="F163" s="44">
        <v>856691.7701581657</v>
      </c>
      <c r="G163" s="44">
        <v>1060264.1705104657</v>
      </c>
      <c r="H163" s="44">
        <v>0</v>
      </c>
      <c r="I163" s="44">
        <v>0</v>
      </c>
    </row>
    <row r="164" spans="1:9" ht="15">
      <c r="A164" s="43" t="str">
        <f>HLOOKUP(INDICE!$F$2,Nombres!$C$3:$D$636,67,FALSE)</f>
        <v>Depósitos de clientes en gestión (**)</v>
      </c>
      <c r="B164" s="44">
        <v>653814.3073763689</v>
      </c>
      <c r="C164" s="44">
        <v>739422.5510912151</v>
      </c>
      <c r="D164" s="44">
        <v>853486.0437991716</v>
      </c>
      <c r="E164" s="45">
        <v>910235.108908052</v>
      </c>
      <c r="F164" s="44">
        <v>1039115.4809070344</v>
      </c>
      <c r="G164" s="44">
        <v>1402368.2244238171</v>
      </c>
      <c r="H164" s="44">
        <v>0</v>
      </c>
      <c r="I164" s="44">
        <v>0</v>
      </c>
    </row>
    <row r="165" spans="1:9" ht="15">
      <c r="A165" s="43" t="str">
        <f>HLOOKUP(INDICE!$F$2,Nombres!$C$3:$D$636,68,FALSE)</f>
        <v>Fondos de inversión y carteras gestionadas</v>
      </c>
      <c r="B165" s="44">
        <v>34004.5414828556</v>
      </c>
      <c r="C165" s="44">
        <v>40178.60418617469</v>
      </c>
      <c r="D165" s="44">
        <v>48247.40225886973</v>
      </c>
      <c r="E165" s="45">
        <v>74487.12526959607</v>
      </c>
      <c r="F165" s="44">
        <v>89102.1372956428</v>
      </c>
      <c r="G165" s="44">
        <v>109047.93910072325</v>
      </c>
      <c r="H165" s="44">
        <v>0</v>
      </c>
      <c r="I165" s="44">
        <v>0</v>
      </c>
    </row>
    <row r="166" spans="1:9" ht="15">
      <c r="A166" s="43" t="str">
        <f>HLOOKUP(INDICE!$F$2,Nombres!$C$3:$D$636,69,FALSE)</f>
        <v>Fondos de pensiones</v>
      </c>
      <c r="B166" s="44">
        <v>37988.93426896212</v>
      </c>
      <c r="C166" s="44">
        <v>45133.458354196235</v>
      </c>
      <c r="D166" s="44">
        <v>52490.07679169346</v>
      </c>
      <c r="E166" s="45">
        <v>63983.511519996624</v>
      </c>
      <c r="F166" s="44">
        <v>67191.41688693064</v>
      </c>
      <c r="G166" s="44">
        <v>83531.48517931362</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6:E6"/>
    <mergeCell ref="F6:I6"/>
    <mergeCell ref="B62:E62"/>
    <mergeCell ref="F62:I62"/>
    <mergeCell ref="B118:E118"/>
    <mergeCell ref="F118:I118"/>
  </mergeCells>
  <conditionalFormatting sqref="H26:I26">
    <cfRule type="cellIs" priority="6" dxfId="196" operator="notBetween">
      <formula>0.5</formula>
      <formula>-0.5</formula>
    </cfRule>
  </conditionalFormatting>
  <conditionalFormatting sqref="H82:I82">
    <cfRule type="cellIs" priority="5" dxfId="196" operator="notBetween">
      <formula>0.5</formula>
      <formula>-0.5</formula>
    </cfRule>
  </conditionalFormatting>
  <conditionalFormatting sqref="H138:I138">
    <cfRule type="cellIs" priority="4" dxfId="196" operator="notBetween">
      <formula>0.5</formula>
      <formula>-0.5</formula>
    </cfRule>
  </conditionalFormatting>
  <conditionalFormatting sqref="B26:G26">
    <cfRule type="cellIs" priority="3" dxfId="196" operator="notBetween">
      <formula>0.5</formula>
      <formula>-0.5</formula>
    </cfRule>
  </conditionalFormatting>
  <conditionalFormatting sqref="B82:G82">
    <cfRule type="cellIs" priority="2" dxfId="196" operator="notBetween">
      <formula>0.5</formula>
      <formula>-0.5</formula>
    </cfRule>
  </conditionalFormatting>
  <conditionalFormatting sqref="B138:G138">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6.57421875" style="31" customWidth="1"/>
    <col min="2" max="7" width="11.421875" style="31" customWidth="1"/>
    <col min="8" max="9" width="0" style="31" hidden="1" customWidth="1"/>
    <col min="10" max="16384" width="11.421875" style="31" customWidth="1"/>
  </cols>
  <sheetData>
    <row r="1" spans="1:9" ht="18">
      <c r="A1" s="29" t="str">
        <f>HLOOKUP(INDICE!$F$2,Nombres!$C$3:$D$636,283,FALSE)</f>
        <v>América del Sur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809.3452602399998</v>
      </c>
      <c r="C8" s="41">
        <v>1039.8659387700002</v>
      </c>
      <c r="D8" s="41">
        <v>1224.3587979000001</v>
      </c>
      <c r="E8" s="42">
        <v>1064.0967855</v>
      </c>
      <c r="F8" s="50">
        <v>1189.6238201899998</v>
      </c>
      <c r="G8" s="50">
        <v>1313.1792896700003</v>
      </c>
      <c r="H8" s="50">
        <v>0</v>
      </c>
      <c r="I8" s="50">
        <v>0</v>
      </c>
    </row>
    <row r="9" spans="1:9" ht="15">
      <c r="A9" s="43" t="str">
        <f>HLOOKUP(INDICE!$F$2,Nombres!$C$3:$D$636,34,FALSE)</f>
        <v>Comisiones netas</v>
      </c>
      <c r="B9" s="44">
        <v>178.10568923</v>
      </c>
      <c r="C9" s="44">
        <v>222.69375806000002</v>
      </c>
      <c r="D9" s="44">
        <v>207.64165207999997</v>
      </c>
      <c r="E9" s="45">
        <v>169.65302934</v>
      </c>
      <c r="F9" s="44">
        <v>184.20062958999998</v>
      </c>
      <c r="G9" s="44">
        <v>226.99328598000002</v>
      </c>
      <c r="H9" s="44">
        <v>0</v>
      </c>
      <c r="I9" s="44">
        <v>0</v>
      </c>
    </row>
    <row r="10" spans="1:9" ht="15">
      <c r="A10" s="43" t="str">
        <f>HLOOKUP(INDICE!$F$2,Nombres!$C$3:$D$636,35,FALSE)</f>
        <v>Resultados de operaciones financieras</v>
      </c>
      <c r="B10" s="44">
        <v>93.22845095000001</v>
      </c>
      <c r="C10" s="44">
        <v>109.64612033999998</v>
      </c>
      <c r="D10" s="44">
        <v>151.86050311999998</v>
      </c>
      <c r="E10" s="45">
        <v>92.00741371000004</v>
      </c>
      <c r="F10" s="44">
        <v>127.07239331</v>
      </c>
      <c r="G10" s="44">
        <v>140.85826972</v>
      </c>
      <c r="H10" s="44">
        <v>0</v>
      </c>
      <c r="I10" s="44">
        <v>0</v>
      </c>
    </row>
    <row r="11" spans="1:9" ht="15">
      <c r="A11" s="43" t="str">
        <f>HLOOKUP(INDICE!$F$2,Nombres!$C$3:$D$636,36,FALSE)</f>
        <v>Otros ingresos y cargas de explotación</v>
      </c>
      <c r="B11" s="44">
        <v>-195.408</v>
      </c>
      <c r="C11" s="44">
        <v>-275.768</v>
      </c>
      <c r="D11" s="44">
        <v>-379.40400000000005</v>
      </c>
      <c r="E11" s="45">
        <v>-246.5109979899999</v>
      </c>
      <c r="F11" s="44">
        <v>-326.20599999999996</v>
      </c>
      <c r="G11" s="44">
        <v>-440.79600000000005</v>
      </c>
      <c r="H11" s="44">
        <v>0</v>
      </c>
      <c r="I11" s="44">
        <v>0</v>
      </c>
    </row>
    <row r="12" spans="1:9" ht="15">
      <c r="A12" s="41" t="str">
        <f>HLOOKUP(INDICE!$F$2,Nombres!$C$3:$D$636,37,FALSE)</f>
        <v>Margen bruto</v>
      </c>
      <c r="B12" s="41">
        <f aca="true" t="shared" si="0" ref="B12:I12">+SUM(B8:B11)</f>
        <v>885.2714004199998</v>
      </c>
      <c r="C12" s="41">
        <f t="shared" si="0"/>
        <v>1096.43781717</v>
      </c>
      <c r="D12" s="41">
        <f t="shared" si="0"/>
        <v>1204.4569531000002</v>
      </c>
      <c r="E12" s="42">
        <f t="shared" si="0"/>
        <v>1079.2462305600002</v>
      </c>
      <c r="F12" s="50">
        <f t="shared" si="0"/>
        <v>1174.69084309</v>
      </c>
      <c r="G12" s="50">
        <f t="shared" si="0"/>
        <v>1240.2348453700004</v>
      </c>
      <c r="H12" s="50">
        <f t="shared" si="0"/>
        <v>0</v>
      </c>
      <c r="I12" s="50">
        <f t="shared" si="0"/>
        <v>0</v>
      </c>
    </row>
    <row r="13" spans="1:9" ht="15">
      <c r="A13" s="43" t="str">
        <f>HLOOKUP(INDICE!$F$2,Nombres!$C$3:$D$636,38,FALSE)</f>
        <v>Gastos de explotación</v>
      </c>
      <c r="B13" s="44">
        <v>-412.59203234999995</v>
      </c>
      <c r="C13" s="44">
        <v>-510.32738589</v>
      </c>
      <c r="D13" s="44">
        <v>-570.29523092</v>
      </c>
      <c r="E13" s="45">
        <v>-482.55111457</v>
      </c>
      <c r="F13" s="44">
        <v>-533.12801333</v>
      </c>
      <c r="G13" s="44">
        <v>-549.6739455500001</v>
      </c>
      <c r="H13" s="44">
        <v>0</v>
      </c>
      <c r="I13" s="44">
        <v>0</v>
      </c>
    </row>
    <row r="14" spans="1:9" ht="15">
      <c r="A14" s="43" t="str">
        <f>HLOOKUP(INDICE!$F$2,Nombres!$C$3:$D$636,39,FALSE)</f>
        <v>  Gastos de administración</v>
      </c>
      <c r="B14" s="44">
        <v>-377.96503235</v>
      </c>
      <c r="C14" s="44">
        <v>-462.43138589000006</v>
      </c>
      <c r="D14" s="44">
        <v>-523.0342309199999</v>
      </c>
      <c r="E14" s="45">
        <v>-442.17611457</v>
      </c>
      <c r="F14" s="44">
        <v>-490.18801333</v>
      </c>
      <c r="G14" s="44">
        <v>-503.58394555</v>
      </c>
      <c r="H14" s="44">
        <v>0</v>
      </c>
      <c r="I14" s="44">
        <v>0</v>
      </c>
    </row>
    <row r="15" spans="1:9" ht="15">
      <c r="A15" s="46" t="str">
        <f>HLOOKUP(INDICE!$F$2,Nombres!$C$3:$D$636,40,FALSE)</f>
        <v>  Gastos de personal</v>
      </c>
      <c r="B15" s="44">
        <v>-200.55323161000004</v>
      </c>
      <c r="C15" s="44">
        <v>-246.03636455999998</v>
      </c>
      <c r="D15" s="44">
        <v>-267.32569603999997</v>
      </c>
      <c r="E15" s="45">
        <v>-232.22820937</v>
      </c>
      <c r="F15" s="44">
        <v>-251.67365672</v>
      </c>
      <c r="G15" s="44">
        <v>-253.56663949</v>
      </c>
      <c r="H15" s="44">
        <v>0</v>
      </c>
      <c r="I15" s="44">
        <v>0</v>
      </c>
    </row>
    <row r="16" spans="1:9" ht="15">
      <c r="A16" s="46" t="str">
        <f>HLOOKUP(INDICE!$F$2,Nombres!$C$3:$D$636,41,FALSE)</f>
        <v>  Otros gastos de administración</v>
      </c>
      <c r="B16" s="44">
        <v>-177.41180074</v>
      </c>
      <c r="C16" s="44">
        <v>-216.39502133000002</v>
      </c>
      <c r="D16" s="44">
        <v>-255.70853488</v>
      </c>
      <c r="E16" s="45">
        <v>-209.94790519999998</v>
      </c>
      <c r="F16" s="44">
        <v>-238.51435661</v>
      </c>
      <c r="G16" s="44">
        <v>-250.01730606</v>
      </c>
      <c r="H16" s="44">
        <v>0</v>
      </c>
      <c r="I16" s="44">
        <v>0</v>
      </c>
    </row>
    <row r="17" spans="1:9" ht="15">
      <c r="A17" s="43" t="str">
        <f>HLOOKUP(INDICE!$F$2,Nombres!$C$3:$D$636,42,FALSE)</f>
        <v>  Amortización</v>
      </c>
      <c r="B17" s="44">
        <v>-34.627</v>
      </c>
      <c r="C17" s="44">
        <v>-47.896</v>
      </c>
      <c r="D17" s="44">
        <v>-47.26100000000001</v>
      </c>
      <c r="E17" s="45">
        <v>-40.374999999999986</v>
      </c>
      <c r="F17" s="44">
        <v>-42.940000000000005</v>
      </c>
      <c r="G17" s="44">
        <v>-46.09</v>
      </c>
      <c r="H17" s="44">
        <v>0</v>
      </c>
      <c r="I17" s="44">
        <v>0</v>
      </c>
    </row>
    <row r="18" spans="1:9" ht="15">
      <c r="A18" s="41" t="str">
        <f>HLOOKUP(INDICE!$F$2,Nombres!$C$3:$D$636,43,FALSE)</f>
        <v>Margen neto</v>
      </c>
      <c r="B18" s="41">
        <f aca="true" t="shared" si="1" ref="B18:I18">+B12+B13</f>
        <v>472.6793680699999</v>
      </c>
      <c r="C18" s="41">
        <f t="shared" si="1"/>
        <v>586.1104312800001</v>
      </c>
      <c r="D18" s="41">
        <f t="shared" si="1"/>
        <v>634.1617221800002</v>
      </c>
      <c r="E18" s="42">
        <f t="shared" si="1"/>
        <v>596.6951159900002</v>
      </c>
      <c r="F18" s="50">
        <f t="shared" si="1"/>
        <v>641.56282976</v>
      </c>
      <c r="G18" s="50">
        <f t="shared" si="1"/>
        <v>690.5608998200003</v>
      </c>
      <c r="H18" s="50">
        <f t="shared" si="1"/>
        <v>0</v>
      </c>
      <c r="I18" s="50">
        <f t="shared" si="1"/>
        <v>0</v>
      </c>
    </row>
    <row r="19" spans="1:9" ht="15">
      <c r="A19" s="43" t="str">
        <f>HLOOKUP(INDICE!$F$2,Nombres!$C$3:$D$636,44,FALSE)</f>
        <v>Deterioro de activos financieros no valorados a valor razonable con cambios en resultados</v>
      </c>
      <c r="B19" s="44">
        <v>-140.98599999999996</v>
      </c>
      <c r="C19" s="44">
        <v>-130.73500000000004</v>
      </c>
      <c r="D19" s="44">
        <v>-210.06500000000003</v>
      </c>
      <c r="E19" s="45">
        <v>-280.007</v>
      </c>
      <c r="F19" s="44">
        <v>-227.27700000000004</v>
      </c>
      <c r="G19" s="44">
        <v>-311.43000000000006</v>
      </c>
      <c r="H19" s="44">
        <v>0</v>
      </c>
      <c r="I19" s="44">
        <v>0</v>
      </c>
    </row>
    <row r="20" spans="1:9" ht="15">
      <c r="A20" s="43" t="str">
        <f>HLOOKUP(INDICE!$F$2,Nombres!$C$3:$D$636,45,FALSE)</f>
        <v>Provisiones o reversión de provisiones y otros resultados</v>
      </c>
      <c r="B20" s="44">
        <v>-16.292266</v>
      </c>
      <c r="C20" s="44">
        <v>-25.30676299999998</v>
      </c>
      <c r="D20" s="44">
        <v>-21.757181000000003</v>
      </c>
      <c r="E20" s="45">
        <v>-30.31696924</v>
      </c>
      <c r="F20" s="44">
        <v>-8.828408989999998</v>
      </c>
      <c r="G20" s="44">
        <v>-4.385500999999999</v>
      </c>
      <c r="H20" s="44">
        <v>0</v>
      </c>
      <c r="I20" s="44">
        <v>0</v>
      </c>
    </row>
    <row r="21" spans="1:9" ht="15">
      <c r="A21" s="41" t="str">
        <f>HLOOKUP(INDICE!$F$2,Nombres!$C$3:$D$636,46,FALSE)</f>
        <v>Resultado antes de impuestos</v>
      </c>
      <c r="B21" s="41">
        <f aca="true" t="shared" si="2" ref="B21:I21">+B18+B19+B20</f>
        <v>315.4011020699999</v>
      </c>
      <c r="C21" s="41">
        <f t="shared" si="2"/>
        <v>430.06866828000005</v>
      </c>
      <c r="D21" s="41">
        <f t="shared" si="2"/>
        <v>402.33954118000014</v>
      </c>
      <c r="E21" s="42">
        <f t="shared" si="2"/>
        <v>286.3711467500002</v>
      </c>
      <c r="F21" s="50">
        <f t="shared" si="2"/>
        <v>405.45742076999994</v>
      </c>
      <c r="G21" s="50">
        <f t="shared" si="2"/>
        <v>374.7453988200002</v>
      </c>
      <c r="H21" s="50">
        <f t="shared" si="2"/>
        <v>0</v>
      </c>
      <c r="I21" s="50">
        <f t="shared" si="2"/>
        <v>0</v>
      </c>
    </row>
    <row r="22" spans="1:9" ht="15">
      <c r="A22" s="43" t="str">
        <f>HLOOKUP(INDICE!$F$2,Nombres!$C$3:$D$636,47,FALSE)</f>
        <v>Impuesto sobre beneficios</v>
      </c>
      <c r="B22" s="44">
        <v>-89.37330450000002</v>
      </c>
      <c r="C22" s="44">
        <v>-55.141245510000005</v>
      </c>
      <c r="D22" s="44">
        <v>-96.94336594</v>
      </c>
      <c r="E22" s="45">
        <v>-106.01119015999998</v>
      </c>
      <c r="F22" s="44">
        <v>-123.59758569999998</v>
      </c>
      <c r="G22" s="44">
        <v>-104.49910759</v>
      </c>
      <c r="H22" s="44">
        <v>0</v>
      </c>
      <c r="I22" s="44">
        <v>0</v>
      </c>
    </row>
    <row r="23" spans="1:9" ht="15">
      <c r="A23" s="41" t="str">
        <f>HLOOKUP(INDICE!$F$2,Nombres!$C$3:$D$636,48,FALSE)</f>
        <v>Resultado del ejercicio</v>
      </c>
      <c r="B23" s="41">
        <f aca="true" t="shared" si="3" ref="B23:I23">+B21+B22</f>
        <v>226.0277975699999</v>
      </c>
      <c r="C23" s="41">
        <f t="shared" si="3"/>
        <v>374.92742277</v>
      </c>
      <c r="D23" s="41">
        <f t="shared" si="3"/>
        <v>305.39617524000016</v>
      </c>
      <c r="E23" s="42">
        <f t="shared" si="3"/>
        <v>180.35995659000022</v>
      </c>
      <c r="F23" s="50">
        <f t="shared" si="3"/>
        <v>281.85983507</v>
      </c>
      <c r="G23" s="50">
        <f t="shared" si="3"/>
        <v>270.2462912300002</v>
      </c>
      <c r="H23" s="50">
        <f t="shared" si="3"/>
        <v>0</v>
      </c>
      <c r="I23" s="50">
        <f t="shared" si="3"/>
        <v>0</v>
      </c>
    </row>
    <row r="24" spans="1:9" ht="15">
      <c r="A24" s="43" t="str">
        <f>HLOOKUP(INDICE!$F$2,Nombres!$C$3:$D$636,49,FALSE)</f>
        <v>Minoritarios</v>
      </c>
      <c r="B24" s="44">
        <v>-66.08792096</v>
      </c>
      <c r="C24" s="44">
        <v>-117.33203138</v>
      </c>
      <c r="D24" s="44">
        <v>-97.91284262</v>
      </c>
      <c r="E24" s="45">
        <v>-67.78877473</v>
      </c>
      <c r="F24" s="44">
        <v>-98.3022067</v>
      </c>
      <c r="G24" s="44">
        <v>-87.05372560999999</v>
      </c>
      <c r="H24" s="44">
        <v>0</v>
      </c>
      <c r="I24" s="44">
        <v>0</v>
      </c>
    </row>
    <row r="25" spans="1:9" ht="15">
      <c r="A25" s="47" t="str">
        <f>HLOOKUP(INDICE!$F$2,Nombres!$C$3:$D$636,50,FALSE)</f>
        <v>Resultado atribuido</v>
      </c>
      <c r="B25" s="47">
        <f aca="true" t="shared" si="4" ref="B25:I25">+B23+B24</f>
        <v>159.93987660999989</v>
      </c>
      <c r="C25" s="47">
        <f t="shared" si="4"/>
        <v>257.59539139000003</v>
      </c>
      <c r="D25" s="47">
        <f t="shared" si="4"/>
        <v>207.48333262000017</v>
      </c>
      <c r="E25" s="47">
        <f t="shared" si="4"/>
        <v>112.57118186000022</v>
      </c>
      <c r="F25" s="51">
        <f t="shared" si="4"/>
        <v>183.55762836999997</v>
      </c>
      <c r="G25" s="51">
        <f t="shared" si="4"/>
        <v>183.19256562000024</v>
      </c>
      <c r="H25" s="51">
        <f t="shared" si="4"/>
        <v>0</v>
      </c>
      <c r="I25" s="51">
        <f t="shared" si="4"/>
        <v>0</v>
      </c>
    </row>
    <row r="26" spans="1:9" ht="15">
      <c r="A26" s="62"/>
      <c r="B26" s="63">
        <v>0</v>
      </c>
      <c r="C26" s="63">
        <v>0</v>
      </c>
      <c r="D26" s="63">
        <v>0</v>
      </c>
      <c r="E26" s="63">
        <v>0</v>
      </c>
      <c r="F26" s="63">
        <v>0</v>
      </c>
      <c r="G26" s="63">
        <v>0</v>
      </c>
      <c r="H26" s="63">
        <v>0</v>
      </c>
      <c r="I26" s="63">
        <v>0</v>
      </c>
    </row>
    <row r="27" spans="1:15" ht="15">
      <c r="A27" s="41"/>
      <c r="B27" s="41"/>
      <c r="C27" s="41"/>
      <c r="D27" s="41"/>
      <c r="E27" s="41"/>
      <c r="F27" s="41"/>
      <c r="G27" s="41"/>
      <c r="H27" s="41"/>
      <c r="I27" s="41"/>
      <c r="N27" s="159"/>
      <c r="O27" s="159"/>
    </row>
    <row r="28" spans="1:15" ht="18">
      <c r="A28" s="33" t="str">
        <f>HLOOKUP(INDICE!$F$2,Nombres!$C$3:$D$636,51,FALSE)</f>
        <v>Balances</v>
      </c>
      <c r="B28" s="34"/>
      <c r="C28" s="34"/>
      <c r="D28" s="34"/>
      <c r="E28" s="34"/>
      <c r="F28" s="34"/>
      <c r="G28" s="34"/>
      <c r="H28" s="34"/>
      <c r="I28" s="34"/>
      <c r="N28" s="159"/>
      <c r="O28" s="159"/>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10" ht="15">
      <c r="A31" s="43" t="str">
        <f>HLOOKUP(INDICE!$F$2,Nombres!$C$3:$D$636,52,FALSE)</f>
        <v>Efectivo, saldos en efectivo en bancos centrales y otros depósitos a la vista</v>
      </c>
      <c r="B31" s="44">
        <v>8269.488</v>
      </c>
      <c r="C31" s="44">
        <v>8882.579</v>
      </c>
      <c r="D31" s="44">
        <v>9752.209</v>
      </c>
      <c r="E31" s="45">
        <v>7694.839000000001</v>
      </c>
      <c r="F31" s="44">
        <v>7645.817</v>
      </c>
      <c r="G31" s="44">
        <v>8238.399</v>
      </c>
      <c r="H31" s="44">
        <v>0</v>
      </c>
      <c r="I31" s="44">
        <v>0</v>
      </c>
      <c r="J31" s="81"/>
    </row>
    <row r="32" spans="1:10" ht="15">
      <c r="A32" s="43" t="str">
        <f>HLOOKUP(INDICE!$F$2,Nombres!$C$3:$D$636,53,FALSE)</f>
        <v>Activos financieros a valor razonable</v>
      </c>
      <c r="B32" s="58">
        <v>10160.704</v>
      </c>
      <c r="C32" s="58">
        <v>11217.654999999999</v>
      </c>
      <c r="D32" s="58">
        <v>11849.345</v>
      </c>
      <c r="E32" s="64">
        <v>10738.556</v>
      </c>
      <c r="F32" s="44">
        <v>10559.294</v>
      </c>
      <c r="G32" s="44">
        <v>12043.437</v>
      </c>
      <c r="H32" s="44">
        <v>0</v>
      </c>
      <c r="I32" s="44">
        <v>0</v>
      </c>
      <c r="J32" s="81"/>
    </row>
    <row r="33" spans="1:10" ht="15">
      <c r="A33" s="43" t="str">
        <f>HLOOKUP(INDICE!$F$2,Nombres!$C$3:$D$636,54,FALSE)</f>
        <v>Activos financieros a coste amortizado</v>
      </c>
      <c r="B33" s="44">
        <v>40379.396</v>
      </c>
      <c r="C33" s="44">
        <v>43153.240999999995</v>
      </c>
      <c r="D33" s="44">
        <v>44189.292</v>
      </c>
      <c r="E33" s="45">
        <v>40448.375</v>
      </c>
      <c r="F33" s="44">
        <v>41733.51099999999</v>
      </c>
      <c r="G33" s="44">
        <v>44106.899000000005</v>
      </c>
      <c r="H33" s="44">
        <v>0</v>
      </c>
      <c r="I33" s="44">
        <v>0</v>
      </c>
      <c r="J33" s="81"/>
    </row>
    <row r="34" spans="1:10" ht="15">
      <c r="A34" s="43" t="str">
        <f>HLOOKUP(INDICE!$F$2,Nombres!$C$3:$D$636,55,FALSE)</f>
        <v>    de los que préstamos y anticipos a la clientela</v>
      </c>
      <c r="B34" s="44">
        <v>38008.44</v>
      </c>
      <c r="C34" s="44">
        <v>40208.93</v>
      </c>
      <c r="D34" s="44">
        <v>40973.68</v>
      </c>
      <c r="E34" s="45">
        <v>38436.994</v>
      </c>
      <c r="F34" s="44">
        <v>39185.032</v>
      </c>
      <c r="G34" s="44">
        <v>41548.27100000001</v>
      </c>
      <c r="H34" s="44">
        <v>0</v>
      </c>
      <c r="I34" s="44">
        <v>0</v>
      </c>
      <c r="J34" s="81"/>
    </row>
    <row r="35" spans="1:10" ht="15" customHeight="1" hidden="1">
      <c r="A35" s="43"/>
      <c r="B35" s="44"/>
      <c r="C35" s="44"/>
      <c r="D35" s="44"/>
      <c r="E35" s="45"/>
      <c r="F35" s="44"/>
      <c r="G35" s="44"/>
      <c r="H35" s="44"/>
      <c r="I35" s="44"/>
      <c r="J35" s="81"/>
    </row>
    <row r="36" spans="1:10" ht="15">
      <c r="A36" s="43" t="str">
        <f>HLOOKUP(INDICE!$F$2,Nombres!$C$3:$D$636,56,FALSE)</f>
        <v>Activos tangibles</v>
      </c>
      <c r="B36" s="44">
        <v>992.9409999999999</v>
      </c>
      <c r="C36" s="44">
        <v>1099.981</v>
      </c>
      <c r="D36" s="44">
        <v>1177.8210000000001</v>
      </c>
      <c r="E36" s="45">
        <v>1087.7910000000002</v>
      </c>
      <c r="F36" s="44">
        <v>1069.88</v>
      </c>
      <c r="G36" s="44">
        <v>1104.807</v>
      </c>
      <c r="H36" s="44">
        <v>0</v>
      </c>
      <c r="I36" s="44">
        <v>0</v>
      </c>
      <c r="J36" s="81"/>
    </row>
    <row r="37" spans="1:10" ht="15">
      <c r="A37" s="43" t="str">
        <f>HLOOKUP(INDICE!$F$2,Nombres!$C$3:$D$636,57,FALSE)</f>
        <v>Otros activos</v>
      </c>
      <c r="B37" s="58">
        <f aca="true" t="shared" si="5" ref="B37:G37">+B38-B36-B33-B32-B31</f>
        <v>1836.6017084499945</v>
      </c>
      <c r="C37" s="58">
        <f t="shared" si="5"/>
        <v>1976.416111430006</v>
      </c>
      <c r="D37" s="58">
        <f t="shared" si="5"/>
        <v>2075.2930126600004</v>
      </c>
      <c r="E37" s="64">
        <f t="shared" si="5"/>
        <v>1981.2534565900014</v>
      </c>
      <c r="F37" s="44">
        <f t="shared" si="5"/>
        <v>2054.0121032600046</v>
      </c>
      <c r="G37" s="44">
        <f t="shared" si="5"/>
        <v>2047.8171198199816</v>
      </c>
      <c r="H37" s="44">
        <f>+H38-H36-H33-H32-H31</f>
        <v>0</v>
      </c>
      <c r="I37" s="44">
        <f>+I38-I36-I33-I32-I31</f>
        <v>0</v>
      </c>
      <c r="J37" s="81"/>
    </row>
    <row r="38" spans="1:10" ht="15">
      <c r="A38" s="47" t="str">
        <f>HLOOKUP(INDICE!$F$2,Nombres!$C$3:$D$636,58,FALSE)</f>
        <v>Total activo / pasivo</v>
      </c>
      <c r="B38" s="47">
        <v>61639.13070844999</v>
      </c>
      <c r="C38" s="47">
        <v>66329.87211143</v>
      </c>
      <c r="D38" s="47">
        <v>69043.96001266</v>
      </c>
      <c r="E38" s="47">
        <v>61950.81445659</v>
      </c>
      <c r="F38" s="51">
        <v>63062.51410325999</v>
      </c>
      <c r="G38" s="51">
        <v>67541.35911981999</v>
      </c>
      <c r="H38" s="51">
        <v>0</v>
      </c>
      <c r="I38" s="51">
        <v>0</v>
      </c>
      <c r="J38" s="81"/>
    </row>
    <row r="39" spans="1:10" ht="15">
      <c r="A39" s="43" t="str">
        <f>HLOOKUP(INDICE!$F$2,Nombres!$C$3:$D$636,59,FALSE)</f>
        <v>Pasivos financieros mantenidos para negociar y designados a valor razonable con cambios en resultados</v>
      </c>
      <c r="B39" s="58">
        <v>2583.813</v>
      </c>
      <c r="C39" s="58">
        <v>3104.51</v>
      </c>
      <c r="D39" s="58">
        <v>3560.7909999999997</v>
      </c>
      <c r="E39" s="64">
        <v>2813.4749999999995</v>
      </c>
      <c r="F39" s="44">
        <v>2389.8540000000003</v>
      </c>
      <c r="G39" s="44">
        <v>4031.6409999999996</v>
      </c>
      <c r="H39" s="44">
        <v>0</v>
      </c>
      <c r="I39" s="44">
        <v>0</v>
      </c>
      <c r="J39" s="81"/>
    </row>
    <row r="40" spans="1:10" ht="15.75" customHeight="1">
      <c r="A40" s="43" t="str">
        <f>HLOOKUP(INDICE!$F$2,Nombres!$C$3:$D$636,60,FALSE)</f>
        <v>Depósitos de bancos centrales y entidades de crédito</v>
      </c>
      <c r="B40" s="58">
        <v>6513.56600001</v>
      </c>
      <c r="C40" s="58">
        <v>5653.09799999</v>
      </c>
      <c r="D40" s="58">
        <v>6112.710000000001</v>
      </c>
      <c r="E40" s="64">
        <v>5610.171</v>
      </c>
      <c r="F40" s="44">
        <v>5395.4490000000005</v>
      </c>
      <c r="G40" s="44">
        <v>5809.396</v>
      </c>
      <c r="H40" s="44">
        <v>0</v>
      </c>
      <c r="I40" s="44">
        <v>0</v>
      </c>
      <c r="J40" s="81"/>
    </row>
    <row r="41" spans="1:10" ht="15">
      <c r="A41" s="43" t="str">
        <f>HLOOKUP(INDICE!$F$2,Nombres!$C$3:$D$636,61,FALSE)</f>
        <v>Depósitos de la clientela</v>
      </c>
      <c r="B41" s="58">
        <v>38875.17499999</v>
      </c>
      <c r="C41" s="58">
        <v>43314.07300001</v>
      </c>
      <c r="D41" s="58">
        <v>44547.035</v>
      </c>
      <c r="E41" s="64">
        <v>40042.234</v>
      </c>
      <c r="F41" s="44">
        <v>40781.55</v>
      </c>
      <c r="G41" s="44">
        <v>43085.598</v>
      </c>
      <c r="H41" s="44">
        <v>0</v>
      </c>
      <c r="I41" s="44">
        <v>0</v>
      </c>
      <c r="J41" s="81"/>
    </row>
    <row r="42" spans="1:10" ht="15">
      <c r="A42" s="43" t="str">
        <f>HLOOKUP(INDICE!$F$2,Nombres!$C$3:$D$636,62,FALSE)</f>
        <v>Valores representativos de deuda emitidos</v>
      </c>
      <c r="B42" s="44">
        <v>3383.66458862</v>
      </c>
      <c r="C42" s="44">
        <v>3818.33995903</v>
      </c>
      <c r="D42" s="44">
        <v>3278.1200854899994</v>
      </c>
      <c r="E42" s="45">
        <v>2956.3270422799997</v>
      </c>
      <c r="F42" s="44">
        <v>3070.4411996899994</v>
      </c>
      <c r="G42" s="44">
        <v>3211.3943392700003</v>
      </c>
      <c r="H42" s="44">
        <v>0</v>
      </c>
      <c r="I42" s="44">
        <v>0</v>
      </c>
      <c r="J42" s="81"/>
    </row>
    <row r="43" spans="1:10" ht="15" customHeight="1" hidden="1">
      <c r="A43" s="43"/>
      <c r="B43" s="44"/>
      <c r="C43" s="44"/>
      <c r="D43" s="44"/>
      <c r="E43" s="45"/>
      <c r="F43" s="44"/>
      <c r="G43" s="44"/>
      <c r="H43" s="44"/>
      <c r="I43" s="44"/>
      <c r="J43" s="81"/>
    </row>
    <row r="44" spans="1:10" ht="15">
      <c r="A44" s="43" t="str">
        <f>HLOOKUP(INDICE!$F$2,Nombres!$C$3:$D$636,63,FALSE)</f>
        <v>Otros pasivos</v>
      </c>
      <c r="B44" s="58">
        <f aca="true" t="shared" si="6" ref="B44:G44">+B38-B39-B40-B41-B42-B45</f>
        <v>4687.64166705999</v>
      </c>
      <c r="C44" s="58">
        <f t="shared" si="6"/>
        <v>4394.066132869995</v>
      </c>
      <c r="D44" s="58">
        <f>+D38-D39-D40-D41-D42-D45</f>
        <v>5239.9782503299975</v>
      </c>
      <c r="E44" s="64">
        <f t="shared" si="6"/>
        <v>4654.624145960002</v>
      </c>
      <c r="F44" s="44">
        <f t="shared" si="6"/>
        <v>5536.628315459991</v>
      </c>
      <c r="G44" s="44">
        <f t="shared" si="6"/>
        <v>5122.497346589984</v>
      </c>
      <c r="H44" s="44">
        <f>+H38-H39-H40-H41-H42-H45</f>
        <v>0</v>
      </c>
      <c r="I44" s="44">
        <f>+I38-I39-I40-I41-I42-I45</f>
        <v>0</v>
      </c>
      <c r="J44" s="81"/>
    </row>
    <row r="45" spans="1:10" ht="15">
      <c r="A45" s="43" t="str">
        <f>HLOOKUP(INDICE!$F$2,Nombres!$C$3:$D$636,282,FALSE)</f>
        <v>Dotación de capital regulatorio</v>
      </c>
      <c r="B45" s="44">
        <v>5595.270452769999</v>
      </c>
      <c r="C45" s="44">
        <v>6045.78501953</v>
      </c>
      <c r="D45" s="58">
        <v>6305.325676840001</v>
      </c>
      <c r="E45" s="64">
        <v>5873.983268350001</v>
      </c>
      <c r="F45" s="44">
        <v>5888.591588109999</v>
      </c>
      <c r="G45" s="44">
        <v>6280.83243396</v>
      </c>
      <c r="H45" s="44">
        <v>0</v>
      </c>
      <c r="I45" s="44">
        <v>0</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Indicadores relevantes y de gestión</v>
      </c>
      <c r="B48" s="34"/>
      <c r="C48" s="34"/>
      <c r="D48" s="34"/>
      <c r="E48" s="34"/>
      <c r="F48" s="68"/>
      <c r="G48" s="68"/>
      <c r="H48" s="68"/>
      <c r="I48" s="68"/>
      <c r="J48" s="81"/>
    </row>
    <row r="49" spans="1:10" ht="15">
      <c r="A49" s="35" t="str">
        <f>HLOOKUP(INDICE!$F$2,Nombres!$C$3:$D$636,32,FALSE)</f>
        <v>(Millones de euros)</v>
      </c>
      <c r="B49" s="30"/>
      <c r="C49" s="30"/>
      <c r="D49" s="30"/>
      <c r="E49" s="30"/>
      <c r="F49" s="69"/>
      <c r="G49" s="44"/>
      <c r="H49" s="44"/>
      <c r="I49" s="44"/>
      <c r="J49" s="81"/>
    </row>
    <row r="50" spans="1:10" ht="15.75">
      <c r="A50" s="30"/>
      <c r="B50" s="53">
        <f aca="true" t="shared" si="7" ref="B50:G50">+B$30</f>
        <v>44651</v>
      </c>
      <c r="C50" s="53">
        <f t="shared" si="7"/>
        <v>44742</v>
      </c>
      <c r="D50" s="53">
        <f t="shared" si="7"/>
        <v>44834</v>
      </c>
      <c r="E50" s="67">
        <f t="shared" si="7"/>
        <v>44926</v>
      </c>
      <c r="F50" s="53">
        <f t="shared" si="7"/>
        <v>45016</v>
      </c>
      <c r="G50" s="53">
        <f t="shared" si="7"/>
        <v>45107</v>
      </c>
      <c r="H50" s="53">
        <f>+H$30</f>
        <v>45199</v>
      </c>
      <c r="I50" s="53">
        <f>+I$30</f>
        <v>45291</v>
      </c>
      <c r="J50" s="81"/>
    </row>
    <row r="51" spans="1:10" ht="15">
      <c r="A51" s="43" t="str">
        <f>HLOOKUP(INDICE!$F$2,Nombres!$C$3:$D$636,66,FALSE)</f>
        <v>Préstamos y anticipos a la clientela bruto (*)</v>
      </c>
      <c r="B51" s="44">
        <v>39832.729999999996</v>
      </c>
      <c r="C51" s="44">
        <v>42094.554000000004</v>
      </c>
      <c r="D51" s="44">
        <v>42871.12900000001</v>
      </c>
      <c r="E51" s="45">
        <v>40205.166000000005</v>
      </c>
      <c r="F51" s="44">
        <v>41018.973</v>
      </c>
      <c r="G51" s="44">
        <v>43455.298</v>
      </c>
      <c r="H51" s="44">
        <v>0</v>
      </c>
      <c r="I51" s="44">
        <v>0</v>
      </c>
      <c r="J51" s="81"/>
    </row>
    <row r="52" spans="1:10" ht="15">
      <c r="A52" s="43" t="str">
        <f>HLOOKUP(INDICE!$F$2,Nombres!$C$3:$D$636,67,FALSE)</f>
        <v>Depósitos de clientes en gestión (**)</v>
      </c>
      <c r="B52" s="44">
        <v>38875.174999990006</v>
      </c>
      <c r="C52" s="44">
        <v>43314.073000009994</v>
      </c>
      <c r="D52" s="44">
        <v>44547.035</v>
      </c>
      <c r="E52" s="45">
        <v>40042.234</v>
      </c>
      <c r="F52" s="44">
        <v>40781.549999999996</v>
      </c>
      <c r="G52" s="44">
        <v>43085.598</v>
      </c>
      <c r="H52" s="44">
        <v>0</v>
      </c>
      <c r="I52" s="44">
        <v>0</v>
      </c>
      <c r="J52" s="81"/>
    </row>
    <row r="53" spans="1:10" ht="15">
      <c r="A53" s="43" t="str">
        <f>HLOOKUP(INDICE!$F$2,Nombres!$C$3:$D$636,68,FALSE)</f>
        <v>Fondos de inversión y carteras gestionadas</v>
      </c>
      <c r="B53" s="44">
        <v>6100.543357240001</v>
      </c>
      <c r="C53" s="44">
        <v>5744.49304466</v>
      </c>
      <c r="D53" s="44">
        <v>6143.737032859998</v>
      </c>
      <c r="E53" s="45">
        <v>5804.15867674</v>
      </c>
      <c r="F53" s="44">
        <v>6180.335767650001</v>
      </c>
      <c r="G53" s="44">
        <v>5925.125525009999</v>
      </c>
      <c r="H53" s="44">
        <v>0</v>
      </c>
      <c r="I53" s="44">
        <v>0</v>
      </c>
      <c r="J53" s="81"/>
    </row>
    <row r="54" spans="1:10" ht="15">
      <c r="A54" s="43" t="str">
        <f>HLOOKUP(INDICE!$F$2,Nombres!$C$3:$D$636,69,FALSE)</f>
        <v>Fondos de pensiones</v>
      </c>
      <c r="B54" s="44">
        <v>10877.21268134</v>
      </c>
      <c r="C54" s="44">
        <v>11766.86765503</v>
      </c>
      <c r="D54" s="44">
        <v>12831.88276355</v>
      </c>
      <c r="E54" s="45">
        <v>11955.83686405</v>
      </c>
      <c r="F54" s="44">
        <v>11790.91146365</v>
      </c>
      <c r="G54" s="44">
        <v>0</v>
      </c>
      <c r="H54" s="44">
        <v>0</v>
      </c>
      <c r="I54" s="44">
        <v>0</v>
      </c>
      <c r="J54" s="81"/>
    </row>
    <row r="55" spans="1:10" ht="15">
      <c r="A55" s="43" t="str">
        <f>HLOOKUP(INDICE!$F$2,Nombres!$C$3:$D$636,70,FALSE)</f>
        <v>Otros recursos fuera de balance</v>
      </c>
      <c r="B55" s="44">
        <v>0</v>
      </c>
      <c r="C55" s="44">
        <v>0</v>
      </c>
      <c r="D55" s="44">
        <v>0</v>
      </c>
      <c r="E55" s="45">
        <v>0</v>
      </c>
      <c r="F55" s="44">
        <v>0</v>
      </c>
      <c r="G55" s="44">
        <v>0</v>
      </c>
      <c r="H55" s="44">
        <v>0</v>
      </c>
      <c r="I55" s="44">
        <v>0</v>
      </c>
      <c r="J55" s="81"/>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 aca="true" t="shared" si="8" ref="B63:I63">+B$7</f>
        <v>1er Trim.</v>
      </c>
      <c r="C63" s="39" t="str">
        <f t="shared" si="8"/>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631.0455567726622</v>
      </c>
      <c r="C64" s="41">
        <v>800.4941521987712</v>
      </c>
      <c r="D64" s="41">
        <v>1012.0916883267472</v>
      </c>
      <c r="E64" s="42">
        <v>1153.8527235787012</v>
      </c>
      <c r="F64" s="50">
        <v>1093.2871021261117</v>
      </c>
      <c r="G64" s="50">
        <v>1409.5160077338887</v>
      </c>
      <c r="H64" s="50">
        <v>0</v>
      </c>
      <c r="I64" s="50">
        <v>0</v>
      </c>
    </row>
    <row r="65" spans="1:9" ht="15">
      <c r="A65" s="43" t="str">
        <f>HLOOKUP(INDICE!$F$2,Nombres!$C$3:$D$636,34,FALSE)</f>
        <v>Comisiones netas</v>
      </c>
      <c r="B65" s="44">
        <v>147.50659414802496</v>
      </c>
      <c r="C65" s="44">
        <v>179.63210223996722</v>
      </c>
      <c r="D65" s="44">
        <v>183.6614892906108</v>
      </c>
      <c r="E65" s="45">
        <v>196.16083999897194</v>
      </c>
      <c r="F65" s="44">
        <v>176.78970596778782</v>
      </c>
      <c r="G65" s="44">
        <v>234.40420960221218</v>
      </c>
      <c r="H65" s="44">
        <v>0</v>
      </c>
      <c r="I65" s="44">
        <v>0</v>
      </c>
    </row>
    <row r="66" spans="1:9" ht="15">
      <c r="A66" s="43" t="str">
        <f>HLOOKUP(INDICE!$F$2,Nombres!$C$3:$D$636,35,FALSE)</f>
        <v>Resultados de operaciones financieras</v>
      </c>
      <c r="B66" s="44">
        <v>74.10620233240826</v>
      </c>
      <c r="C66" s="44">
        <v>94.30386360480504</v>
      </c>
      <c r="D66" s="44">
        <v>129.46737315777017</v>
      </c>
      <c r="E66" s="45">
        <v>106.68656289185554</v>
      </c>
      <c r="F66" s="44">
        <v>122.24379097702905</v>
      </c>
      <c r="G66" s="44">
        <v>145.68687205297098</v>
      </c>
      <c r="H66" s="44">
        <v>0</v>
      </c>
      <c r="I66" s="44">
        <v>0</v>
      </c>
    </row>
    <row r="67" spans="1:9" ht="15">
      <c r="A67" s="43" t="str">
        <f>HLOOKUP(INDICE!$F$2,Nombres!$C$3:$D$636,36,FALSE)</f>
        <v>Otros ingresos y cargas de explotación</v>
      </c>
      <c r="B67" s="44">
        <v>-171.75582213171126</v>
      </c>
      <c r="C67" s="44">
        <v>-252.77485974374838</v>
      </c>
      <c r="D67" s="44">
        <v>-356.41212521680586</v>
      </c>
      <c r="E67" s="45">
        <v>-256.76896265789026</v>
      </c>
      <c r="F67" s="44">
        <v>-314.0060834944335</v>
      </c>
      <c r="G67" s="44">
        <v>-452.9959165055666</v>
      </c>
      <c r="H67" s="44">
        <v>0</v>
      </c>
      <c r="I67" s="44">
        <v>0</v>
      </c>
    </row>
    <row r="68" spans="1:9" ht="15">
      <c r="A68" s="41" t="str">
        <f>HLOOKUP(INDICE!$F$2,Nombres!$C$3:$D$636,37,FALSE)</f>
        <v>Margen bruto</v>
      </c>
      <c r="B68" s="41">
        <f aca="true" t="shared" si="9" ref="B68:I68">+SUM(B64:B67)</f>
        <v>680.9025311213841</v>
      </c>
      <c r="C68" s="41">
        <f t="shared" si="9"/>
        <v>821.655258299795</v>
      </c>
      <c r="D68" s="41">
        <f t="shared" si="9"/>
        <v>968.8084255583224</v>
      </c>
      <c r="E68" s="42">
        <f t="shared" si="9"/>
        <v>1199.9311638116387</v>
      </c>
      <c r="F68" s="50">
        <f t="shared" si="9"/>
        <v>1078.314515576495</v>
      </c>
      <c r="G68" s="50">
        <f t="shared" si="9"/>
        <v>1336.6111728835053</v>
      </c>
      <c r="H68" s="50">
        <f t="shared" si="9"/>
        <v>0</v>
      </c>
      <c r="I68" s="50">
        <f t="shared" si="9"/>
        <v>0</v>
      </c>
    </row>
    <row r="69" spans="1:9" ht="15">
      <c r="A69" s="43" t="str">
        <f>HLOOKUP(INDICE!$F$2,Nombres!$C$3:$D$636,38,FALSE)</f>
        <v>Gastos de explotación</v>
      </c>
      <c r="B69" s="44">
        <v>-336.5297408948081</v>
      </c>
      <c r="C69" s="44">
        <v>-407.26670242673526</v>
      </c>
      <c r="D69" s="44">
        <v>-494.67078126979743</v>
      </c>
      <c r="E69" s="45">
        <v>-529.9409431565048</v>
      </c>
      <c r="F69" s="44">
        <v>-503.5416759005311</v>
      </c>
      <c r="G69" s="44">
        <v>-579.260282979469</v>
      </c>
      <c r="H69" s="44">
        <v>0</v>
      </c>
      <c r="I69" s="44">
        <v>0</v>
      </c>
    </row>
    <row r="70" spans="1:9" ht="15">
      <c r="A70" s="43" t="str">
        <f>HLOOKUP(INDICE!$F$2,Nombres!$C$3:$D$636,39,FALSE)</f>
        <v>  Gastos de administración</v>
      </c>
      <c r="B70" s="44">
        <v>-304.16166616210626</v>
      </c>
      <c r="C70" s="44">
        <v>-363.04667229581105</v>
      </c>
      <c r="D70" s="44">
        <v>-450.29715847300304</v>
      </c>
      <c r="E70" s="45">
        <v>-488.29521425812516</v>
      </c>
      <c r="F70" s="44">
        <v>-460.9962068056127</v>
      </c>
      <c r="G70" s="44">
        <v>-532.7757520743874</v>
      </c>
      <c r="H70" s="44">
        <v>0</v>
      </c>
      <c r="I70" s="44">
        <v>0</v>
      </c>
    </row>
    <row r="71" spans="1:9" ht="15">
      <c r="A71" s="46" t="str">
        <f>HLOOKUP(INDICE!$F$2,Nombres!$C$3:$D$636,40,FALSE)</f>
        <v>  Gastos de personal</v>
      </c>
      <c r="B71" s="44">
        <v>-161.3607926130636</v>
      </c>
      <c r="C71" s="44">
        <v>-192.60456339977705</v>
      </c>
      <c r="D71" s="44">
        <v>-230.14212563113404</v>
      </c>
      <c r="E71" s="45">
        <v>-255.94195451686292</v>
      </c>
      <c r="F71" s="44">
        <v>-236.24107600100052</v>
      </c>
      <c r="G71" s="44">
        <v>-268.99922020899953</v>
      </c>
      <c r="H71" s="44">
        <v>0</v>
      </c>
      <c r="I71" s="44">
        <v>0</v>
      </c>
    </row>
    <row r="72" spans="1:9" ht="15">
      <c r="A72" s="46" t="str">
        <f>HLOOKUP(INDICE!$F$2,Nombres!$C$3:$D$636,41,FALSE)</f>
        <v>  Otros gastos de administración</v>
      </c>
      <c r="B72" s="44">
        <v>-142.8008735490426</v>
      </c>
      <c r="C72" s="44">
        <v>-170.442108896034</v>
      </c>
      <c r="D72" s="44">
        <v>-220.155032841869</v>
      </c>
      <c r="E72" s="45">
        <v>-232.35325974126224</v>
      </c>
      <c r="F72" s="44">
        <v>-224.75513080461218</v>
      </c>
      <c r="G72" s="44">
        <v>-263.7765318653878</v>
      </c>
      <c r="H72" s="44">
        <v>0</v>
      </c>
      <c r="I72" s="44">
        <v>0</v>
      </c>
    </row>
    <row r="73" spans="1:9" ht="15">
      <c r="A73" s="43" t="str">
        <f>HLOOKUP(INDICE!$F$2,Nombres!$C$3:$D$636,42,FALSE)</f>
        <v>  Amortización</v>
      </c>
      <c r="B73" s="44">
        <v>-32.3680747327019</v>
      </c>
      <c r="C73" s="44">
        <v>-44.2200301309242</v>
      </c>
      <c r="D73" s="44">
        <v>-44.37362279679437</v>
      </c>
      <c r="E73" s="45">
        <v>-41.64572889837957</v>
      </c>
      <c r="F73" s="44">
        <v>-42.54546909491836</v>
      </c>
      <c r="G73" s="44">
        <v>-46.48453090508164</v>
      </c>
      <c r="H73" s="44">
        <v>0</v>
      </c>
      <c r="I73" s="44">
        <v>0</v>
      </c>
    </row>
    <row r="74" spans="1:9" ht="15">
      <c r="A74" s="41" t="str">
        <f>HLOOKUP(INDICE!$F$2,Nombres!$C$3:$D$636,43,FALSE)</f>
        <v>Margen neto</v>
      </c>
      <c r="B74" s="41">
        <f aca="true" t="shared" si="10" ref="B74:I74">+B68+B69</f>
        <v>344.37279022657594</v>
      </c>
      <c r="C74" s="41">
        <f t="shared" si="10"/>
        <v>414.3885558730598</v>
      </c>
      <c r="D74" s="41">
        <f t="shared" si="10"/>
        <v>474.13764428852494</v>
      </c>
      <c r="E74" s="42">
        <f t="shared" si="10"/>
        <v>669.990220655134</v>
      </c>
      <c r="F74" s="50">
        <f t="shared" si="10"/>
        <v>574.772839675964</v>
      </c>
      <c r="G74" s="50">
        <f t="shared" si="10"/>
        <v>757.3508899040363</v>
      </c>
      <c r="H74" s="50">
        <f t="shared" si="10"/>
        <v>0</v>
      </c>
      <c r="I74" s="50">
        <f t="shared" si="10"/>
        <v>0</v>
      </c>
    </row>
    <row r="75" spans="1:9" ht="15">
      <c r="A75" s="43" t="str">
        <f>HLOOKUP(INDICE!$F$2,Nombres!$C$3:$D$636,44,FALSE)</f>
        <v>Deterioro de activos financieros no valorados a valor razonable con cambios en resultados</v>
      </c>
      <c r="B75" s="44">
        <v>-111.80199864084176</v>
      </c>
      <c r="C75" s="44">
        <v>-117.50877271368974</v>
      </c>
      <c r="D75" s="44">
        <v>-187.54983258407907</v>
      </c>
      <c r="E75" s="45">
        <v>-280.8761596950212</v>
      </c>
      <c r="F75" s="44">
        <v>-221.339431769795</v>
      </c>
      <c r="G75" s="44">
        <v>-317.3675682302051</v>
      </c>
      <c r="H75" s="44">
        <v>0</v>
      </c>
      <c r="I75" s="44">
        <v>0</v>
      </c>
    </row>
    <row r="76" spans="1:9" ht="15">
      <c r="A76" s="43" t="str">
        <f>HLOOKUP(INDICE!$F$2,Nombres!$C$3:$D$636,45,FALSE)</f>
        <v>Provisiones o reversión de provisiones y otros resultados</v>
      </c>
      <c r="B76" s="44">
        <v>-13.998507708603825</v>
      </c>
      <c r="C76" s="44">
        <v>-18.45239221034534</v>
      </c>
      <c r="D76" s="44">
        <v>-21.223243660556964</v>
      </c>
      <c r="E76" s="45">
        <v>-29.139429032242006</v>
      </c>
      <c r="F76" s="44">
        <v>-7.69735940669352</v>
      </c>
      <c r="G76" s="44">
        <v>-5.516550583306478</v>
      </c>
      <c r="H76" s="44">
        <v>0</v>
      </c>
      <c r="I76" s="44">
        <v>0</v>
      </c>
    </row>
    <row r="77" spans="1:9" ht="15">
      <c r="A77" s="41" t="str">
        <f>HLOOKUP(INDICE!$F$2,Nombres!$C$3:$D$636,46,FALSE)</f>
        <v>Resultado antes de impuestos</v>
      </c>
      <c r="B77" s="41">
        <f aca="true" t="shared" si="11" ref="B77:I77">+B74+B75+B76</f>
        <v>218.57228387713036</v>
      </c>
      <c r="C77" s="41">
        <f t="shared" si="11"/>
        <v>278.4273909490247</v>
      </c>
      <c r="D77" s="41">
        <f t="shared" si="11"/>
        <v>265.3645680438889</v>
      </c>
      <c r="E77" s="42">
        <f t="shared" si="11"/>
        <v>359.97463192787075</v>
      </c>
      <c r="F77" s="50">
        <f t="shared" si="11"/>
        <v>345.73604849947543</v>
      </c>
      <c r="G77" s="50">
        <f t="shared" si="11"/>
        <v>434.46677109052473</v>
      </c>
      <c r="H77" s="50">
        <f t="shared" si="11"/>
        <v>0</v>
      </c>
      <c r="I77" s="50">
        <f t="shared" si="11"/>
        <v>0</v>
      </c>
    </row>
    <row r="78" spans="1:9" ht="15">
      <c r="A78" s="43" t="str">
        <f>HLOOKUP(INDICE!$F$2,Nombres!$C$3:$D$636,47,FALSE)</f>
        <v>Impuesto sobre beneficios</v>
      </c>
      <c r="B78" s="44">
        <v>-59.955440094954305</v>
      </c>
      <c r="C78" s="44">
        <v>-1.1201937945346216</v>
      </c>
      <c r="D78" s="44">
        <v>-48.93649236184494</v>
      </c>
      <c r="E78" s="45">
        <v>-130.96646096851498</v>
      </c>
      <c r="F78" s="44">
        <v>-102.53306449219208</v>
      </c>
      <c r="G78" s="44">
        <v>-125.56362879780792</v>
      </c>
      <c r="H78" s="44">
        <v>0</v>
      </c>
      <c r="I78" s="44">
        <v>0</v>
      </c>
    </row>
    <row r="79" spans="1:9" ht="15">
      <c r="A79" s="41" t="str">
        <f>HLOOKUP(INDICE!$F$2,Nombres!$C$3:$D$636,48,FALSE)</f>
        <v>Resultado del ejercicio</v>
      </c>
      <c r="B79" s="41">
        <f aca="true" t="shared" si="12" ref="B79:I79">+B77+B78</f>
        <v>158.61684378217606</v>
      </c>
      <c r="C79" s="41">
        <f t="shared" si="12"/>
        <v>277.3071971544901</v>
      </c>
      <c r="D79" s="41">
        <f t="shared" si="12"/>
        <v>216.42807568204393</v>
      </c>
      <c r="E79" s="42">
        <f t="shared" si="12"/>
        <v>229.00817095935577</v>
      </c>
      <c r="F79" s="50">
        <f t="shared" si="12"/>
        <v>243.20298400728336</v>
      </c>
      <c r="G79" s="50">
        <f t="shared" si="12"/>
        <v>308.9031422927168</v>
      </c>
      <c r="H79" s="50">
        <f t="shared" si="12"/>
        <v>0</v>
      </c>
      <c r="I79" s="50">
        <f t="shared" si="12"/>
        <v>0</v>
      </c>
    </row>
    <row r="80" spans="1:9" ht="15">
      <c r="A80" s="43" t="str">
        <f>HLOOKUP(INDICE!$F$2,Nombres!$C$3:$D$636,49,FALSE)</f>
        <v>Minoritarios</v>
      </c>
      <c r="B80" s="44">
        <v>-47.728374029273375</v>
      </c>
      <c r="C80" s="44">
        <v>-89.02252593046059</v>
      </c>
      <c r="D80" s="44">
        <v>-70.27139964564955</v>
      </c>
      <c r="E80" s="45">
        <v>-81.67544146399118</v>
      </c>
      <c r="F80" s="44">
        <v>-85.41245642016702</v>
      </c>
      <c r="G80" s="44">
        <v>-99.94347588983295</v>
      </c>
      <c r="H80" s="44">
        <v>0</v>
      </c>
      <c r="I80" s="44">
        <v>0</v>
      </c>
    </row>
    <row r="81" spans="1:9" ht="15">
      <c r="A81" s="47" t="str">
        <f>HLOOKUP(INDICE!$F$2,Nombres!$C$3:$D$636,50,FALSE)</f>
        <v>Resultado atribuido</v>
      </c>
      <c r="B81" s="47">
        <f aca="true" t="shared" si="13" ref="B81:I81">+B79+B80</f>
        <v>110.8884697529027</v>
      </c>
      <c r="C81" s="47">
        <f t="shared" si="13"/>
        <v>188.28467122402952</v>
      </c>
      <c r="D81" s="47">
        <f t="shared" si="13"/>
        <v>146.15667603639437</v>
      </c>
      <c r="E81" s="47">
        <f t="shared" si="13"/>
        <v>147.3327294953646</v>
      </c>
      <c r="F81" s="51">
        <f t="shared" si="13"/>
        <v>157.79052758711634</v>
      </c>
      <c r="G81" s="51">
        <f t="shared" si="13"/>
        <v>208.95966640288384</v>
      </c>
      <c r="H81" s="51">
        <f t="shared" si="13"/>
        <v>0</v>
      </c>
      <c r="I81" s="51">
        <f t="shared" si="13"/>
        <v>0</v>
      </c>
    </row>
    <row r="82" spans="1:9" ht="15">
      <c r="A82" s="62"/>
      <c r="B82" s="63">
        <v>0</v>
      </c>
      <c r="C82" s="63">
        <v>0</v>
      </c>
      <c r="D82" s="63">
        <v>0</v>
      </c>
      <c r="E82" s="63">
        <v>3.126388037344441E-13</v>
      </c>
      <c r="F82" s="63">
        <v>0</v>
      </c>
      <c r="G82" s="63">
        <v>0</v>
      </c>
      <c r="H82" s="63">
        <v>0</v>
      </c>
      <c r="I82" s="63">
        <v>0</v>
      </c>
    </row>
    <row r="83" spans="1:15" ht="15">
      <c r="A83" s="41"/>
      <c r="B83" s="41"/>
      <c r="C83" s="41"/>
      <c r="D83" s="41"/>
      <c r="E83" s="41"/>
      <c r="F83" s="50"/>
      <c r="G83" s="50"/>
      <c r="H83" s="50"/>
      <c r="I83" s="50"/>
      <c r="N83" s="159"/>
      <c r="O83" s="159"/>
    </row>
    <row r="84" spans="1:15" ht="18">
      <c r="A84" s="33" t="str">
        <f>HLOOKUP(INDICE!$F$2,Nombres!$C$3:$D$636,51,FALSE)</f>
        <v>Balances</v>
      </c>
      <c r="B84" s="34"/>
      <c r="C84" s="34"/>
      <c r="D84" s="34"/>
      <c r="E84" s="34"/>
      <c r="F84" s="68"/>
      <c r="G84" s="68"/>
      <c r="H84" s="68"/>
      <c r="I84" s="68"/>
      <c r="N84" s="159"/>
      <c r="O84" s="159"/>
    </row>
    <row r="85" spans="1:15" ht="15">
      <c r="A85" s="35" t="str">
        <f>HLOOKUP(INDICE!$F$2,Nombres!$C$3:$D$636,73,FALSE)</f>
        <v>(Millones de euros constantes)</v>
      </c>
      <c r="B85" s="30"/>
      <c r="C85" s="52"/>
      <c r="D85" s="52"/>
      <c r="E85" s="52"/>
      <c r="F85" s="69"/>
      <c r="G85" s="44"/>
      <c r="H85" s="44"/>
      <c r="I85" s="44"/>
      <c r="N85" s="159"/>
      <c r="O85" s="159"/>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43" t="str">
        <f>HLOOKUP(INDICE!$F$2,Nombres!$C$3:$D$636,52,FALSE)</f>
        <v>Efectivo, saldos en efectivo en bancos centrales y otros depósitos a la vista</v>
      </c>
      <c r="B87" s="44">
        <v>7460.051837875797</v>
      </c>
      <c r="C87" s="44">
        <v>7961.017863571797</v>
      </c>
      <c r="D87" s="44">
        <v>8900.79020324236</v>
      </c>
      <c r="E87" s="45">
        <v>7534.2878864150425</v>
      </c>
      <c r="F87" s="44">
        <v>7653.045647948112</v>
      </c>
      <c r="G87" s="44">
        <v>8238.399</v>
      </c>
      <c r="H87" s="44">
        <v>0</v>
      </c>
      <c r="I87" s="44">
        <v>0</v>
      </c>
    </row>
    <row r="88" spans="1:9" ht="15">
      <c r="A88" s="43" t="str">
        <f>HLOOKUP(INDICE!$F$2,Nombres!$C$3:$D$636,53,FALSE)</f>
        <v>Activos financieros a valor razonable</v>
      </c>
      <c r="B88" s="58">
        <v>8517.222460860954</v>
      </c>
      <c r="C88" s="58">
        <v>9206.835898335674</v>
      </c>
      <c r="D88" s="58">
        <v>9852.552715445803</v>
      </c>
      <c r="E88" s="64">
        <v>10135.857607725204</v>
      </c>
      <c r="F88" s="44">
        <v>10458.839364776006</v>
      </c>
      <c r="G88" s="44">
        <v>12043.437</v>
      </c>
      <c r="H88" s="44">
        <v>0</v>
      </c>
      <c r="I88" s="44">
        <v>0</v>
      </c>
    </row>
    <row r="89" spans="1:9" ht="15">
      <c r="A89" s="43" t="str">
        <f>HLOOKUP(INDICE!$F$2,Nombres!$C$3:$D$636,54,FALSE)</f>
        <v>Activos financieros a coste amortizado</v>
      </c>
      <c r="B89" s="44">
        <v>37716.68456015023</v>
      </c>
      <c r="C89" s="44">
        <v>39527.55046441153</v>
      </c>
      <c r="D89" s="44">
        <v>41031.58493958574</v>
      </c>
      <c r="E89" s="45">
        <v>41474.67946819535</v>
      </c>
      <c r="F89" s="44">
        <v>43077.988069396946</v>
      </c>
      <c r="G89" s="44">
        <v>44106.899000000005</v>
      </c>
      <c r="H89" s="44">
        <v>0</v>
      </c>
      <c r="I89" s="44">
        <v>0</v>
      </c>
    </row>
    <row r="90" spans="1:9" ht="15">
      <c r="A90" s="43" t="str">
        <f>HLOOKUP(INDICE!$F$2,Nombres!$C$3:$D$636,55,FALSE)</f>
        <v>    de los que préstamos y anticipos a la clientela</v>
      </c>
      <c r="B90" s="44">
        <v>35902.25542671019</v>
      </c>
      <c r="C90" s="44">
        <v>37329.04069747489</v>
      </c>
      <c r="D90" s="44">
        <v>38398.999024661265</v>
      </c>
      <c r="E90" s="45">
        <v>39577.31964366685</v>
      </c>
      <c r="F90" s="44">
        <v>40611.41032176948</v>
      </c>
      <c r="G90" s="44">
        <v>41548.27100000001</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917.6282151062152</v>
      </c>
      <c r="C92" s="44">
        <v>1000.723485240128</v>
      </c>
      <c r="D92" s="44">
        <v>1075.4189363603743</v>
      </c>
      <c r="E92" s="45">
        <v>1055.4739440189749</v>
      </c>
      <c r="F92" s="44">
        <v>1066.6541579601785</v>
      </c>
      <c r="G92" s="44">
        <v>1104.807</v>
      </c>
      <c r="H92" s="44">
        <v>0</v>
      </c>
      <c r="I92" s="44">
        <v>0</v>
      </c>
    </row>
    <row r="93" spans="1:9" ht="15">
      <c r="A93" s="43" t="str">
        <f>HLOOKUP(INDICE!$F$2,Nombres!$C$3:$D$636,57,FALSE)</f>
        <v>Otros activos</v>
      </c>
      <c r="B93" s="58">
        <f aca="true" t="shared" si="15" ref="B93:I93">+B94-B92-B89-B88-B87</f>
        <v>1650.5647980594094</v>
      </c>
      <c r="C93" s="58">
        <f t="shared" si="15"/>
        <v>1801.0499458782142</v>
      </c>
      <c r="D93" s="58">
        <f t="shared" si="15"/>
        <v>1938.5309282491344</v>
      </c>
      <c r="E93" s="64">
        <f t="shared" si="15"/>
        <v>2009.2857691890986</v>
      </c>
      <c r="F93" s="44">
        <f t="shared" si="15"/>
        <v>2078.303250664968</v>
      </c>
      <c r="G93" s="44">
        <f t="shared" si="15"/>
        <v>2047.8171198199816</v>
      </c>
      <c r="H93" s="44">
        <f t="shared" si="15"/>
        <v>0</v>
      </c>
      <c r="I93" s="44">
        <f t="shared" si="15"/>
        <v>0</v>
      </c>
    </row>
    <row r="94" spans="1:9" ht="15">
      <c r="A94" s="47" t="str">
        <f>HLOOKUP(INDICE!$F$2,Nombres!$C$3:$D$636,58,FALSE)</f>
        <v>Total activo / pasivo</v>
      </c>
      <c r="B94" s="47">
        <v>56262.15187205261</v>
      </c>
      <c r="C94" s="47">
        <v>59497.17765743734</v>
      </c>
      <c r="D94" s="47">
        <v>62798.87772288341</v>
      </c>
      <c r="E94" s="47">
        <v>62209.584675543665</v>
      </c>
      <c r="F94" s="51">
        <v>64334.83049074621</v>
      </c>
      <c r="G94" s="51">
        <v>67541.35911981999</v>
      </c>
      <c r="H94" s="51">
        <v>0</v>
      </c>
      <c r="I94" s="51">
        <v>0</v>
      </c>
    </row>
    <row r="95" spans="1:9" ht="15">
      <c r="A95" s="43" t="str">
        <f>HLOOKUP(INDICE!$F$2,Nombres!$C$3:$D$636,59,FALSE)</f>
        <v>Pasivos financieros mantenidos para negociar y designados a valor razonable con cambios en resultados</v>
      </c>
      <c r="B95" s="58">
        <v>2414.791550783351</v>
      </c>
      <c r="C95" s="58">
        <v>2944.3309184961</v>
      </c>
      <c r="D95" s="58">
        <v>3458.015226719963</v>
      </c>
      <c r="E95" s="64">
        <v>3132.2084961176165</v>
      </c>
      <c r="F95" s="44">
        <v>2615.4737903751575</v>
      </c>
      <c r="G95" s="44">
        <v>4031.6409999999996</v>
      </c>
      <c r="H95" s="44">
        <v>0</v>
      </c>
      <c r="I95" s="44">
        <v>0</v>
      </c>
    </row>
    <row r="96" spans="1:9" ht="15">
      <c r="A96" s="43" t="str">
        <f>HLOOKUP(INDICE!$F$2,Nombres!$C$3:$D$636,60,FALSE)</f>
        <v>Depósitos de bancos centrales y entidades de crédito</v>
      </c>
      <c r="B96" s="58">
        <v>6513.959338391924</v>
      </c>
      <c r="C96" s="58">
        <v>5554.692528700172</v>
      </c>
      <c r="D96" s="58">
        <v>6014.474487271455</v>
      </c>
      <c r="E96" s="64">
        <v>5883.236503194228</v>
      </c>
      <c r="F96" s="44">
        <v>5592.811013598211</v>
      </c>
      <c r="G96" s="44">
        <v>5809.396</v>
      </c>
      <c r="H96" s="44">
        <v>0</v>
      </c>
      <c r="I96" s="44">
        <v>0</v>
      </c>
    </row>
    <row r="97" spans="1:9" ht="15">
      <c r="A97" s="43" t="str">
        <f>HLOOKUP(INDICE!$F$2,Nombres!$C$3:$D$636,61,FALSE)</f>
        <v>Depósitos de la clientela</v>
      </c>
      <c r="B97" s="58">
        <v>35188.649569339876</v>
      </c>
      <c r="C97" s="58">
        <v>38377.644771412335</v>
      </c>
      <c r="D97" s="58">
        <v>40173.928958804856</v>
      </c>
      <c r="E97" s="64">
        <v>40050.24918798726</v>
      </c>
      <c r="F97" s="44">
        <v>41679.996012205505</v>
      </c>
      <c r="G97" s="44">
        <v>43085.598</v>
      </c>
      <c r="H97" s="44">
        <v>0</v>
      </c>
      <c r="I97" s="44">
        <v>0</v>
      </c>
    </row>
    <row r="98" spans="1:9" ht="15">
      <c r="A98" s="43" t="str">
        <f>HLOOKUP(INDICE!$F$2,Nombres!$C$3:$D$636,62,FALSE)</f>
        <v>Valores representativos de deuda emitidos</v>
      </c>
      <c r="B98" s="44">
        <v>3236.2212226632714</v>
      </c>
      <c r="C98" s="44">
        <v>3691.1951459379966</v>
      </c>
      <c r="D98" s="44">
        <v>3150.0155564790007</v>
      </c>
      <c r="E98" s="45">
        <v>3048.8488034058387</v>
      </c>
      <c r="F98" s="44">
        <v>3119.196615274603</v>
      </c>
      <c r="G98" s="44">
        <v>3211.3943392700003</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 aca="true" t="shared" si="16" ref="B100:I100">+B94-B95-B96-B97-B98-B101</f>
        <v>3812.5421865668122</v>
      </c>
      <c r="C100" s="58">
        <f t="shared" si="16"/>
        <v>3482.6462975792874</v>
      </c>
      <c r="D100" s="58">
        <f t="shared" si="16"/>
        <v>4266.984963554793</v>
      </c>
      <c r="E100" s="64">
        <f t="shared" si="16"/>
        <v>4190.338438769926</v>
      </c>
      <c r="F100" s="44">
        <f t="shared" si="16"/>
        <v>5343.390813162315</v>
      </c>
      <c r="G100" s="44">
        <f t="shared" si="16"/>
        <v>5122.497346589984</v>
      </c>
      <c r="H100" s="44">
        <f t="shared" si="16"/>
        <v>0</v>
      </c>
      <c r="I100" s="44">
        <f t="shared" si="16"/>
        <v>0</v>
      </c>
    </row>
    <row r="101" spans="1:9" ht="15">
      <c r="A101" s="43" t="str">
        <f>HLOOKUP(INDICE!$F$2,Nombres!$C$3:$D$636,282,FALSE)</f>
        <v>Dotación de capital regulatorio</v>
      </c>
      <c r="B101" s="58">
        <v>5095.988004307368</v>
      </c>
      <c r="C101" s="58">
        <v>5446.667995311449</v>
      </c>
      <c r="D101" s="58">
        <v>5735.458530053349</v>
      </c>
      <c r="E101" s="64">
        <v>5904.7032460687915</v>
      </c>
      <c r="F101" s="44">
        <v>5983.9622461304125</v>
      </c>
      <c r="G101" s="44">
        <v>6280.83243396</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43" t="str">
        <f>HLOOKUP(INDICE!$F$2,Nombres!$C$3:$D$636,66,FALSE)</f>
        <v>Préstamos y anticipos a la clientela bruto (*)</v>
      </c>
      <c r="B107" s="44">
        <v>37649.34158883797</v>
      </c>
      <c r="C107" s="44">
        <v>39120.9992047331</v>
      </c>
      <c r="D107" s="44">
        <v>40211.390587207425</v>
      </c>
      <c r="E107" s="45">
        <v>41423.14428277946</v>
      </c>
      <c r="F107" s="44">
        <v>42526.03348669261</v>
      </c>
      <c r="G107" s="44">
        <v>43455.298</v>
      </c>
      <c r="H107" s="44">
        <v>0</v>
      </c>
      <c r="I107" s="44">
        <v>0</v>
      </c>
    </row>
    <row r="108" spans="1:9" ht="15">
      <c r="A108" s="43" t="str">
        <f>HLOOKUP(INDICE!$F$2,Nombres!$C$3:$D$636,67,FALSE)</f>
        <v>Depósitos de clientes en gestión (**)</v>
      </c>
      <c r="B108" s="44">
        <v>35188.649569339876</v>
      </c>
      <c r="C108" s="44">
        <v>38377.644771412335</v>
      </c>
      <c r="D108" s="44">
        <v>40173.92895880485</v>
      </c>
      <c r="E108" s="45">
        <v>40050.249187987254</v>
      </c>
      <c r="F108" s="44">
        <v>41679.996012205505</v>
      </c>
      <c r="G108" s="44">
        <v>43085.598</v>
      </c>
      <c r="H108" s="44">
        <v>0</v>
      </c>
      <c r="I108" s="44">
        <v>0</v>
      </c>
    </row>
    <row r="109" spans="1:9" ht="15">
      <c r="A109" s="43" t="str">
        <f>HLOOKUP(INDICE!$F$2,Nombres!$C$3:$D$636,68,FALSE)</f>
        <v>Fondos de inversión y carteras gestionadas</v>
      </c>
      <c r="B109" s="44">
        <v>4840.277930727473</v>
      </c>
      <c r="C109" s="44">
        <v>4543.331195802086</v>
      </c>
      <c r="D109" s="44">
        <v>4914.90223232209</v>
      </c>
      <c r="E109" s="45">
        <v>5362.45915206547</v>
      </c>
      <c r="F109" s="44">
        <v>6060.657349381451</v>
      </c>
      <c r="G109" s="44">
        <v>5925.125525009999</v>
      </c>
      <c r="H109" s="44">
        <v>0</v>
      </c>
      <c r="I109" s="44">
        <v>0</v>
      </c>
    </row>
    <row r="110" spans="1:9" ht="15">
      <c r="A110" s="43" t="str">
        <f>HLOOKUP(INDICE!$F$2,Nombres!$C$3:$D$636,69,FALSE)</f>
        <v>Fondos de pensiones</v>
      </c>
      <c r="B110" s="44">
        <v>11112.455179026892</v>
      </c>
      <c r="C110" s="44">
        <v>11248.155193509976</v>
      </c>
      <c r="D110" s="44">
        <v>11511.61358168879</v>
      </c>
      <c r="E110" s="45">
        <v>11735.777286191687</v>
      </c>
      <c r="F110" s="44">
        <v>11800.677541565594</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391</v>
      </c>
    </row>
  </sheetData>
  <sheetProtection/>
  <mergeCells count="4">
    <mergeCell ref="B6:E6"/>
    <mergeCell ref="F6:I6"/>
    <mergeCell ref="B62:E62"/>
    <mergeCell ref="F62:I62"/>
  </mergeCells>
  <conditionalFormatting sqref="H82:I82">
    <cfRule type="cellIs" priority="18" dxfId="196" operator="notBetween">
      <formula>0.5</formula>
      <formula>-0.5</formula>
    </cfRule>
  </conditionalFormatting>
  <conditionalFormatting sqref="H26">
    <cfRule type="cellIs" priority="12" dxfId="36" operator="notBetween">
      <formula>-0.4</formula>
      <formula>0.4</formula>
    </cfRule>
  </conditionalFormatting>
  <conditionalFormatting sqref="I26">
    <cfRule type="cellIs" priority="11" dxfId="36" operator="notBetween">
      <formula>-0.4</formula>
      <formula>0.4</formula>
    </cfRule>
  </conditionalFormatting>
  <conditionalFormatting sqref="H26:I26">
    <cfRule type="cellIs" priority="10" dxfId="196" operator="notBetween">
      <formula>0.5</formula>
      <formula>-0.5</formula>
    </cfRule>
  </conditionalFormatting>
  <conditionalFormatting sqref="H82:I82">
    <cfRule type="cellIs" priority="9" dxfId="196" operator="notBetween">
      <formula>0.5</formula>
      <formula>-0.5</formula>
    </cfRule>
  </conditionalFormatting>
  <conditionalFormatting sqref="C82:G82">
    <cfRule type="cellIs" priority="8" dxfId="196" operator="notBetween">
      <formula>0.5</formula>
      <formula>-0.5</formula>
    </cfRule>
  </conditionalFormatting>
  <conditionalFormatting sqref="C26">
    <cfRule type="cellIs" priority="7" dxfId="36" operator="notBetween">
      <formula>-0.4</formula>
      <formula>0.4</formula>
    </cfRule>
  </conditionalFormatting>
  <conditionalFormatting sqref="D26">
    <cfRule type="cellIs" priority="6" dxfId="36" operator="notBetween">
      <formula>-0.4</formula>
      <formula>0.4</formula>
    </cfRule>
  </conditionalFormatting>
  <conditionalFormatting sqref="E26">
    <cfRule type="cellIs" priority="5" dxfId="36" operator="notBetween">
      <formula>-0.4</formula>
      <formula>0.4</formula>
    </cfRule>
  </conditionalFormatting>
  <conditionalFormatting sqref="F26">
    <cfRule type="cellIs" priority="4" dxfId="36" operator="notBetween">
      <formula>-0.4</formula>
      <formula>0.4</formula>
    </cfRule>
  </conditionalFormatting>
  <conditionalFormatting sqref="G26">
    <cfRule type="cellIs" priority="3" dxfId="36" operator="notBetween">
      <formula>-0.4</formula>
      <formula>0.4</formula>
    </cfRule>
  </conditionalFormatting>
  <conditionalFormatting sqref="B26:G26">
    <cfRule type="cellIs" priority="2" dxfId="196" operator="notBetween">
      <formula>0.5</formula>
      <formula>-0.5</formula>
    </cfRule>
  </conditionalFormatting>
  <conditionalFormatting sqref="B82:G82">
    <cfRule type="cellIs" priority="1" dxfId="196"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318.816</v>
      </c>
      <c r="C8" s="41">
        <v>462.1120000000001</v>
      </c>
      <c r="D8" s="41">
        <v>612.8620000000001</v>
      </c>
      <c r="E8" s="42">
        <v>428.4169999999999</v>
      </c>
      <c r="F8" s="50">
        <v>593.1469999999999</v>
      </c>
      <c r="G8" s="50">
        <v>707.2560000000001</v>
      </c>
      <c r="H8" s="50">
        <v>0</v>
      </c>
      <c r="I8" s="50">
        <v>0</v>
      </c>
    </row>
    <row r="9" spans="1:9" ht="15">
      <c r="A9" s="43" t="str">
        <f>HLOOKUP(INDICE!$F$2,Nombres!$C$3:$D$636,34,FALSE)</f>
        <v>Comisiones netas</v>
      </c>
      <c r="B9" s="44">
        <v>60.91830800000001</v>
      </c>
      <c r="C9" s="44">
        <v>85.25700000000002</v>
      </c>
      <c r="D9" s="44">
        <v>75.12590298999999</v>
      </c>
      <c r="E9" s="45">
        <v>24.891494999999985</v>
      </c>
      <c r="F9" s="44">
        <v>49.22799999999997</v>
      </c>
      <c r="G9" s="44">
        <v>87.56</v>
      </c>
      <c r="H9" s="44">
        <v>0</v>
      </c>
      <c r="I9" s="44">
        <v>0</v>
      </c>
    </row>
    <row r="10" spans="1:9" ht="15">
      <c r="A10" s="43" t="str">
        <f>HLOOKUP(INDICE!$F$2,Nombres!$C$3:$D$636,35,FALSE)</f>
        <v>Resultados de operaciones financieras</v>
      </c>
      <c r="B10" s="44">
        <v>34.023920000000004</v>
      </c>
      <c r="C10" s="44">
        <v>31.88125</v>
      </c>
      <c r="D10" s="44">
        <v>59.550112580000004</v>
      </c>
      <c r="E10" s="45">
        <v>11.721707999999985</v>
      </c>
      <c r="F10" s="44">
        <v>35.123937319999996</v>
      </c>
      <c r="G10" s="44">
        <v>58.558122999999995</v>
      </c>
      <c r="H10" s="44">
        <v>0</v>
      </c>
      <c r="I10" s="44">
        <v>0</v>
      </c>
    </row>
    <row r="11" spans="1:9" ht="15">
      <c r="A11" s="43" t="str">
        <f>HLOOKUP(INDICE!$F$2,Nombres!$C$3:$D$636,36,FALSE)</f>
        <v>Otros ingresos y cargas de explotación</v>
      </c>
      <c r="B11" s="44">
        <v>-185.92499999999998</v>
      </c>
      <c r="C11" s="44">
        <v>-262.486</v>
      </c>
      <c r="D11" s="44">
        <v>-364.92500000000007</v>
      </c>
      <c r="E11" s="45">
        <v>-182.30899958999993</v>
      </c>
      <c r="F11" s="44">
        <v>-306.789</v>
      </c>
      <c r="G11" s="44">
        <v>-419.56300000000005</v>
      </c>
      <c r="H11" s="44">
        <v>0</v>
      </c>
      <c r="I11" s="44">
        <v>0</v>
      </c>
    </row>
    <row r="12" spans="1:9" ht="15">
      <c r="A12" s="41" t="str">
        <f>HLOOKUP(INDICE!$F$2,Nombres!$C$3:$D$636,37,FALSE)</f>
        <v>Margen bruto</v>
      </c>
      <c r="B12" s="41">
        <f aca="true" t="shared" si="0" ref="B12:I12">+SUM(B8:B11)</f>
        <v>227.83322800000005</v>
      </c>
      <c r="C12" s="41">
        <f t="shared" si="0"/>
        <v>316.7642500000002</v>
      </c>
      <c r="D12" s="41">
        <f t="shared" si="0"/>
        <v>382.61301557</v>
      </c>
      <c r="E12" s="42">
        <f t="shared" si="0"/>
        <v>282.72120340999993</v>
      </c>
      <c r="F12" s="50">
        <f t="shared" si="0"/>
        <v>370.7099373199999</v>
      </c>
      <c r="G12" s="50">
        <f t="shared" si="0"/>
        <v>433.811123</v>
      </c>
      <c r="H12" s="50">
        <f t="shared" si="0"/>
        <v>0</v>
      </c>
      <c r="I12" s="50">
        <f t="shared" si="0"/>
        <v>0</v>
      </c>
    </row>
    <row r="13" spans="1:9" ht="15">
      <c r="A13" s="43" t="str">
        <f>HLOOKUP(INDICE!$F$2,Nombres!$C$3:$D$636,38,FALSE)</f>
        <v>Gastos de explotación</v>
      </c>
      <c r="B13" s="44">
        <v>-145.64386381</v>
      </c>
      <c r="C13" s="44">
        <v>-216.10730637</v>
      </c>
      <c r="D13" s="44">
        <v>-244.78715468999997</v>
      </c>
      <c r="E13" s="45">
        <v>-134.71692395000002</v>
      </c>
      <c r="F13" s="44">
        <v>-200.73820468999998</v>
      </c>
      <c r="G13" s="44">
        <v>-220.51487335000002</v>
      </c>
      <c r="H13" s="44">
        <v>0</v>
      </c>
      <c r="I13" s="44">
        <v>0</v>
      </c>
    </row>
    <row r="14" spans="1:9" ht="15">
      <c r="A14" s="43" t="str">
        <f>HLOOKUP(INDICE!$F$2,Nombres!$C$3:$D$636,39,FALSE)</f>
        <v>  Gastos de administración</v>
      </c>
      <c r="B14" s="44">
        <v>-139.78886381</v>
      </c>
      <c r="C14" s="44">
        <v>-199.37230637000002</v>
      </c>
      <c r="D14" s="44">
        <v>-229.08015468999997</v>
      </c>
      <c r="E14" s="45">
        <v>-124.02692395000003</v>
      </c>
      <c r="F14" s="44">
        <v>-190.07820469</v>
      </c>
      <c r="G14" s="44">
        <v>-207.69187335000004</v>
      </c>
      <c r="H14" s="44">
        <v>0</v>
      </c>
      <c r="I14" s="44">
        <v>0</v>
      </c>
    </row>
    <row r="15" spans="1:9" ht="15">
      <c r="A15" s="46" t="str">
        <f>HLOOKUP(INDICE!$F$2,Nombres!$C$3:$D$636,40,FALSE)</f>
        <v>  Gastos de personal</v>
      </c>
      <c r="B15" s="44">
        <v>-75.43100000000001</v>
      </c>
      <c r="C15" s="44">
        <v>-107.88299999999998</v>
      </c>
      <c r="D15" s="44">
        <v>-119.46199999999999</v>
      </c>
      <c r="E15" s="45">
        <v>-67.15900000000002</v>
      </c>
      <c r="F15" s="44">
        <v>-99.52</v>
      </c>
      <c r="G15" s="44">
        <v>-106.15899999999999</v>
      </c>
      <c r="H15" s="44">
        <v>0</v>
      </c>
      <c r="I15" s="44">
        <v>0</v>
      </c>
    </row>
    <row r="16" spans="1:9" ht="15">
      <c r="A16" s="46" t="str">
        <f>HLOOKUP(INDICE!$F$2,Nombres!$C$3:$D$636,41,FALSE)</f>
        <v>  Otros gastos de administración</v>
      </c>
      <c r="B16" s="44">
        <v>-64.35786381</v>
      </c>
      <c r="C16" s="44">
        <v>-91.48930637000001</v>
      </c>
      <c r="D16" s="44">
        <v>-109.61815468999998</v>
      </c>
      <c r="E16" s="45">
        <v>-56.867923950000005</v>
      </c>
      <c r="F16" s="44">
        <v>-90.55820469</v>
      </c>
      <c r="G16" s="44">
        <v>-101.53287335000002</v>
      </c>
      <c r="H16" s="44">
        <v>0</v>
      </c>
      <c r="I16" s="44">
        <v>0</v>
      </c>
    </row>
    <row r="17" spans="1:9" ht="15">
      <c r="A17" s="43" t="str">
        <f>HLOOKUP(INDICE!$F$2,Nombres!$C$3:$D$636,42,FALSE)</f>
        <v>  Amortización</v>
      </c>
      <c r="B17" s="44">
        <v>-5.8549999999999995</v>
      </c>
      <c r="C17" s="44">
        <v>-16.735</v>
      </c>
      <c r="D17" s="44">
        <v>-15.706999999999997</v>
      </c>
      <c r="E17" s="45">
        <v>-10.689999999999998</v>
      </c>
      <c r="F17" s="44">
        <v>-10.66</v>
      </c>
      <c r="G17" s="44">
        <v>-12.823</v>
      </c>
      <c r="H17" s="44">
        <v>0</v>
      </c>
      <c r="I17" s="44">
        <v>0</v>
      </c>
    </row>
    <row r="18" spans="1:9" ht="15">
      <c r="A18" s="41" t="str">
        <f>HLOOKUP(INDICE!$F$2,Nombres!$C$3:$D$636,43,FALSE)</f>
        <v>Margen neto</v>
      </c>
      <c r="B18" s="41">
        <f aca="true" t="shared" si="1" ref="B18:I18">+B12+B13</f>
        <v>82.18936419000005</v>
      </c>
      <c r="C18" s="41">
        <f t="shared" si="1"/>
        <v>100.65694363000017</v>
      </c>
      <c r="D18" s="41">
        <f t="shared" si="1"/>
        <v>137.82586088000005</v>
      </c>
      <c r="E18" s="42">
        <f t="shared" si="1"/>
        <v>148.0042794599999</v>
      </c>
      <c r="F18" s="50">
        <f t="shared" si="1"/>
        <v>169.9717326299999</v>
      </c>
      <c r="G18" s="50">
        <f t="shared" si="1"/>
        <v>213.29624965</v>
      </c>
      <c r="H18" s="50">
        <f t="shared" si="1"/>
        <v>0</v>
      </c>
      <c r="I18" s="50">
        <f t="shared" si="1"/>
        <v>0</v>
      </c>
    </row>
    <row r="19" spans="1:9" ht="15">
      <c r="A19" s="43" t="str">
        <f>HLOOKUP(INDICE!$F$2,Nombres!$C$3:$D$636,44,FALSE)</f>
        <v>Deterioro de activos financieros no valorados a valor razonable con cambios en resultados</v>
      </c>
      <c r="B19" s="44">
        <v>-47.348999999999975</v>
      </c>
      <c r="C19" s="44">
        <v>-16.98500000000002</v>
      </c>
      <c r="D19" s="44">
        <v>-52.236999999999995</v>
      </c>
      <c r="E19" s="45">
        <v>-54.31999999999999</v>
      </c>
      <c r="F19" s="44">
        <v>-47.275999999999996</v>
      </c>
      <c r="G19" s="44">
        <v>-91.805</v>
      </c>
      <c r="H19" s="44">
        <v>0</v>
      </c>
      <c r="I19" s="44">
        <v>0</v>
      </c>
    </row>
    <row r="20" spans="1:9" ht="15">
      <c r="A20" s="43" t="str">
        <f>HLOOKUP(INDICE!$F$2,Nombres!$C$3:$D$636,45,FALSE)</f>
        <v>Provisiones o reversión de provisiones y otros resultados</v>
      </c>
      <c r="B20" s="44">
        <v>-4.836</v>
      </c>
      <c r="C20" s="44">
        <v>-12.673</v>
      </c>
      <c r="D20" s="44">
        <v>-3.695999999999998</v>
      </c>
      <c r="E20" s="45">
        <v>-20.678</v>
      </c>
      <c r="F20" s="44">
        <v>-6.452999999999999</v>
      </c>
      <c r="G20" s="44">
        <v>-10.459999999999999</v>
      </c>
      <c r="H20" s="44">
        <v>0</v>
      </c>
      <c r="I20" s="44">
        <v>0</v>
      </c>
    </row>
    <row r="21" spans="1:9" ht="15">
      <c r="A21" s="41" t="str">
        <f>HLOOKUP(INDICE!$F$2,Nombres!$C$3:$D$636,46,FALSE)</f>
        <v>Resultado antes de impuestos</v>
      </c>
      <c r="B21" s="41">
        <f aca="true" t="shared" si="2" ref="B21:I21">+B18+B19+B20</f>
        <v>30.004364190000075</v>
      </c>
      <c r="C21" s="41">
        <f t="shared" si="2"/>
        <v>70.99894363000016</v>
      </c>
      <c r="D21" s="41">
        <f t="shared" si="2"/>
        <v>81.89286088000006</v>
      </c>
      <c r="E21" s="42">
        <f t="shared" si="2"/>
        <v>73.00627945999992</v>
      </c>
      <c r="F21" s="50">
        <f t="shared" si="2"/>
        <v>116.2427326299999</v>
      </c>
      <c r="G21" s="50">
        <f t="shared" si="2"/>
        <v>111.03124964999999</v>
      </c>
      <c r="H21" s="50">
        <f t="shared" si="2"/>
        <v>0</v>
      </c>
      <c r="I21" s="50">
        <f t="shared" si="2"/>
        <v>0</v>
      </c>
    </row>
    <row r="22" spans="1:9" ht="15">
      <c r="A22" s="43" t="str">
        <f>HLOOKUP(INDICE!$F$2,Nombres!$C$3:$D$636,47,FALSE)</f>
        <v>Impuesto sobre beneficios</v>
      </c>
      <c r="B22" s="44">
        <v>-4.8613561600000015</v>
      </c>
      <c r="C22" s="44">
        <v>49.98432955999998</v>
      </c>
      <c r="D22" s="44">
        <v>-2.6627971599999825</v>
      </c>
      <c r="E22" s="45">
        <v>-30.083021439999996</v>
      </c>
      <c r="F22" s="44">
        <v>-39.85935880999999</v>
      </c>
      <c r="G22" s="44">
        <v>-41.39445736</v>
      </c>
      <c r="H22" s="44">
        <v>0</v>
      </c>
      <c r="I22" s="44">
        <v>0</v>
      </c>
    </row>
    <row r="23" spans="1:9" ht="15">
      <c r="A23" s="41" t="str">
        <f>HLOOKUP(INDICE!$F$2,Nombres!$C$3:$D$636,48,FALSE)</f>
        <v>Resultado del ejercicio</v>
      </c>
      <c r="B23" s="41">
        <f aca="true" t="shared" si="3" ref="B23:I23">+B21+B22</f>
        <v>25.143008030000075</v>
      </c>
      <c r="C23" s="41">
        <f t="shared" si="3"/>
        <v>120.98327319000013</v>
      </c>
      <c r="D23" s="41">
        <f t="shared" si="3"/>
        <v>79.23006372000008</v>
      </c>
      <c r="E23" s="42">
        <f t="shared" si="3"/>
        <v>42.92325801999992</v>
      </c>
      <c r="F23" s="50">
        <f t="shared" si="3"/>
        <v>76.38337381999992</v>
      </c>
      <c r="G23" s="50">
        <f t="shared" si="3"/>
        <v>69.63679228999999</v>
      </c>
      <c r="H23" s="50">
        <f t="shared" si="3"/>
        <v>0</v>
      </c>
      <c r="I23" s="50">
        <f t="shared" si="3"/>
        <v>0</v>
      </c>
    </row>
    <row r="24" spans="1:9" ht="15">
      <c r="A24" s="43" t="str">
        <f>HLOOKUP(INDICE!$F$2,Nombres!$C$3:$D$636,49,FALSE)</f>
        <v>Minoritarios</v>
      </c>
      <c r="B24" s="44">
        <v>-6.6809113700000005</v>
      </c>
      <c r="C24" s="44">
        <v>-38.77087993999999</v>
      </c>
      <c r="D24" s="44">
        <v>-23.851571009999994</v>
      </c>
      <c r="E24" s="45">
        <v>-13.570785000000011</v>
      </c>
      <c r="F24" s="44">
        <v>-24.33035514</v>
      </c>
      <c r="G24" s="44">
        <v>-21.48102198999999</v>
      </c>
      <c r="H24" s="44">
        <v>0</v>
      </c>
      <c r="I24" s="44">
        <v>0</v>
      </c>
    </row>
    <row r="25" spans="1:9" ht="15">
      <c r="A25" s="47" t="str">
        <f>HLOOKUP(INDICE!$F$2,Nombres!$C$3:$D$636,50,FALSE)</f>
        <v>Resultado atribuido</v>
      </c>
      <c r="B25" s="47">
        <f aca="true" t="shared" si="4" ref="B25:I25">+B23+B24</f>
        <v>18.462096660000075</v>
      </c>
      <c r="C25" s="47">
        <f t="shared" si="4"/>
        <v>82.21239325000013</v>
      </c>
      <c r="D25" s="47">
        <f t="shared" si="4"/>
        <v>55.37849271000008</v>
      </c>
      <c r="E25" s="47">
        <f t="shared" si="4"/>
        <v>29.35247301999991</v>
      </c>
      <c r="F25" s="51">
        <f t="shared" si="4"/>
        <v>52.053018679999916</v>
      </c>
      <c r="G25" s="51">
        <f t="shared" si="4"/>
        <v>48.1557703</v>
      </c>
      <c r="H25" s="51">
        <f t="shared" si="4"/>
        <v>0</v>
      </c>
      <c r="I25" s="51">
        <f t="shared" si="4"/>
        <v>0</v>
      </c>
    </row>
    <row r="26" spans="1:9" ht="15">
      <c r="A26" s="62"/>
      <c r="B26" s="63">
        <v>6.750155989720952E-14</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1617.2679999999998</v>
      </c>
      <c r="C31" s="44">
        <v>1458.5610000000001</v>
      </c>
      <c r="D31" s="44">
        <v>1430.5249999999999</v>
      </c>
      <c r="E31" s="45">
        <v>1605.0690000000002</v>
      </c>
      <c r="F31" s="44">
        <v>1651.0720000000001</v>
      </c>
      <c r="G31" s="44">
        <v>1348.669</v>
      </c>
      <c r="H31" s="44">
        <v>0</v>
      </c>
      <c r="I31" s="44">
        <v>0</v>
      </c>
    </row>
    <row r="32" spans="1:9" ht="15">
      <c r="A32" s="43" t="str">
        <f>HLOOKUP(INDICE!$F$2,Nombres!$C$3:$D$636,53,FALSE)</f>
        <v>Activos financieros a valor razonable</v>
      </c>
      <c r="B32" s="58">
        <v>2951.362</v>
      </c>
      <c r="C32" s="58">
        <v>3358.946</v>
      </c>
      <c r="D32" s="58">
        <v>3762.2329999999997</v>
      </c>
      <c r="E32" s="64">
        <v>3516.6970000000006</v>
      </c>
      <c r="F32" s="44">
        <v>3174.361</v>
      </c>
      <c r="G32" s="44">
        <v>3951.532</v>
      </c>
      <c r="H32" s="44">
        <v>0</v>
      </c>
      <c r="I32" s="44">
        <v>0</v>
      </c>
    </row>
    <row r="33" spans="1:9" ht="15">
      <c r="A33" s="43" t="str">
        <f>HLOOKUP(INDICE!$F$2,Nombres!$C$3:$D$636,54,FALSE)</f>
        <v>Activos financieros a coste amortizado</v>
      </c>
      <c r="B33" s="44">
        <v>4259.139</v>
      </c>
      <c r="C33" s="44">
        <v>5260.764999999999</v>
      </c>
      <c r="D33" s="44">
        <v>5134.406000000001</v>
      </c>
      <c r="E33" s="45">
        <v>4457.178999999999</v>
      </c>
      <c r="F33" s="44">
        <v>4780.384999999999</v>
      </c>
      <c r="G33" s="44">
        <v>4826.131</v>
      </c>
      <c r="H33" s="44">
        <v>0</v>
      </c>
      <c r="I33" s="44">
        <v>0</v>
      </c>
    </row>
    <row r="34" spans="1:9" ht="15">
      <c r="A34" s="43" t="str">
        <f>HLOOKUP(INDICE!$F$2,Nombres!$C$3:$D$636,55,FALSE)</f>
        <v>    de los que préstamos y anticipos a la clientela</v>
      </c>
      <c r="B34" s="44">
        <v>3343.84</v>
      </c>
      <c r="C34" s="44">
        <v>3971.4730000000004</v>
      </c>
      <c r="D34" s="44">
        <v>4016.194</v>
      </c>
      <c r="E34" s="45">
        <v>3784.3130000000006</v>
      </c>
      <c r="F34" s="44">
        <v>3806.3489999999997</v>
      </c>
      <c r="G34" s="44">
        <v>3819.7050000000004</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524.04</v>
      </c>
      <c r="C36" s="44">
        <v>621.434</v>
      </c>
      <c r="D36" s="44">
        <v>682.75</v>
      </c>
      <c r="E36" s="45">
        <v>619.248</v>
      </c>
      <c r="F36" s="44">
        <v>606.594</v>
      </c>
      <c r="G36" s="44">
        <v>619.929</v>
      </c>
      <c r="H36" s="44">
        <v>0</v>
      </c>
      <c r="I36" s="44">
        <v>0</v>
      </c>
    </row>
    <row r="37" spans="1:9" ht="15">
      <c r="A37" s="43" t="str">
        <f>HLOOKUP(INDICE!$F$2,Nombres!$C$3:$D$636,57,FALSE)</f>
        <v>Otros activos</v>
      </c>
      <c r="B37" s="58">
        <f aca="true" t="shared" si="5" ref="B37:I37">+B38-B36-B33-B32-B31</f>
        <v>297.10845283000185</v>
      </c>
      <c r="C37" s="58">
        <f t="shared" si="5"/>
        <v>321.9505165099995</v>
      </c>
      <c r="D37" s="58">
        <f t="shared" si="5"/>
        <v>296.7246464600032</v>
      </c>
      <c r="E37" s="64">
        <f t="shared" si="5"/>
        <v>288.6960862300018</v>
      </c>
      <c r="F37" s="44">
        <f t="shared" si="5"/>
        <v>311.8433774900004</v>
      </c>
      <c r="G37" s="44">
        <f t="shared" si="5"/>
        <v>267.96760515000074</v>
      </c>
      <c r="H37" s="44">
        <f t="shared" si="5"/>
        <v>0</v>
      </c>
      <c r="I37" s="44">
        <f t="shared" si="5"/>
        <v>0</v>
      </c>
    </row>
    <row r="38" spans="1:9" ht="15">
      <c r="A38" s="47" t="str">
        <f>HLOOKUP(INDICE!$F$2,Nombres!$C$3:$D$636,58,FALSE)</f>
        <v>Total activo / pasivo</v>
      </c>
      <c r="B38" s="47">
        <v>9648.917452830001</v>
      </c>
      <c r="C38" s="47">
        <v>11021.656516509998</v>
      </c>
      <c r="D38" s="47">
        <v>11306.638646460004</v>
      </c>
      <c r="E38" s="47">
        <v>10486.889086230001</v>
      </c>
      <c r="F38" s="51">
        <v>10524.25537749</v>
      </c>
      <c r="G38" s="51">
        <v>11014.228605150001</v>
      </c>
      <c r="H38" s="51">
        <v>0</v>
      </c>
      <c r="I38" s="51">
        <v>0</v>
      </c>
    </row>
    <row r="39" spans="1:9" ht="15">
      <c r="A39" s="43" t="str">
        <f>HLOOKUP(INDICE!$F$2,Nombres!$C$3:$D$636,59,FALSE)</f>
        <v>Pasivos financieros mantenidos para negociar y designados a valor razonable con cambios en resultados</v>
      </c>
      <c r="B39" s="58">
        <v>2.659</v>
      </c>
      <c r="C39" s="58">
        <v>1.1320000000000001</v>
      </c>
      <c r="D39" s="58">
        <v>3.865</v>
      </c>
      <c r="E39" s="64">
        <v>1.774</v>
      </c>
      <c r="F39" s="44">
        <v>2.296</v>
      </c>
      <c r="G39" s="44">
        <v>162.553</v>
      </c>
      <c r="H39" s="44">
        <v>0</v>
      </c>
      <c r="I39" s="44">
        <v>0</v>
      </c>
    </row>
    <row r="40" spans="1:9" ht="15.75" customHeight="1">
      <c r="A40" s="43" t="str">
        <f>HLOOKUP(INDICE!$F$2,Nombres!$C$3:$D$636,60,FALSE)</f>
        <v>Depósitos de bancos centrales y entidades de crédito</v>
      </c>
      <c r="B40" s="58">
        <v>116.77300000000002</v>
      </c>
      <c r="C40" s="58">
        <v>157.352</v>
      </c>
      <c r="D40" s="58">
        <v>121.06600000000003</v>
      </c>
      <c r="E40" s="64">
        <v>122.95299999999996</v>
      </c>
      <c r="F40" s="44">
        <v>124.57600000000001</v>
      </c>
      <c r="G40" s="44">
        <v>118.277</v>
      </c>
      <c r="H40" s="44">
        <v>0</v>
      </c>
      <c r="I40" s="44">
        <v>0</v>
      </c>
    </row>
    <row r="41" spans="1:9" ht="15">
      <c r="A41" s="43" t="str">
        <f>HLOOKUP(INDICE!$F$2,Nombres!$C$3:$D$636,61,FALSE)</f>
        <v>Depósitos de la clientela</v>
      </c>
      <c r="B41" s="58">
        <v>6466.273999999999</v>
      </c>
      <c r="C41" s="58">
        <v>7491.32</v>
      </c>
      <c r="D41" s="58">
        <v>7411.194</v>
      </c>
      <c r="E41" s="64">
        <v>6963.756000000001</v>
      </c>
      <c r="F41" s="44">
        <v>6900.092</v>
      </c>
      <c r="G41" s="44">
        <v>7197.075000000001</v>
      </c>
      <c r="H41" s="44">
        <v>0</v>
      </c>
      <c r="I41" s="44">
        <v>0</v>
      </c>
    </row>
    <row r="42" spans="1:9" ht="15">
      <c r="A42" s="43" t="str">
        <f>HLOOKUP(INDICE!$F$2,Nombres!$C$3:$D$636,62,FALSE)</f>
        <v>Valores representativos de deuda emitidos</v>
      </c>
      <c r="B42" s="44">
        <v>251.78840171</v>
      </c>
      <c r="C42" s="44">
        <v>281.33826361</v>
      </c>
      <c r="D42" s="44">
        <v>297.48515428999997</v>
      </c>
      <c r="E42" s="45">
        <v>272.18229649</v>
      </c>
      <c r="F42" s="44">
        <v>326.28112549</v>
      </c>
      <c r="G42" s="44">
        <v>320.51789386999997</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 aca="true" t="shared" si="6" ref="B44:I44">+B38-B39-B40-B41-B42-B45</f>
        <v>1956.0683361100027</v>
      </c>
      <c r="C44" s="58">
        <f t="shared" si="6"/>
        <v>2157.7762553899984</v>
      </c>
      <c r="D44" s="58">
        <f t="shared" si="6"/>
        <v>2474.1127392700027</v>
      </c>
      <c r="E44" s="64">
        <f t="shared" si="6"/>
        <v>2198.719295140001</v>
      </c>
      <c r="F44" s="44">
        <f t="shared" si="6"/>
        <v>2087.749287120002</v>
      </c>
      <c r="G44" s="44">
        <f t="shared" si="6"/>
        <v>2142.0483225200005</v>
      </c>
      <c r="H44" s="44">
        <f t="shared" si="6"/>
        <v>0</v>
      </c>
      <c r="I44" s="44">
        <f t="shared" si="6"/>
        <v>0</v>
      </c>
    </row>
    <row r="45" spans="1:9" ht="15">
      <c r="A45" s="43" t="str">
        <f>HLOOKUP(INDICE!$F$2,Nombres!$C$3:$D$636,282,FALSE)</f>
        <v>Dotación de capital regulatorio</v>
      </c>
      <c r="B45" s="58">
        <v>855.35471501</v>
      </c>
      <c r="C45" s="58">
        <v>932.73799751</v>
      </c>
      <c r="D45" s="58">
        <v>998.9157529000001</v>
      </c>
      <c r="E45" s="64">
        <v>927.5044946</v>
      </c>
      <c r="F45" s="44">
        <v>1083.2609648799998</v>
      </c>
      <c r="G45" s="44">
        <v>1073.7573887600001</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G50">+B$30</f>
        <v>44651</v>
      </c>
      <c r="C50" s="53">
        <f t="shared" si="7"/>
        <v>44742</v>
      </c>
      <c r="D50" s="53">
        <f t="shared" si="7"/>
        <v>44834</v>
      </c>
      <c r="E50" s="67">
        <f t="shared" si="7"/>
        <v>44926</v>
      </c>
      <c r="F50" s="53">
        <f t="shared" si="7"/>
        <v>45016</v>
      </c>
      <c r="G50" s="53">
        <f t="shared" si="7"/>
        <v>45107</v>
      </c>
      <c r="H50" s="53">
        <f>+H$30</f>
        <v>45199</v>
      </c>
      <c r="I50" s="53">
        <f>+I$30</f>
        <v>45291</v>
      </c>
    </row>
    <row r="51" spans="1:9" ht="15">
      <c r="A51" s="43" t="str">
        <f>HLOOKUP(INDICE!$F$2,Nombres!$C$3:$D$636,66,FALSE)</f>
        <v>Préstamos y anticipos a la clientela bruto (*)</v>
      </c>
      <c r="B51" s="44">
        <v>3440.7780000000002</v>
      </c>
      <c r="C51" s="44">
        <v>4070.143</v>
      </c>
      <c r="D51" s="44">
        <v>4122.979</v>
      </c>
      <c r="E51" s="45">
        <v>3893.913</v>
      </c>
      <c r="F51" s="44">
        <v>3925.184</v>
      </c>
      <c r="G51" s="44">
        <v>3944.527</v>
      </c>
      <c r="H51" s="44">
        <v>0</v>
      </c>
      <c r="I51" s="44">
        <v>0</v>
      </c>
    </row>
    <row r="52" spans="1:9" ht="15">
      <c r="A52" s="43" t="str">
        <f>HLOOKUP(INDICE!$F$2,Nombres!$C$3:$D$636,67,FALSE)</f>
        <v>Depósitos de clientes en gestión (**)</v>
      </c>
      <c r="B52" s="44">
        <v>6466.274</v>
      </c>
      <c r="C52" s="44">
        <v>7491.320000000001</v>
      </c>
      <c r="D52" s="44">
        <v>7411.194</v>
      </c>
      <c r="E52" s="45">
        <v>6963.756</v>
      </c>
      <c r="F52" s="44">
        <v>6900.092</v>
      </c>
      <c r="G52" s="44">
        <v>7197.075</v>
      </c>
      <c r="H52" s="44">
        <v>0</v>
      </c>
      <c r="I52" s="44">
        <v>0</v>
      </c>
    </row>
    <row r="53" spans="1:9" ht="15">
      <c r="A53" s="43" t="str">
        <f>HLOOKUP(INDICE!$F$2,Nombres!$C$3:$D$636,68,FALSE)</f>
        <v>Fondos de inversión y carteras gestionadas</v>
      </c>
      <c r="B53" s="44">
        <v>1985.78785607</v>
      </c>
      <c r="C53" s="44">
        <v>1986.68423752</v>
      </c>
      <c r="D53" s="44">
        <v>2336.8586472099996</v>
      </c>
      <c r="E53" s="45">
        <v>2302.8792526</v>
      </c>
      <c r="F53" s="44">
        <v>2312.63197179</v>
      </c>
      <c r="G53" s="44">
        <v>2266.12685729</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 aca="true" t="shared" si="8" ref="B63:I63">+B$7</f>
        <v>1er Trim.</v>
      </c>
      <c r="C63" s="39" t="str">
        <f t="shared" si="8"/>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148.45957649485007</v>
      </c>
      <c r="C64" s="41">
        <v>260.09552022969353</v>
      </c>
      <c r="D64" s="41">
        <v>430.83223429403114</v>
      </c>
      <c r="E64" s="42">
        <v>522.80807496594</v>
      </c>
      <c r="F64" s="50">
        <v>489.3316961262013</v>
      </c>
      <c r="G64" s="50">
        <v>811.0713038737989</v>
      </c>
      <c r="H64" s="50">
        <v>0</v>
      </c>
      <c r="I64" s="50">
        <v>0</v>
      </c>
    </row>
    <row r="65" spans="1:9" ht="15">
      <c r="A65" s="43" t="str">
        <f>HLOOKUP(INDICE!$F$2,Nombres!$C$3:$D$636,34,FALSE)</f>
        <v>Comisiones netas</v>
      </c>
      <c r="B65" s="44">
        <v>28.17496414899321</v>
      </c>
      <c r="C65" s="44">
        <v>46.98029315734381</v>
      </c>
      <c r="D65" s="44">
        <v>57.10377393942516</v>
      </c>
      <c r="E65" s="45">
        <v>52.09335398960056</v>
      </c>
      <c r="F65" s="44">
        <v>40.56569726531827</v>
      </c>
      <c r="G65" s="44">
        <v>96.22230273468172</v>
      </c>
      <c r="H65" s="44">
        <v>0</v>
      </c>
      <c r="I65" s="44">
        <v>0</v>
      </c>
    </row>
    <row r="66" spans="1:9" ht="15">
      <c r="A66" s="43" t="str">
        <f>HLOOKUP(INDICE!$F$2,Nombres!$C$3:$D$636,35,FALSE)</f>
        <v>Resultados de operaciones financieras</v>
      </c>
      <c r="B66" s="44">
        <v>15.743503505552498</v>
      </c>
      <c r="C66" s="44">
        <v>20.87990155148452</v>
      </c>
      <c r="D66" s="44">
        <v>41.47231466648066</v>
      </c>
      <c r="E66" s="45">
        <v>27.409613625355966</v>
      </c>
      <c r="F66" s="44">
        <v>28.951340532671754</v>
      </c>
      <c r="G66" s="44">
        <v>64.73071978732824</v>
      </c>
      <c r="H66" s="44">
        <v>0</v>
      </c>
      <c r="I66" s="44">
        <v>0</v>
      </c>
    </row>
    <row r="67" spans="1:9" ht="15">
      <c r="A67" s="43" t="str">
        <f>HLOOKUP(INDICE!$F$2,Nombres!$C$3:$D$636,36,FALSE)</f>
        <v>Otros ingresos y cargas de explotación</v>
      </c>
      <c r="B67" s="44">
        <v>-161.57236002167087</v>
      </c>
      <c r="C67" s="44">
        <v>-239.76168380870348</v>
      </c>
      <c r="D67" s="44">
        <v>-341.87724436272185</v>
      </c>
      <c r="E67" s="45">
        <v>-195.5388425505728</v>
      </c>
      <c r="F67" s="44">
        <v>-294.5276405936515</v>
      </c>
      <c r="G67" s="44">
        <v>-431.82435940634855</v>
      </c>
      <c r="H67" s="44">
        <v>0</v>
      </c>
      <c r="I67" s="44">
        <v>0</v>
      </c>
    </row>
    <row r="68" spans="1:9" ht="15">
      <c r="A68" s="41" t="str">
        <f>HLOOKUP(INDICE!$F$2,Nombres!$C$3:$D$636,37,FALSE)</f>
        <v>Margen bruto</v>
      </c>
      <c r="B68" s="41">
        <f aca="true" t="shared" si="9" ref="B68:I68">+SUM(B64:B67)</f>
        <v>30.805684127724902</v>
      </c>
      <c r="C68" s="41">
        <f t="shared" si="9"/>
        <v>88.19403112981837</v>
      </c>
      <c r="D68" s="41">
        <f t="shared" si="9"/>
        <v>187.53107853721508</v>
      </c>
      <c r="E68" s="42">
        <f t="shared" si="9"/>
        <v>406.7722000303238</v>
      </c>
      <c r="F68" s="50">
        <f t="shared" si="9"/>
        <v>264.3210933305399</v>
      </c>
      <c r="G68" s="50">
        <f t="shared" si="9"/>
        <v>540.1999669894603</v>
      </c>
      <c r="H68" s="50">
        <f t="shared" si="9"/>
        <v>0</v>
      </c>
      <c r="I68" s="50">
        <f t="shared" si="9"/>
        <v>0</v>
      </c>
    </row>
    <row r="69" spans="1:9" ht="15">
      <c r="A69" s="43" t="str">
        <f>HLOOKUP(INDICE!$F$2,Nombres!$C$3:$D$636,38,FALSE)</f>
        <v>Gastos de explotación</v>
      </c>
      <c r="B69" s="44">
        <v>-69.16282629666998</v>
      </c>
      <c r="C69" s="44">
        <v>-129.1652714501478</v>
      </c>
      <c r="D69" s="44">
        <v>-185.28648102956745</v>
      </c>
      <c r="E69" s="45">
        <v>-188.43441291071315</v>
      </c>
      <c r="F69" s="44">
        <v>-166.83415149736953</v>
      </c>
      <c r="G69" s="44">
        <v>-254.41892654263046</v>
      </c>
      <c r="H69" s="44">
        <v>0</v>
      </c>
      <c r="I69" s="44">
        <v>0</v>
      </c>
    </row>
    <row r="70" spans="1:9" ht="15">
      <c r="A70" s="43" t="str">
        <f>HLOOKUP(INDICE!$F$2,Nombres!$C$3:$D$636,39,FALSE)</f>
        <v>  Gastos de administración</v>
      </c>
      <c r="B70" s="44">
        <v>-65.8910115805768</v>
      </c>
      <c r="C70" s="44">
        <v>-114.74588141379965</v>
      </c>
      <c r="D70" s="44">
        <v>-171.0799723980066</v>
      </c>
      <c r="E70" s="45">
        <v>-176.08183274497213</v>
      </c>
      <c r="F70" s="44">
        <v>-156.92562886915758</v>
      </c>
      <c r="G70" s="44">
        <v>-240.84444917084244</v>
      </c>
      <c r="H70" s="44">
        <v>0</v>
      </c>
      <c r="I70" s="44">
        <v>0</v>
      </c>
    </row>
    <row r="71" spans="1:9" ht="15">
      <c r="A71" s="46" t="str">
        <f>HLOOKUP(INDICE!$F$2,Nombres!$C$3:$D$636,40,FALSE)</f>
        <v>  Gastos de personal</v>
      </c>
      <c r="B71" s="44">
        <v>-35.43831418690843</v>
      </c>
      <c r="C71" s="44">
        <v>-61.733000817296315</v>
      </c>
      <c r="D71" s="44">
        <v>-89.44799287894077</v>
      </c>
      <c r="E71" s="45">
        <v>-94.5432581356823</v>
      </c>
      <c r="F71" s="44">
        <v>-82.20202574970293</v>
      </c>
      <c r="G71" s="44">
        <v>-123.47697425029708</v>
      </c>
      <c r="H71" s="44">
        <v>0</v>
      </c>
      <c r="I71" s="44">
        <v>0</v>
      </c>
    </row>
    <row r="72" spans="1:9" ht="15">
      <c r="A72" s="46" t="str">
        <f>HLOOKUP(INDICE!$F$2,Nombres!$C$3:$D$636,41,FALSE)</f>
        <v>  Otros gastos de administración</v>
      </c>
      <c r="B72" s="44">
        <v>-30.452697393668366</v>
      </c>
      <c r="C72" s="44">
        <v>-53.01288059650335</v>
      </c>
      <c r="D72" s="44">
        <v>-81.63197951906581</v>
      </c>
      <c r="E72" s="45">
        <v>-81.5385746092898</v>
      </c>
      <c r="F72" s="44">
        <v>-74.72360311945464</v>
      </c>
      <c r="G72" s="44">
        <v>-117.36747492054536</v>
      </c>
      <c r="H72" s="44">
        <v>0</v>
      </c>
      <c r="I72" s="44">
        <v>0</v>
      </c>
    </row>
    <row r="73" spans="1:9" ht="15">
      <c r="A73" s="43" t="str">
        <f>HLOOKUP(INDICE!$F$2,Nombres!$C$3:$D$636,42,FALSE)</f>
        <v>  Amortización</v>
      </c>
      <c r="B73" s="44">
        <v>-3.2718147160931927</v>
      </c>
      <c r="C73" s="44">
        <v>-14.419390036348142</v>
      </c>
      <c r="D73" s="44">
        <v>-14.206508631560883</v>
      </c>
      <c r="E73" s="45">
        <v>-12.35258016574105</v>
      </c>
      <c r="F73" s="44">
        <v>-9.908522628211973</v>
      </c>
      <c r="G73" s="44">
        <v>-13.574477371788028</v>
      </c>
      <c r="H73" s="44">
        <v>0</v>
      </c>
      <c r="I73" s="44">
        <v>0</v>
      </c>
    </row>
    <row r="74" spans="1:9" ht="15">
      <c r="A74" s="41" t="str">
        <f>HLOOKUP(INDICE!$F$2,Nombres!$C$3:$D$636,43,FALSE)</f>
        <v>Margen neto</v>
      </c>
      <c r="B74" s="41">
        <f aca="true" t="shared" si="10" ref="B74:I74">+B68+B69</f>
        <v>-38.357142168945074</v>
      </c>
      <c r="C74" s="41">
        <f t="shared" si="10"/>
        <v>-40.97124032032943</v>
      </c>
      <c r="D74" s="41">
        <f t="shared" si="10"/>
        <v>2.244597507647626</v>
      </c>
      <c r="E74" s="42">
        <f t="shared" si="10"/>
        <v>218.33778711961065</v>
      </c>
      <c r="F74" s="50">
        <f t="shared" si="10"/>
        <v>97.48694183317036</v>
      </c>
      <c r="G74" s="50">
        <f t="shared" si="10"/>
        <v>285.7810404468299</v>
      </c>
      <c r="H74" s="50">
        <f t="shared" si="10"/>
        <v>0</v>
      </c>
      <c r="I74" s="50">
        <f t="shared" si="10"/>
        <v>0</v>
      </c>
    </row>
    <row r="75" spans="1:9" ht="15">
      <c r="A75" s="43" t="str">
        <f>HLOOKUP(INDICE!$F$2,Nombres!$C$3:$D$636,44,FALSE)</f>
        <v>Deterioro de activos financieros no valorados a valor razonable con cambios en resultados</v>
      </c>
      <c r="B75" s="44">
        <v>-22.33421236430524</v>
      </c>
      <c r="C75" s="44">
        <v>-12.336293939106337</v>
      </c>
      <c r="D75" s="44">
        <v>-36.84537086918263</v>
      </c>
      <c r="E75" s="45">
        <v>-56.331793463574854</v>
      </c>
      <c r="F75" s="44">
        <v>-38.83113844701704</v>
      </c>
      <c r="G75" s="44">
        <v>-100.24986155298299</v>
      </c>
      <c r="H75" s="44">
        <v>0</v>
      </c>
      <c r="I75" s="44">
        <v>0</v>
      </c>
    </row>
    <row r="76" spans="1:9" ht="15">
      <c r="A76" s="43" t="str">
        <f>HLOOKUP(INDICE!$F$2,Nombres!$C$3:$D$636,45,FALSE)</f>
        <v>Provisiones o reversión de provisiones y otros resultados</v>
      </c>
      <c r="B76" s="44">
        <v>-2.2207931693469467</v>
      </c>
      <c r="C76" s="44">
        <v>-6.525077873063732</v>
      </c>
      <c r="D76" s="44">
        <v>-4.158725578865324</v>
      </c>
      <c r="E76" s="45">
        <v>-19.03380231134726</v>
      </c>
      <c r="F76" s="44">
        <v>-5.29847136163204</v>
      </c>
      <c r="G76" s="44">
        <v>-11.614528638367961</v>
      </c>
      <c r="H76" s="44">
        <v>0</v>
      </c>
      <c r="I76" s="44">
        <v>0</v>
      </c>
    </row>
    <row r="77" spans="1:9" ht="15">
      <c r="A77" s="41" t="str">
        <f>HLOOKUP(INDICE!$F$2,Nombres!$C$3:$D$636,46,FALSE)</f>
        <v>Resultado antes de impuestos</v>
      </c>
      <c r="B77" s="41">
        <f aca="true" t="shared" si="11" ref="B77:I77">+B74+B75+B76</f>
        <v>-62.91214770259727</v>
      </c>
      <c r="C77" s="41">
        <f t="shared" si="11"/>
        <v>-59.8326121324995</v>
      </c>
      <c r="D77" s="41">
        <f t="shared" si="11"/>
        <v>-38.75949894040033</v>
      </c>
      <c r="E77" s="42">
        <f t="shared" si="11"/>
        <v>142.97219134468855</v>
      </c>
      <c r="F77" s="50">
        <f t="shared" si="11"/>
        <v>53.357332024521284</v>
      </c>
      <c r="G77" s="50">
        <f t="shared" si="11"/>
        <v>173.9166502554789</v>
      </c>
      <c r="H77" s="50">
        <f t="shared" si="11"/>
        <v>0</v>
      </c>
      <c r="I77" s="50">
        <f t="shared" si="11"/>
        <v>0</v>
      </c>
    </row>
    <row r="78" spans="1:9" ht="15">
      <c r="A78" s="43" t="str">
        <f>HLOOKUP(INDICE!$F$2,Nombres!$C$3:$D$636,47,FALSE)</f>
        <v>Impuesto sobre beneficios</v>
      </c>
      <c r="B78" s="44">
        <v>22.130592796225176</v>
      </c>
      <c r="C78" s="44">
        <v>97.17464696188858</v>
      </c>
      <c r="D78" s="44">
        <v>39.8063817932691</v>
      </c>
      <c r="E78" s="45">
        <v>-53.21063154988552</v>
      </c>
      <c r="F78" s="44">
        <v>-17.7718756990739</v>
      </c>
      <c r="G78" s="44">
        <v>-63.48194047092609</v>
      </c>
      <c r="H78" s="44">
        <v>0</v>
      </c>
      <c r="I78" s="44">
        <v>0</v>
      </c>
    </row>
    <row r="79" spans="1:9" ht="15">
      <c r="A79" s="41" t="str">
        <f>HLOOKUP(INDICE!$F$2,Nombres!$C$3:$D$636,48,FALSE)</f>
        <v>Resultado del ejercicio</v>
      </c>
      <c r="B79" s="41">
        <f aca="true" t="shared" si="12" ref="B79:I79">+B77+B78</f>
        <v>-40.781554906372094</v>
      </c>
      <c r="C79" s="41">
        <f t="shared" si="12"/>
        <v>37.342034829389085</v>
      </c>
      <c r="D79" s="41">
        <f t="shared" si="12"/>
        <v>1.0468828528687695</v>
      </c>
      <c r="E79" s="42">
        <f t="shared" si="12"/>
        <v>89.76155979480303</v>
      </c>
      <c r="F79" s="50">
        <f t="shared" si="12"/>
        <v>35.58545632544738</v>
      </c>
      <c r="G79" s="50">
        <f t="shared" si="12"/>
        <v>110.43470978455282</v>
      </c>
      <c r="H79" s="50">
        <f t="shared" si="12"/>
        <v>0</v>
      </c>
      <c r="I79" s="50">
        <f t="shared" si="12"/>
        <v>0</v>
      </c>
    </row>
    <row r="80" spans="1:9" ht="15">
      <c r="A80" s="43" t="str">
        <f>HLOOKUP(INDICE!$F$2,Nombres!$C$3:$D$636,49,FALSE)</f>
        <v>Minoritarios</v>
      </c>
      <c r="B80" s="44">
        <v>14.439966358880666</v>
      </c>
      <c r="C80" s="44">
        <v>-11.730633214110775</v>
      </c>
      <c r="D80" s="44">
        <v>1.170024460393556</v>
      </c>
      <c r="E80" s="45">
        <v>-28.491946047622143</v>
      </c>
      <c r="F80" s="44">
        <v>-10.943942544705678</v>
      </c>
      <c r="G80" s="44">
        <v>-34.86743458529432</v>
      </c>
      <c r="H80" s="44">
        <v>0</v>
      </c>
      <c r="I80" s="44">
        <v>0</v>
      </c>
    </row>
    <row r="81" spans="1:9" ht="15">
      <c r="A81" s="47" t="str">
        <f>HLOOKUP(INDICE!$F$2,Nombres!$C$3:$D$636,50,FALSE)</f>
        <v>Resultado atribuido</v>
      </c>
      <c r="B81" s="47">
        <f aca="true" t="shared" si="13" ref="B81:I81">+B79+B80</f>
        <v>-26.341588547491426</v>
      </c>
      <c r="C81" s="47">
        <f t="shared" si="13"/>
        <v>25.61140161527831</v>
      </c>
      <c r="D81" s="47">
        <f t="shared" si="13"/>
        <v>2.2169073132623254</v>
      </c>
      <c r="E81" s="47">
        <f t="shared" si="13"/>
        <v>61.26961374718089</v>
      </c>
      <c r="F81" s="51">
        <f t="shared" si="13"/>
        <v>24.641513780741704</v>
      </c>
      <c r="G81" s="51">
        <f t="shared" si="13"/>
        <v>75.5672751992585</v>
      </c>
      <c r="H81" s="51">
        <f t="shared" si="13"/>
        <v>0</v>
      </c>
      <c r="I81" s="51">
        <f t="shared" si="13"/>
        <v>0</v>
      </c>
    </row>
    <row r="82" spans="1:9" ht="15">
      <c r="A82" s="62"/>
      <c r="B82" s="63">
        <v>0</v>
      </c>
      <c r="C82" s="63">
        <v>0</v>
      </c>
      <c r="D82" s="63">
        <v>1.4210854715202004E-14</v>
      </c>
      <c r="E82" s="63">
        <v>1.5631940186722204E-13</v>
      </c>
      <c r="F82" s="63">
        <v>1.5987211554602254E-13</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G86">+B$30</f>
        <v>44651</v>
      </c>
      <c r="C86" s="53">
        <f t="shared" si="14"/>
        <v>44742</v>
      </c>
      <c r="D86" s="53">
        <f t="shared" si="14"/>
        <v>44834</v>
      </c>
      <c r="E86" s="67">
        <f t="shared" si="14"/>
        <v>44926</v>
      </c>
      <c r="F86" s="53">
        <f t="shared" si="14"/>
        <v>45016</v>
      </c>
      <c r="G86" s="53">
        <f t="shared" si="14"/>
        <v>45107</v>
      </c>
      <c r="H86" s="53">
        <f>+H$30</f>
        <v>45199</v>
      </c>
      <c r="I86" s="53">
        <f>+I$30</f>
        <v>45291</v>
      </c>
    </row>
    <row r="87" spans="1:9" ht="15">
      <c r="A87" s="43" t="str">
        <f>HLOOKUP(INDICE!$F$2,Nombres!$C$3:$D$636,52,FALSE)</f>
        <v>Efectivo, saldos en efectivo en bancos centrales y otros depósitos a la vista</v>
      </c>
      <c r="B87" s="44">
        <v>715.1901588932903</v>
      </c>
      <c r="C87" s="44">
        <v>680.3956897687441</v>
      </c>
      <c r="D87" s="44">
        <v>736.67276319019</v>
      </c>
      <c r="E87" s="45">
        <v>1086.7227000397402</v>
      </c>
      <c r="F87" s="44">
        <v>1345.1989975365345</v>
      </c>
      <c r="G87" s="44">
        <v>1348.669</v>
      </c>
      <c r="H87" s="44">
        <v>0</v>
      </c>
      <c r="I87" s="44">
        <v>0</v>
      </c>
    </row>
    <row r="88" spans="1:9" ht="15">
      <c r="A88" s="43" t="str">
        <f>HLOOKUP(INDICE!$F$2,Nombres!$C$3:$D$636,53,FALSE)</f>
        <v>Activos financieros a valor razonable</v>
      </c>
      <c r="B88" s="58">
        <v>1305.1547781391948</v>
      </c>
      <c r="C88" s="58">
        <v>1566.895303361302</v>
      </c>
      <c r="D88" s="58">
        <v>1937.4247775294514</v>
      </c>
      <c r="E88" s="64">
        <v>2381.0032210837376</v>
      </c>
      <c r="F88" s="44">
        <v>2586.2877179305756</v>
      </c>
      <c r="G88" s="44">
        <v>3951.532</v>
      </c>
      <c r="H88" s="44">
        <v>0</v>
      </c>
      <c r="I88" s="44">
        <v>0</v>
      </c>
    </row>
    <row r="89" spans="1:9" ht="15">
      <c r="A89" s="43" t="str">
        <f>HLOOKUP(INDICE!$F$2,Nombres!$C$3:$D$636,54,FALSE)</f>
        <v>Activos financieros a coste amortizado</v>
      </c>
      <c r="B89" s="44">
        <v>1883.481462663337</v>
      </c>
      <c r="C89" s="44">
        <v>2454.0638553247118</v>
      </c>
      <c r="D89" s="44">
        <v>2644.048202834827</v>
      </c>
      <c r="E89" s="45">
        <v>3017.7628484759393</v>
      </c>
      <c r="F89" s="44">
        <v>3894.7841825424243</v>
      </c>
      <c r="G89" s="44">
        <v>4826.131</v>
      </c>
      <c r="H89" s="44">
        <v>0</v>
      </c>
      <c r="I89" s="44">
        <v>0</v>
      </c>
    </row>
    <row r="90" spans="1:9" ht="15">
      <c r="A90" s="43" t="str">
        <f>HLOOKUP(INDICE!$F$2,Nombres!$C$3:$D$636,55,FALSE)</f>
        <v>    de los que préstamos y anticipos a la clientela</v>
      </c>
      <c r="B90" s="44">
        <v>1478.7168613450215</v>
      </c>
      <c r="C90" s="44">
        <v>1852.629482917028</v>
      </c>
      <c r="D90" s="44">
        <v>2068.206240008292</v>
      </c>
      <c r="E90" s="45">
        <v>2562.1944235141846</v>
      </c>
      <c r="F90" s="44">
        <v>3101.1953803796505</v>
      </c>
      <c r="G90" s="44">
        <v>3819.7050000000004</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443.20911943460015</v>
      </c>
      <c r="C92" s="44">
        <v>528.7191074869488</v>
      </c>
      <c r="D92" s="44">
        <v>588.664126276335</v>
      </c>
      <c r="E92" s="45">
        <v>566.2445643789396</v>
      </c>
      <c r="F92" s="44">
        <v>582.2032877580453</v>
      </c>
      <c r="G92" s="44">
        <v>619.929</v>
      </c>
      <c r="H92" s="44">
        <v>0</v>
      </c>
      <c r="I92" s="44">
        <v>0</v>
      </c>
    </row>
    <row r="93" spans="1:9" ht="15">
      <c r="A93" s="43" t="str">
        <f>HLOOKUP(INDICE!$F$2,Nombres!$C$3:$D$636,57,FALSE)</f>
        <v>Otros activos</v>
      </c>
      <c r="B93" s="58">
        <f aca="true" t="shared" si="15" ref="B93:I93">+B94-B92-B89-B88-B87</f>
        <v>140.09597074878002</v>
      </c>
      <c r="C93" s="58">
        <f t="shared" si="15"/>
        <v>161.5261142720741</v>
      </c>
      <c r="D93" s="58">
        <f t="shared" si="15"/>
        <v>166.7264163391916</v>
      </c>
      <c r="E93" s="64">
        <f t="shared" si="15"/>
        <v>205.27832698780412</v>
      </c>
      <c r="F93" s="44">
        <f t="shared" si="15"/>
        <v>260.1011177454602</v>
      </c>
      <c r="G93" s="44">
        <f t="shared" si="15"/>
        <v>267.96760515000074</v>
      </c>
      <c r="H93" s="44">
        <f t="shared" si="15"/>
        <v>0</v>
      </c>
      <c r="I93" s="44">
        <f t="shared" si="15"/>
        <v>0</v>
      </c>
    </row>
    <row r="94" spans="1:9" ht="15">
      <c r="A94" s="47" t="str">
        <f>HLOOKUP(INDICE!$F$2,Nombres!$C$3:$D$636,58,FALSE)</f>
        <v>Total activo / pasivo</v>
      </c>
      <c r="B94" s="47">
        <v>4487.1314898792025</v>
      </c>
      <c r="C94" s="47">
        <v>5391.600070213781</v>
      </c>
      <c r="D94" s="47">
        <v>6073.536286169995</v>
      </c>
      <c r="E94" s="47">
        <v>7257.011660966161</v>
      </c>
      <c r="F94" s="51">
        <v>8668.57530351304</v>
      </c>
      <c r="G94" s="51">
        <v>11014.228605150001</v>
      </c>
      <c r="H94" s="51">
        <v>0</v>
      </c>
      <c r="I94" s="51">
        <v>0</v>
      </c>
    </row>
    <row r="95" spans="1:9" ht="15">
      <c r="A95" s="43" t="str">
        <f>HLOOKUP(INDICE!$F$2,Nombres!$C$3:$D$636,59,FALSE)</f>
        <v>Pasivos financieros mantenidos para negociar y designados a valor razonable con cambios en resultados</v>
      </c>
      <c r="B95" s="58">
        <v>1.17586611031521</v>
      </c>
      <c r="C95" s="58">
        <v>0.5280601365443189</v>
      </c>
      <c r="D95" s="58">
        <v>1.9903463621608044</v>
      </c>
      <c r="E95" s="64">
        <v>1.20109856328326</v>
      </c>
      <c r="F95" s="44">
        <v>1.8706494316079993</v>
      </c>
      <c r="G95" s="44">
        <v>162.553</v>
      </c>
      <c r="H95" s="44">
        <v>0</v>
      </c>
      <c r="I95" s="44">
        <v>0</v>
      </c>
    </row>
    <row r="96" spans="1:9" ht="15">
      <c r="A96" s="43" t="str">
        <f>HLOOKUP(INDICE!$F$2,Nombres!$C$3:$D$636,60,FALSE)</f>
        <v>Depósitos de bancos centrales y entidades de crédito</v>
      </c>
      <c r="B96" s="58">
        <v>51.63949353134186</v>
      </c>
      <c r="C96" s="58">
        <v>73.40222491653859</v>
      </c>
      <c r="D96" s="58">
        <v>62.3449605902613</v>
      </c>
      <c r="E96" s="64">
        <v>83.24615087450208</v>
      </c>
      <c r="F96" s="44">
        <v>101.49739703484238</v>
      </c>
      <c r="G96" s="44">
        <v>118.277</v>
      </c>
      <c r="H96" s="44">
        <v>0</v>
      </c>
      <c r="I96" s="44">
        <v>0</v>
      </c>
    </row>
    <row r="97" spans="1:9" ht="15">
      <c r="A97" s="43" t="str">
        <f>HLOOKUP(INDICE!$F$2,Nombres!$C$3:$D$636,61,FALSE)</f>
        <v>Depósitos de la clientela</v>
      </c>
      <c r="B97" s="58">
        <v>2859.5233007192082</v>
      </c>
      <c r="C97" s="58">
        <v>3494.582563690094</v>
      </c>
      <c r="D97" s="58">
        <v>3816.518245062867</v>
      </c>
      <c r="E97" s="64">
        <v>4714.857568576765</v>
      </c>
      <c r="F97" s="44">
        <v>5621.800164565726</v>
      </c>
      <c r="G97" s="44">
        <v>7197.075000000001</v>
      </c>
      <c r="H97" s="44">
        <v>0</v>
      </c>
      <c r="I97" s="44">
        <v>0</v>
      </c>
    </row>
    <row r="98" spans="1:9" ht="15">
      <c r="A98" s="43" t="str">
        <f>HLOOKUP(INDICE!$F$2,Nombres!$C$3:$D$636,62,FALSE)</f>
        <v>Valores representativos de deuda emitidos</v>
      </c>
      <c r="B98" s="44">
        <v>111.34616342279853</v>
      </c>
      <c r="C98" s="44">
        <v>131.2398603330726</v>
      </c>
      <c r="D98" s="44">
        <v>153.19495333452704</v>
      </c>
      <c r="E98" s="45">
        <v>184.28284400522963</v>
      </c>
      <c r="F98" s="44">
        <v>265.8351924835744</v>
      </c>
      <c r="G98" s="44">
        <v>320.51789386999997</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 aca="true" t="shared" si="16" ref="B100:I100">+B94-B95-B96-B97-B98-B101</f>
        <v>1085.0826274081714</v>
      </c>
      <c r="C100" s="58">
        <f t="shared" si="16"/>
        <v>1256.6282354931407</v>
      </c>
      <c r="D100" s="58">
        <f t="shared" si="16"/>
        <v>1524.9719022651984</v>
      </c>
      <c r="E100" s="64">
        <f t="shared" si="16"/>
        <v>1645.3812679355365</v>
      </c>
      <c r="F100" s="44">
        <f t="shared" si="16"/>
        <v>1782.8316840970933</v>
      </c>
      <c r="G100" s="44">
        <f t="shared" si="16"/>
        <v>2142.0483225200005</v>
      </c>
      <c r="H100" s="44">
        <f t="shared" si="16"/>
        <v>0</v>
      </c>
      <c r="I100" s="44">
        <f t="shared" si="16"/>
        <v>0</v>
      </c>
    </row>
    <row r="101" spans="1:9" ht="15">
      <c r="A101" s="43" t="str">
        <f>HLOOKUP(INDICE!$F$2,Nombres!$C$3:$D$636,282,FALSE)</f>
        <v>Dotación de capital regulatorio</v>
      </c>
      <c r="B101" s="58">
        <v>378.3640386873675</v>
      </c>
      <c r="C101" s="58">
        <v>435.2191256443914</v>
      </c>
      <c r="D101" s="58">
        <v>514.5158785549804</v>
      </c>
      <c r="E101" s="64">
        <v>628.0427310108453</v>
      </c>
      <c r="F101" s="44">
        <v>894.7402159001962</v>
      </c>
      <c r="G101" s="44">
        <v>1073.7573887600001</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G106">+B$30</f>
        <v>44651</v>
      </c>
      <c r="C106" s="53">
        <f t="shared" si="17"/>
        <v>44742</v>
      </c>
      <c r="D106" s="53">
        <f t="shared" si="17"/>
        <v>44834</v>
      </c>
      <c r="E106" s="67">
        <f t="shared" si="17"/>
        <v>44926</v>
      </c>
      <c r="F106" s="53">
        <f t="shared" si="17"/>
        <v>45016</v>
      </c>
      <c r="G106" s="53">
        <f t="shared" si="17"/>
        <v>45107</v>
      </c>
      <c r="H106" s="53">
        <f>+H$30</f>
        <v>45199</v>
      </c>
      <c r="I106" s="53">
        <f>+I$30</f>
        <v>45291</v>
      </c>
    </row>
    <row r="107" spans="1:9" ht="15">
      <c r="A107" s="43" t="str">
        <f>HLOOKUP(INDICE!$F$2,Nombres!$C$3:$D$636,66,FALSE)</f>
        <v>Préstamos y anticipos a la clientela bruto (*)</v>
      </c>
      <c r="B107" s="44">
        <v>1521.584897825554</v>
      </c>
      <c r="C107" s="44">
        <v>1898.6574808612224</v>
      </c>
      <c r="D107" s="44">
        <v>2123.196960909544</v>
      </c>
      <c r="E107" s="45">
        <v>2636.3998364430713</v>
      </c>
      <c r="F107" s="44">
        <v>3198.015339092689</v>
      </c>
      <c r="G107" s="44">
        <v>3944.527</v>
      </c>
      <c r="H107" s="44">
        <v>0</v>
      </c>
      <c r="I107" s="44">
        <v>0</v>
      </c>
    </row>
    <row r="108" spans="1:9" ht="15">
      <c r="A108" s="43" t="str">
        <f>HLOOKUP(INDICE!$F$2,Nombres!$C$3:$D$636,67,FALSE)</f>
        <v>Depósitos de clientes en gestión (**)</v>
      </c>
      <c r="B108" s="44">
        <v>2859.523300719208</v>
      </c>
      <c r="C108" s="44">
        <v>3494.5825636900945</v>
      </c>
      <c r="D108" s="44">
        <v>3816.5182450628668</v>
      </c>
      <c r="E108" s="45">
        <v>4714.857568576765</v>
      </c>
      <c r="F108" s="44">
        <v>5621.800164565726</v>
      </c>
      <c r="G108" s="44">
        <v>7197.075</v>
      </c>
      <c r="H108" s="44">
        <v>0</v>
      </c>
      <c r="I108" s="44">
        <v>0</v>
      </c>
    </row>
    <row r="109" spans="1:9" ht="15">
      <c r="A109" s="43" t="str">
        <f>HLOOKUP(INDICE!$F$2,Nombres!$C$3:$D$636,68,FALSE)</f>
        <v>Fondos de inversión y carteras gestionadas</v>
      </c>
      <c r="B109" s="44">
        <v>878.1574434856002</v>
      </c>
      <c r="C109" s="44">
        <v>926.756846055881</v>
      </c>
      <c r="D109" s="44">
        <v>1203.404426224694</v>
      </c>
      <c r="E109" s="45">
        <v>1559.1797980342094</v>
      </c>
      <c r="F109" s="44">
        <v>1884.2002106042905</v>
      </c>
      <c r="G109" s="44">
        <v>2266.12685729</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HLOOKUP(INDICE!$F$2,Nombres!$C$3:$D$636,78,FALSE)</f>
        <v>(Millones de pesos argentinos)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 aca="true" t="shared" si="18" ref="B119:I119">+B$7</f>
        <v>1er Trim.</v>
      </c>
      <c r="C119" s="39" t="str">
        <f t="shared" si="18"/>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39255.376981208814</v>
      </c>
      <c r="C120" s="41">
        <v>62174.86435180591</v>
      </c>
      <c r="D120" s="41">
        <v>98416.01296423678</v>
      </c>
      <c r="E120" s="42">
        <v>143666.01224386902</v>
      </c>
      <c r="F120" s="50">
        <v>134555.78309684078</v>
      </c>
      <c r="G120" s="50">
        <v>227518.3254381512</v>
      </c>
      <c r="H120" s="50">
        <v>0</v>
      </c>
      <c r="I120" s="50">
        <v>0</v>
      </c>
    </row>
    <row r="121" spans="1:9" ht="15">
      <c r="A121" s="43" t="str">
        <f>HLOOKUP(INDICE!$F$2,Nombres!$C$3:$D$636,34,FALSE)</f>
        <v>Comisiones netas</v>
      </c>
      <c r="B121" s="44">
        <v>7500.7877446470375</v>
      </c>
      <c r="C121" s="44">
        <v>11485.081333382894</v>
      </c>
      <c r="D121" s="44">
        <v>12745.035927600224</v>
      </c>
      <c r="E121" s="45">
        <v>14679.966229370371</v>
      </c>
      <c r="F121" s="44">
        <v>11167.403848103886</v>
      </c>
      <c r="G121" s="44">
        <v>26918.784170752173</v>
      </c>
      <c r="H121" s="44">
        <v>0</v>
      </c>
      <c r="I121" s="44">
        <v>0</v>
      </c>
    </row>
    <row r="122" spans="1:9" ht="15">
      <c r="A122" s="43" t="str">
        <f>HLOOKUP(INDICE!$F$2,Nombres!$C$3:$D$636,35,FALSE)</f>
        <v>Resultados de operaciones financieras</v>
      </c>
      <c r="B122" s="44">
        <v>4189.318622586353</v>
      </c>
      <c r="C122" s="44">
        <v>4370.724426444238</v>
      </c>
      <c r="D122" s="44">
        <v>9428.153383298692</v>
      </c>
      <c r="E122" s="45">
        <v>7871.642187226968</v>
      </c>
      <c r="F122" s="44">
        <v>7967.88804720744</v>
      </c>
      <c r="G122" s="44">
        <v>18116.21701567333</v>
      </c>
      <c r="H122" s="44">
        <v>0</v>
      </c>
      <c r="I122" s="44">
        <v>0</v>
      </c>
    </row>
    <row r="123" spans="1:9" ht="15">
      <c r="A123" s="43" t="str">
        <f>HLOOKUP(INDICE!$F$2,Nombres!$C$3:$D$636,36,FALSE)</f>
        <v>Otros ingresos y cargas de explotación</v>
      </c>
      <c r="B123" s="44">
        <v>-22892.69034562647</v>
      </c>
      <c r="C123" s="44">
        <v>-35348.83249179063</v>
      </c>
      <c r="D123" s="44">
        <v>-58377.302871699314</v>
      </c>
      <c r="E123" s="45">
        <v>-71074.59796859634</v>
      </c>
      <c r="F123" s="44">
        <v>-69595.28437385114</v>
      </c>
      <c r="G123" s="44">
        <v>-132644.5235030981</v>
      </c>
      <c r="H123" s="44">
        <v>0</v>
      </c>
      <c r="I123" s="44">
        <v>0</v>
      </c>
    </row>
    <row r="124" spans="1:9" ht="15">
      <c r="A124" s="41" t="str">
        <f>HLOOKUP(INDICE!$F$2,Nombres!$C$3:$D$636,37,FALSE)</f>
        <v>Margen bruto</v>
      </c>
      <c r="B124" s="41">
        <f aca="true" t="shared" si="19" ref="B124:I124">+SUM(B120:B123)</f>
        <v>28052.793002815735</v>
      </c>
      <c r="C124" s="41">
        <f t="shared" si="19"/>
        <v>42681.83761984242</v>
      </c>
      <c r="D124" s="41">
        <f t="shared" si="19"/>
        <v>62211.899403436386</v>
      </c>
      <c r="E124" s="42">
        <f t="shared" si="19"/>
        <v>95143.02269187</v>
      </c>
      <c r="F124" s="50">
        <f t="shared" si="19"/>
        <v>84095.79061830096</v>
      </c>
      <c r="G124" s="50">
        <f t="shared" si="19"/>
        <v>139908.8031214786</v>
      </c>
      <c r="H124" s="50">
        <f t="shared" si="19"/>
        <v>0</v>
      </c>
      <c r="I124" s="50">
        <f t="shared" si="19"/>
        <v>0</v>
      </c>
    </row>
    <row r="125" spans="1:9" ht="15">
      <c r="A125" s="43" t="str">
        <f>HLOOKUP(INDICE!$F$2,Nombres!$C$3:$D$636,38,FALSE)</f>
        <v>Gastos de explotación</v>
      </c>
      <c r="B125" s="44">
        <v>-17932.92927224916</v>
      </c>
      <c r="C125" s="44">
        <v>-29052.84725754345</v>
      </c>
      <c r="D125" s="44">
        <v>-39981.70947096718</v>
      </c>
      <c r="E125" s="45">
        <v>-52769.805430817665</v>
      </c>
      <c r="F125" s="44">
        <v>-45537.59241725384</v>
      </c>
      <c r="G125" s="44">
        <v>-71752.841931909</v>
      </c>
      <c r="H125" s="44">
        <v>0</v>
      </c>
      <c r="I125" s="44">
        <v>0</v>
      </c>
    </row>
    <row r="126" spans="1:9" ht="15">
      <c r="A126" s="43" t="str">
        <f>HLOOKUP(INDICE!$F$2,Nombres!$C$3:$D$636,39,FALSE)</f>
        <v>  Gastos de administración</v>
      </c>
      <c r="B126" s="44">
        <v>-17212.011149491897</v>
      </c>
      <c r="C126" s="44">
        <v>-26839.68035362372</v>
      </c>
      <c r="D126" s="44">
        <v>-37424.643032343185</v>
      </c>
      <c r="E126" s="45">
        <v>-49026.20178813701</v>
      </c>
      <c r="F126" s="44">
        <v>-43119.36447744749</v>
      </c>
      <c r="G126" s="44">
        <v>-67632.64579031349</v>
      </c>
      <c r="H126" s="44">
        <v>0</v>
      </c>
      <c r="I126" s="44">
        <v>0</v>
      </c>
    </row>
    <row r="127" spans="1:9" ht="15">
      <c r="A127" s="46" t="str">
        <f>HLOOKUP(INDICE!$F$2,Nombres!$C$3:$D$636,40,FALSE)</f>
        <v>  Gastos de personal</v>
      </c>
      <c r="B127" s="44">
        <v>-9287.71561361275</v>
      </c>
      <c r="C127" s="44">
        <v>-14521.884323539281</v>
      </c>
      <c r="D127" s="44">
        <v>-19603.43179008423</v>
      </c>
      <c r="E127" s="45">
        <v>-26325.044310716305</v>
      </c>
      <c r="F127" s="44">
        <v>-22576.17678888639</v>
      </c>
      <c r="G127" s="44">
        <v>-34691.486058222246</v>
      </c>
      <c r="H127" s="44">
        <v>0</v>
      </c>
      <c r="I127" s="44">
        <v>0</v>
      </c>
    </row>
    <row r="128" spans="1:9" ht="15">
      <c r="A128" s="46" t="str">
        <f>HLOOKUP(INDICE!$F$2,Nombres!$C$3:$D$636,41,FALSE)</f>
        <v>  Otros gastos de administración</v>
      </c>
      <c r="B128" s="44">
        <v>-7924.295535879146</v>
      </c>
      <c r="C128" s="44">
        <v>-12317.796030084442</v>
      </c>
      <c r="D128" s="44">
        <v>-17821.211242258956</v>
      </c>
      <c r="E128" s="45">
        <v>-22701.15747742071</v>
      </c>
      <c r="F128" s="44">
        <v>-20543.1876885611</v>
      </c>
      <c r="G128" s="44">
        <v>-32941.159732091255</v>
      </c>
      <c r="H128" s="44">
        <v>0</v>
      </c>
      <c r="I128" s="44">
        <v>0</v>
      </c>
    </row>
    <row r="129" spans="1:9" ht="15">
      <c r="A129" s="43" t="str">
        <f>HLOOKUP(INDICE!$F$2,Nombres!$C$3:$D$636,42,FALSE)</f>
        <v>  Amortización</v>
      </c>
      <c r="B129" s="44">
        <v>-720.918122757257</v>
      </c>
      <c r="C129" s="44">
        <v>-2213.166903919725</v>
      </c>
      <c r="D129" s="44">
        <v>-2557.0664386239896</v>
      </c>
      <c r="E129" s="45">
        <v>-3743.6036426806527</v>
      </c>
      <c r="F129" s="44">
        <v>-2418.2279398063592</v>
      </c>
      <c r="G129" s="44">
        <v>-4120.196141595496</v>
      </c>
      <c r="H129" s="44">
        <v>0</v>
      </c>
      <c r="I129" s="44">
        <v>0</v>
      </c>
    </row>
    <row r="130" spans="1:9" ht="15">
      <c r="A130" s="41" t="str">
        <f>HLOOKUP(INDICE!$F$2,Nombres!$C$3:$D$636,43,FALSE)</f>
        <v>Margen neto</v>
      </c>
      <c r="B130" s="41">
        <f aca="true" t="shared" si="20" ref="B130:I130">+B124+B125</f>
        <v>10119.863730566576</v>
      </c>
      <c r="C130" s="41">
        <f t="shared" si="20"/>
        <v>13628.990362298973</v>
      </c>
      <c r="D130" s="41">
        <f t="shared" si="20"/>
        <v>22230.189932469206</v>
      </c>
      <c r="E130" s="42">
        <f t="shared" si="20"/>
        <v>42373.21726105234</v>
      </c>
      <c r="F130" s="50">
        <f t="shared" si="20"/>
        <v>38558.19820104712</v>
      </c>
      <c r="G130" s="50">
        <f t="shared" si="20"/>
        <v>68155.96118956959</v>
      </c>
      <c r="H130" s="50">
        <f t="shared" si="20"/>
        <v>0</v>
      </c>
      <c r="I130" s="50">
        <f t="shared" si="20"/>
        <v>0</v>
      </c>
    </row>
    <row r="131" spans="1:9" ht="15">
      <c r="A131" s="43" t="str">
        <f>HLOOKUP(INDICE!$F$2,Nombres!$C$3:$D$636,44,FALSE)</f>
        <v>Deterioro de activos financieros no valorados a valor razonable con cambios en resultados</v>
      </c>
      <c r="B131" s="44">
        <v>-5830.017454215773</v>
      </c>
      <c r="C131" s="44">
        <v>-2525.9553703188435</v>
      </c>
      <c r="D131" s="44">
        <v>-8358.365569115002</v>
      </c>
      <c r="E131" s="45">
        <v>-15501.07661764088</v>
      </c>
      <c r="F131" s="44">
        <v>-10724.591377325087</v>
      </c>
      <c r="G131" s="44">
        <v>-28000.041747294905</v>
      </c>
      <c r="H131" s="44">
        <v>0</v>
      </c>
      <c r="I131" s="44">
        <v>0</v>
      </c>
    </row>
    <row r="132" spans="1:9" ht="15">
      <c r="A132" s="43" t="str">
        <f>HLOOKUP(INDICE!$F$2,Nombres!$C$3:$D$636,45,FALSE)</f>
        <v>Provisiones o reversión de provisiones y otros resultados</v>
      </c>
      <c r="B132" s="44">
        <v>-595.4500498128259</v>
      </c>
      <c r="C132" s="44">
        <v>-1678.693143285328</v>
      </c>
      <c r="D132" s="44">
        <v>-766.3003617940602</v>
      </c>
      <c r="E132" s="45">
        <v>-4855.105227184548</v>
      </c>
      <c r="F132" s="44">
        <v>-1463.8672509915982</v>
      </c>
      <c r="G132" s="44">
        <v>-3245.257072508362</v>
      </c>
      <c r="H132" s="44">
        <v>0</v>
      </c>
      <c r="I132" s="44">
        <v>0</v>
      </c>
    </row>
    <row r="133" spans="1:9" ht="15">
      <c r="A133" s="41" t="str">
        <f>HLOOKUP(INDICE!$F$2,Nombres!$C$3:$D$636,46,FALSE)</f>
        <v>Resultado antes de impuestos</v>
      </c>
      <c r="B133" s="41">
        <f aca="true" t="shared" si="21" ref="B133:I133">+B130+B131+B132</f>
        <v>3694.3962265379773</v>
      </c>
      <c r="C133" s="41">
        <f t="shared" si="21"/>
        <v>9424.341848694803</v>
      </c>
      <c r="D133" s="41">
        <f t="shared" si="21"/>
        <v>13105.524001560145</v>
      </c>
      <c r="E133" s="42">
        <f t="shared" si="21"/>
        <v>22017.035416226914</v>
      </c>
      <c r="F133" s="50">
        <f t="shared" si="21"/>
        <v>26369.739572730432</v>
      </c>
      <c r="G133" s="50">
        <f t="shared" si="21"/>
        <v>36910.662369766316</v>
      </c>
      <c r="H133" s="50">
        <f t="shared" si="21"/>
        <v>0</v>
      </c>
      <c r="I133" s="50">
        <f t="shared" si="21"/>
        <v>0</v>
      </c>
    </row>
    <row r="134" spans="1:9" ht="15">
      <c r="A134" s="43" t="str">
        <f>HLOOKUP(INDICE!$F$2,Nombres!$C$3:$D$636,47,FALSE)</f>
        <v>Impuesto sobre beneficios</v>
      </c>
      <c r="B134" s="44">
        <v>-598.5721190301672</v>
      </c>
      <c r="C134" s="44">
        <v>6459.33531566955</v>
      </c>
      <c r="D134" s="44">
        <v>227.31834962307494</v>
      </c>
      <c r="E134" s="45">
        <v>-3754.8095861183538</v>
      </c>
      <c r="F134" s="44">
        <v>-9042.12149503834</v>
      </c>
      <c r="G134" s="44">
        <v>-13581.559821306559</v>
      </c>
      <c r="H134" s="44">
        <v>0</v>
      </c>
      <c r="I134" s="44">
        <v>0</v>
      </c>
    </row>
    <row r="135" spans="1:9" ht="15">
      <c r="A135" s="41" t="str">
        <f>HLOOKUP(INDICE!$F$2,Nombres!$C$3:$D$636,48,FALSE)</f>
        <v>Resultado del ejercicio</v>
      </c>
      <c r="B135" s="41">
        <f aca="true" t="shared" si="22" ref="B135:I135">+B133+B134</f>
        <v>3095.8241075078104</v>
      </c>
      <c r="C135" s="41">
        <f t="shared" si="22"/>
        <v>15883.677164364353</v>
      </c>
      <c r="D135" s="41">
        <f t="shared" si="22"/>
        <v>13332.842351183219</v>
      </c>
      <c r="E135" s="42">
        <f t="shared" si="22"/>
        <v>18262.22583010856</v>
      </c>
      <c r="F135" s="50">
        <f t="shared" si="22"/>
        <v>17327.618077692092</v>
      </c>
      <c r="G135" s="50">
        <f t="shared" si="22"/>
        <v>23329.102548459756</v>
      </c>
      <c r="H135" s="50">
        <f t="shared" si="22"/>
        <v>0</v>
      </c>
      <c r="I135" s="50">
        <f t="shared" si="22"/>
        <v>0</v>
      </c>
    </row>
    <row r="136" spans="1:9" ht="15">
      <c r="A136" s="43" t="str">
        <f>HLOOKUP(INDICE!$F$2,Nombres!$C$3:$D$636,49,FALSE)</f>
        <v>Minoritarios</v>
      </c>
      <c r="B136" s="44">
        <v>-822.6114574155442</v>
      </c>
      <c r="C136" s="44">
        <v>-5080.860004218716</v>
      </c>
      <c r="D136" s="44">
        <v>-4033.47554606222</v>
      </c>
      <c r="E136" s="45">
        <v>-5686.023480044996</v>
      </c>
      <c r="F136" s="44">
        <v>-5519.356902904249</v>
      </c>
      <c r="G136" s="44">
        <v>-7236.007038200979</v>
      </c>
      <c r="H136" s="44">
        <v>0</v>
      </c>
      <c r="I136" s="44">
        <v>0</v>
      </c>
    </row>
    <row r="137" spans="1:9" ht="15">
      <c r="A137" s="47" t="str">
        <f>HLOOKUP(INDICE!$F$2,Nombres!$C$3:$D$636,50,FALSE)</f>
        <v>Resultado atribuido</v>
      </c>
      <c r="B137" s="47">
        <f aca="true" t="shared" si="23" ref="B137:I137">+B135+B136</f>
        <v>2273.212650092266</v>
      </c>
      <c r="C137" s="47">
        <f t="shared" si="23"/>
        <v>10802.817160145638</v>
      </c>
      <c r="D137" s="47">
        <f t="shared" si="23"/>
        <v>9299.366805120999</v>
      </c>
      <c r="E137" s="47">
        <f t="shared" si="23"/>
        <v>12576.202350063564</v>
      </c>
      <c r="F137" s="51">
        <f t="shared" si="23"/>
        <v>11808.261174787844</v>
      </c>
      <c r="G137" s="51">
        <f t="shared" si="23"/>
        <v>16093.095510258776</v>
      </c>
      <c r="H137" s="51">
        <f t="shared" si="23"/>
        <v>0</v>
      </c>
      <c r="I137" s="51">
        <f t="shared" si="23"/>
        <v>0</v>
      </c>
    </row>
    <row r="138" spans="1:9" ht="15">
      <c r="A138" s="62"/>
      <c r="B138" s="63">
        <v>0</v>
      </c>
      <c r="C138" s="63">
        <v>0</v>
      </c>
      <c r="D138" s="63">
        <v>0</v>
      </c>
      <c r="E138" s="63">
        <v>0</v>
      </c>
      <c r="F138" s="63">
        <v>0</v>
      </c>
      <c r="G138" s="63">
        <v>1.6370904631912708E-11</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HLOOKUP(INDICE!$F$2,Nombres!$C$3:$D$636,78,FALSE)</f>
        <v>(Millones de pesos argentinos)</v>
      </c>
      <c r="B141" s="30"/>
      <c r="C141" s="52"/>
      <c r="D141" s="52"/>
      <c r="E141" s="52"/>
      <c r="F141" s="69"/>
      <c r="G141" s="44"/>
      <c r="H141" s="44"/>
      <c r="I141" s="44"/>
    </row>
    <row r="142" spans="1:9" ht="15.75">
      <c r="A142" s="30"/>
      <c r="B142" s="53">
        <f aca="true" t="shared" si="24" ref="B142:G142">+B$30</f>
        <v>44651</v>
      </c>
      <c r="C142" s="53">
        <f t="shared" si="24"/>
        <v>44742</v>
      </c>
      <c r="D142" s="53">
        <f t="shared" si="24"/>
        <v>44834</v>
      </c>
      <c r="E142" s="67">
        <f t="shared" si="24"/>
        <v>44926</v>
      </c>
      <c r="F142" s="53">
        <f t="shared" si="24"/>
        <v>45016</v>
      </c>
      <c r="G142" s="53">
        <f t="shared" si="24"/>
        <v>45107</v>
      </c>
      <c r="H142" s="53">
        <f>+H$30</f>
        <v>45199</v>
      </c>
      <c r="I142" s="53">
        <f>+I$30</f>
        <v>45291</v>
      </c>
    </row>
    <row r="143" spans="1:9" ht="15">
      <c r="A143" s="43" t="str">
        <f>HLOOKUP(INDICE!$F$2,Nombres!$C$3:$D$636,52,FALSE)</f>
        <v>Efectivo, saldos en efectivo en bancos centrales y otros depósitos a la vista</v>
      </c>
      <c r="B143" s="44">
        <v>199131.99155514664</v>
      </c>
      <c r="C143" s="44">
        <v>189444.0898891105</v>
      </c>
      <c r="D143" s="44">
        <v>205113.44099798083</v>
      </c>
      <c r="E143" s="45">
        <v>302578.62588876556</v>
      </c>
      <c r="F143" s="44">
        <v>374546.7580705409</v>
      </c>
      <c r="G143" s="44">
        <v>375512.9185981415</v>
      </c>
      <c r="H143" s="44">
        <v>0</v>
      </c>
      <c r="I143" s="44">
        <v>0</v>
      </c>
    </row>
    <row r="144" spans="1:9" ht="15">
      <c r="A144" s="43" t="str">
        <f>HLOOKUP(INDICE!$F$2,Nombres!$C$3:$D$636,53,FALSE)</f>
        <v>Activos financieros a valor razonable</v>
      </c>
      <c r="B144" s="58">
        <v>363397.1567236727</v>
      </c>
      <c r="C144" s="58">
        <v>436274.15511361416</v>
      </c>
      <c r="D144" s="58">
        <v>539441.503270587</v>
      </c>
      <c r="E144" s="64">
        <v>662948.0389485712</v>
      </c>
      <c r="F144" s="44">
        <v>720105.8594025943</v>
      </c>
      <c r="G144" s="44">
        <v>1100233.8707673652</v>
      </c>
      <c r="H144" s="44">
        <v>0</v>
      </c>
      <c r="I144" s="44">
        <v>0</v>
      </c>
    </row>
    <row r="145" spans="1:9" ht="15">
      <c r="A145" s="43" t="str">
        <f>HLOOKUP(INDICE!$F$2,Nombres!$C$3:$D$636,54,FALSE)</f>
        <v>Activos financieros a coste amortizado</v>
      </c>
      <c r="B145" s="44">
        <v>524421.9457629755</v>
      </c>
      <c r="C145" s="44">
        <v>683290.4743411392</v>
      </c>
      <c r="D145" s="44">
        <v>736188.2400801654</v>
      </c>
      <c r="E145" s="45">
        <v>840242.4426365858</v>
      </c>
      <c r="F145" s="44">
        <v>1084433.4493462685</v>
      </c>
      <c r="G145" s="44">
        <v>1343750.421598604</v>
      </c>
      <c r="H145" s="44">
        <v>0</v>
      </c>
      <c r="I145" s="44">
        <v>0</v>
      </c>
    </row>
    <row r="146" spans="1:9" ht="15">
      <c r="A146" s="43" t="str">
        <f>HLOOKUP(INDICE!$F$2,Nombres!$C$3:$D$636,55,FALSE)</f>
        <v>    de los que préstamos y anticipos a la clientela</v>
      </c>
      <c r="B146" s="44">
        <v>411722.43477380474</v>
      </c>
      <c r="C146" s="44">
        <v>515831.7602103548</v>
      </c>
      <c r="D146" s="44">
        <v>575855.2776466296</v>
      </c>
      <c r="E146" s="45">
        <v>713397.5096852484</v>
      </c>
      <c r="F146" s="44">
        <v>863472.7486354593</v>
      </c>
      <c r="G146" s="44">
        <v>1063528.985046675</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64524.32673778189</v>
      </c>
      <c r="C148" s="44">
        <v>80714.48404019405</v>
      </c>
      <c r="D148" s="44">
        <v>97894.96991759767</v>
      </c>
      <c r="E148" s="45">
        <v>116737.16763850418</v>
      </c>
      <c r="F148" s="44">
        <v>137606.2438010224</v>
      </c>
      <c r="G148" s="44">
        <v>172608.21455347998</v>
      </c>
      <c r="H148" s="44">
        <v>0</v>
      </c>
      <c r="I148" s="44">
        <v>0</v>
      </c>
    </row>
    <row r="149" spans="1:9" ht="15">
      <c r="A149" s="43" t="str">
        <f>HLOOKUP(INDICE!$F$2,Nombres!$C$3:$D$636,57,FALSE)</f>
        <v>Otros activos</v>
      </c>
      <c r="B149" s="58">
        <f aca="true" t="shared" si="25" ref="B149:I149">+B150-B148-B145-B144-B143</f>
        <v>36582.55645935418</v>
      </c>
      <c r="C149" s="58">
        <f t="shared" si="25"/>
        <v>41816.29879694179</v>
      </c>
      <c r="D149" s="58">
        <f t="shared" si="25"/>
        <v>42545.368493609305</v>
      </c>
      <c r="E149" s="64">
        <f t="shared" si="25"/>
        <v>54423.37062826415</v>
      </c>
      <c r="F149" s="44">
        <f t="shared" si="25"/>
        <v>70741.87319792673</v>
      </c>
      <c r="G149" s="44">
        <f t="shared" si="25"/>
        <v>74610.81814709958</v>
      </c>
      <c r="H149" s="44">
        <f t="shared" si="25"/>
        <v>0</v>
      </c>
      <c r="I149" s="44">
        <f t="shared" si="25"/>
        <v>0</v>
      </c>
    </row>
    <row r="150" spans="1:9" ht="15">
      <c r="A150" s="47" t="str">
        <f>HLOOKUP(INDICE!$F$2,Nombres!$C$3:$D$636,58,FALSE)</f>
        <v>Total activo / pasivo</v>
      </c>
      <c r="B150" s="47">
        <v>1188057.977238931</v>
      </c>
      <c r="C150" s="47">
        <v>1431539.5021809996</v>
      </c>
      <c r="D150" s="47">
        <v>1621183.5227599402</v>
      </c>
      <c r="E150" s="47">
        <v>1976929.6457406909</v>
      </c>
      <c r="F150" s="51">
        <v>2387434.183818353</v>
      </c>
      <c r="G150" s="51">
        <v>3066716.2436646903</v>
      </c>
      <c r="H150" s="51">
        <v>0</v>
      </c>
      <c r="I150" s="51">
        <v>0</v>
      </c>
    </row>
    <row r="151" spans="1:9" ht="15">
      <c r="A151" s="43" t="str">
        <f>HLOOKUP(INDICE!$F$2,Nombres!$C$3:$D$636,59,FALSE)</f>
        <v>Pasivos financieros mantenidos para negociar y designados a valor razonable con cambios en resultados</v>
      </c>
      <c r="B151" s="58">
        <v>327.3990244938593</v>
      </c>
      <c r="C151" s="58">
        <v>147.02896193883774</v>
      </c>
      <c r="D151" s="58">
        <v>554.1765781494179</v>
      </c>
      <c r="E151" s="64">
        <v>334.4245526682467</v>
      </c>
      <c r="F151" s="44">
        <v>520.8490947275235</v>
      </c>
      <c r="G151" s="44">
        <v>45259.99445148046</v>
      </c>
      <c r="H151" s="44">
        <v>0</v>
      </c>
      <c r="I151" s="44">
        <v>0</v>
      </c>
    </row>
    <row r="152" spans="1:9" ht="15">
      <c r="A152" s="43" t="str">
        <f>HLOOKUP(INDICE!$F$2,Nombres!$C$3:$D$636,60,FALSE)</f>
        <v>Depósitos de bancos centrales y entidades de crédito</v>
      </c>
      <c r="B152" s="58">
        <v>14378.099393464247</v>
      </c>
      <c r="C152" s="58">
        <v>20437.54524646643</v>
      </c>
      <c r="D152" s="58">
        <v>17358.846470954053</v>
      </c>
      <c r="E152" s="64">
        <v>23178.411513088464</v>
      </c>
      <c r="F152" s="44">
        <v>28260.146700686393</v>
      </c>
      <c r="G152" s="44">
        <v>32932.12899016171</v>
      </c>
      <c r="H152" s="44">
        <v>0</v>
      </c>
      <c r="I152" s="44">
        <v>0</v>
      </c>
    </row>
    <row r="153" spans="1:9" ht="15">
      <c r="A153" s="43" t="str">
        <f>HLOOKUP(INDICE!$F$2,Nombres!$C$3:$D$636,61,FALSE)</f>
        <v>Depósitos de la clientela</v>
      </c>
      <c r="B153" s="58">
        <v>796183.4523166625</v>
      </c>
      <c r="C153" s="58">
        <v>973004.4197452771</v>
      </c>
      <c r="D153" s="58">
        <v>1062641.6897597662</v>
      </c>
      <c r="E153" s="64">
        <v>1312768.3118324797</v>
      </c>
      <c r="F153" s="44">
        <v>1565290.362254629</v>
      </c>
      <c r="G153" s="44">
        <v>2003897.6491783527</v>
      </c>
      <c r="H153" s="44">
        <v>0</v>
      </c>
      <c r="I153" s="44">
        <v>0</v>
      </c>
    </row>
    <row r="154" spans="1:9" ht="15">
      <c r="A154" s="43" t="str">
        <f>HLOOKUP(INDICE!$F$2,Nombres!$C$3:$D$636,62,FALSE)</f>
        <v>Valores representativos de deuda emitidos</v>
      </c>
      <c r="B154" s="44">
        <v>31002.360699030454</v>
      </c>
      <c r="C154" s="44">
        <v>36541.407113298046</v>
      </c>
      <c r="D154" s="44">
        <v>42654.41264028041</v>
      </c>
      <c r="E154" s="45">
        <v>51310.2833979055</v>
      </c>
      <c r="F154" s="44">
        <v>74017.08573089897</v>
      </c>
      <c r="G154" s="44">
        <v>89242.5122769583</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 aca="true" t="shared" si="26" ref="B156:I156">+B150-B151-B152-B153-B154-B157</f>
        <v>240848.0124429269</v>
      </c>
      <c r="C156" s="58">
        <f t="shared" si="26"/>
        <v>280261.13332708844</v>
      </c>
      <c r="D156" s="58">
        <f t="shared" si="26"/>
        <v>354746.52828060335</v>
      </c>
      <c r="E156" s="64">
        <f t="shared" si="26"/>
        <v>414490.2574522189</v>
      </c>
      <c r="F156" s="44">
        <f t="shared" si="26"/>
        <v>473607.284936622</v>
      </c>
      <c r="G156" s="44">
        <f t="shared" si="26"/>
        <v>596415.2934246568</v>
      </c>
      <c r="H156" s="44">
        <f t="shared" si="26"/>
        <v>0</v>
      </c>
      <c r="I156" s="44">
        <f t="shared" si="26"/>
        <v>0</v>
      </c>
    </row>
    <row r="157" spans="1:9" ht="15.75" customHeight="1">
      <c r="A157" s="43" t="str">
        <f>HLOOKUP(INDICE!$F$2,Nombres!$C$3:$D$636,282,FALSE)</f>
        <v>Dotación de capital regulatorio</v>
      </c>
      <c r="B157" s="58">
        <v>105318.65336235319</v>
      </c>
      <c r="C157" s="58">
        <v>121147.96778693065</v>
      </c>
      <c r="D157" s="58">
        <v>143227.86903018667</v>
      </c>
      <c r="E157" s="64">
        <v>174847.9569923299</v>
      </c>
      <c r="F157" s="44">
        <v>245738.45510078905</v>
      </c>
      <c r="G157" s="44">
        <v>298968.66534308036</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HLOOKUP(INDICE!$F$2,Nombres!$C$3:$D$636,78,FALSE)</f>
        <v>(Millones de pesos argentinos)</v>
      </c>
      <c r="B161" s="30"/>
      <c r="C161" s="30"/>
      <c r="D161" s="30"/>
      <c r="E161" s="30"/>
      <c r="F161" s="69"/>
      <c r="G161" s="44"/>
      <c r="H161" s="44"/>
      <c r="I161" s="44"/>
    </row>
    <row r="162" spans="1:9" ht="15.75">
      <c r="A162" s="30"/>
      <c r="B162" s="53">
        <f aca="true" t="shared" si="27" ref="B162:G162">+B$30</f>
        <v>44651</v>
      </c>
      <c r="C162" s="53">
        <f t="shared" si="27"/>
        <v>44742</v>
      </c>
      <c r="D162" s="53">
        <f t="shared" si="27"/>
        <v>44834</v>
      </c>
      <c r="E162" s="67">
        <f t="shared" si="27"/>
        <v>44926</v>
      </c>
      <c r="F162" s="53">
        <f t="shared" si="27"/>
        <v>45016</v>
      </c>
      <c r="G162" s="53">
        <f t="shared" si="27"/>
        <v>45107</v>
      </c>
      <c r="H162" s="53">
        <f>+H$30</f>
        <v>45199</v>
      </c>
      <c r="I162" s="53">
        <f>+I$30</f>
        <v>45291</v>
      </c>
    </row>
    <row r="163" spans="1:9" ht="15">
      <c r="A163" s="43" t="str">
        <f>HLOOKUP(INDICE!$F$2,Nombres!$C$3:$D$636,66,FALSE)</f>
        <v>Préstamos y anticipos a la clientela bruto (*)</v>
      </c>
      <c r="B163" s="44">
        <v>423658.27781118185</v>
      </c>
      <c r="C163" s="44">
        <v>528647.4383680448</v>
      </c>
      <c r="D163" s="44">
        <v>591166.4667534047</v>
      </c>
      <c r="E163" s="44">
        <v>734058.6883619338</v>
      </c>
      <c r="F163" s="44">
        <v>890430.5457486758</v>
      </c>
      <c r="G163" s="44">
        <v>1098283.4529889629</v>
      </c>
      <c r="H163" s="44">
        <v>0</v>
      </c>
      <c r="I163" s="44">
        <v>0</v>
      </c>
    </row>
    <row r="164" spans="1:9" ht="15">
      <c r="A164" s="43" t="str">
        <f>HLOOKUP(INDICE!$F$2,Nombres!$C$3:$D$636,67,FALSE)</f>
        <v>Depósitos de clientes en gestión (**)</v>
      </c>
      <c r="B164" s="44">
        <v>796183.4523166625</v>
      </c>
      <c r="C164" s="44">
        <v>973004.419745277</v>
      </c>
      <c r="D164" s="44">
        <v>1062641.6897597665</v>
      </c>
      <c r="E164" s="44">
        <v>1312768.3118324794</v>
      </c>
      <c r="F164" s="44">
        <v>1565290.3622546287</v>
      </c>
      <c r="G164" s="44">
        <v>2003897.6491783524</v>
      </c>
      <c r="H164" s="44">
        <v>0</v>
      </c>
      <c r="I164" s="44">
        <v>0</v>
      </c>
    </row>
    <row r="165" spans="1:9" ht="15">
      <c r="A165" s="43" t="str">
        <f>HLOOKUP(INDICE!$F$2,Nombres!$C$3:$D$636,68,FALSE)</f>
        <v>Fondos de inversión y carteras gestionadas</v>
      </c>
      <c r="B165" s="44">
        <v>244507.33618994747</v>
      </c>
      <c r="C165" s="44">
        <v>258038.97627457322</v>
      </c>
      <c r="D165" s="44">
        <v>335066.57923149166</v>
      </c>
      <c r="E165" s="44">
        <v>434125.90975182713</v>
      </c>
      <c r="F165" s="44">
        <v>524622.068355727</v>
      </c>
      <c r="G165" s="44">
        <v>630962.7566842583</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58"/>
      <c r="G168" s="58"/>
      <c r="H168" s="58"/>
      <c r="I168" s="58"/>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H26:I26">
    <cfRule type="cellIs" priority="27" dxfId="196" operator="notBetween">
      <formula>0.5</formula>
      <formula>-0.5</formula>
    </cfRule>
  </conditionalFormatting>
  <conditionalFormatting sqref="H82:I82">
    <cfRule type="cellIs" priority="26" dxfId="196" operator="notBetween">
      <formula>0.5</formula>
      <formula>-0.5</formula>
    </cfRule>
  </conditionalFormatting>
  <conditionalFormatting sqref="H138:I138">
    <cfRule type="cellIs" priority="25" dxfId="196" operator="notBetween">
      <formula>0.5</formula>
      <formula>-0.5</formula>
    </cfRule>
  </conditionalFormatting>
  <conditionalFormatting sqref="B26:G26">
    <cfRule type="cellIs" priority="3" dxfId="196" operator="notBetween">
      <formula>0.5</formula>
      <formula>-0.5</formula>
    </cfRule>
  </conditionalFormatting>
  <conditionalFormatting sqref="B82:G82">
    <cfRule type="cellIs" priority="2" dxfId="196" operator="notBetween">
      <formula>0.5</formula>
      <formula>-0.5</formula>
    </cfRule>
  </conditionalFormatting>
  <conditionalFormatting sqref="B138:G138">
    <cfRule type="cellIs" priority="1" dxfId="196"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LERCHUNDI LIZASO ,ION</cp:lastModifiedBy>
  <dcterms:created xsi:type="dcterms:W3CDTF">2019-04-26T12:12:53Z</dcterms:created>
  <dcterms:modified xsi:type="dcterms:W3CDTF">2023-07-26T11:30:54Z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