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90" windowHeight="7005" firstSheet="1" activeTab="1"/>
  </bookViews>
  <sheets>
    <sheet name="Nombres" sheetId="1" state="hidden" r:id="rId1"/>
    <sheet name="INDICE" sheetId="2" r:id="rId2"/>
    <sheet name="Cuenta de Resultados" sheetId="3" r:id="rId3"/>
    <sheet name="Balance" sheetId="4" r:id="rId4"/>
    <sheet name="España" sheetId="5" r:id="rId5"/>
    <sheet name="Mexico" sheetId="6" r:id="rId6"/>
    <sheet name="Turquia" sheetId="7" r:id="rId7"/>
    <sheet name="AdS" sheetId="8" r:id="rId8"/>
    <sheet name="Argentina" sheetId="9" r:id="rId9"/>
    <sheet name="Chile" sheetId="10" r:id="rId10"/>
    <sheet name="Colombia" sheetId="11" r:id="rId11"/>
    <sheet name="Peru" sheetId="12" r:id="rId12"/>
    <sheet name="Resto de Negocios" sheetId="13" r:id="rId13"/>
    <sheet name="Centro Corporativo" sheetId="14" r:id="rId14"/>
    <sheet name="Corporate &amp; Investment Banking" sheetId="15" r:id="rId15"/>
    <sheet name="Eficiencia" sheetId="16" r:id="rId16"/>
    <sheet name="Mora,cobertura,coste de riesgo" sheetId="17" r:id="rId17"/>
    <sheet name="Empleados, oficinas y cajeros" sheetId="18" r:id="rId18"/>
    <sheet name="Tipos de Cambio" sheetId="19" r:id="rId19"/>
    <sheet name="Diferenciales" sheetId="20" r:id="rId20"/>
    <sheet name="APRs" sheetId="21" r:id="rId21"/>
    <sheet name="Inversion" sheetId="22" r:id="rId22"/>
    <sheet name="Recursos" sheetId="23" r:id="rId23"/>
    <sheet name="ALCO" sheetId="24" r:id="rId24"/>
  </sheets>
  <definedNames/>
  <calcPr fullCalcOnLoad="1"/>
</workbook>
</file>

<file path=xl/sharedStrings.xml><?xml version="1.0" encoding="utf-8"?>
<sst xmlns="http://schemas.openxmlformats.org/spreadsheetml/2006/main" count="669" uniqueCount="555">
  <si>
    <t>IDIOMA/LANGUAGE</t>
  </si>
  <si>
    <t>1er Trim.</t>
  </si>
  <si>
    <t>2º Trim.</t>
  </si>
  <si>
    <t>3er Trim.</t>
  </si>
  <si>
    <t>4º Trim.</t>
  </si>
  <si>
    <t>Total</t>
  </si>
  <si>
    <t>Argentina</t>
  </si>
  <si>
    <t>Chile</t>
  </si>
  <si>
    <t>Colombia</t>
  </si>
  <si>
    <t>Perú</t>
  </si>
  <si>
    <t>Otros</t>
  </si>
  <si>
    <t>Orden</t>
  </si>
  <si>
    <t>Castellano</t>
  </si>
  <si>
    <t>Inglés</t>
  </si>
  <si>
    <t>ESPAÑOL</t>
  </si>
  <si>
    <t>Grupo BBVA</t>
  </si>
  <si>
    <t>BBVA Group</t>
  </si>
  <si>
    <t>ENGLISH</t>
  </si>
  <si>
    <t>Cuentas de resultados consolidadas</t>
  </si>
  <si>
    <t>Consolidated income statement</t>
  </si>
  <si>
    <t>Balances de situación consolidados</t>
  </si>
  <si>
    <t>Consolidated balance sheet</t>
  </si>
  <si>
    <t>Áreas de negocio</t>
  </si>
  <si>
    <t>Business areas</t>
  </si>
  <si>
    <t>España</t>
  </si>
  <si>
    <t>Spain</t>
  </si>
  <si>
    <t>Actividad bancaria en España</t>
  </si>
  <si>
    <t>Banking activity in Spain</t>
  </si>
  <si>
    <t>Non Core Real Estate</t>
  </si>
  <si>
    <t>EEUU</t>
  </si>
  <si>
    <t>USA</t>
  </si>
  <si>
    <t>México</t>
  </si>
  <si>
    <t>Mexico</t>
  </si>
  <si>
    <t xml:space="preserve">Turquía </t>
  </si>
  <si>
    <t xml:space="preserve">Turkey </t>
  </si>
  <si>
    <t xml:space="preserve">América del Sur </t>
  </si>
  <si>
    <t>South America</t>
  </si>
  <si>
    <t>Peru</t>
  </si>
  <si>
    <t>Resto de Eurasia</t>
  </si>
  <si>
    <t>Rest of Eurasia</t>
  </si>
  <si>
    <t>Centro Corporativo</t>
  </si>
  <si>
    <t xml:space="preserve">Corporate Center </t>
  </si>
  <si>
    <t>Información adicional:</t>
  </si>
  <si>
    <t>Additional information:</t>
  </si>
  <si>
    <t>Corporate &amp; Investment Banking</t>
  </si>
  <si>
    <t>Anexo:</t>
  </si>
  <si>
    <t>Annex:</t>
  </si>
  <si>
    <t>Eficiencia</t>
  </si>
  <si>
    <t>Efficiency</t>
  </si>
  <si>
    <t>Tasas de mora, cobertura y coste de riesgo</t>
  </si>
  <si>
    <t>NPL, coverage ratios and cost of risk</t>
  </si>
  <si>
    <t>Empleados, oficinas y cajeros automáticos</t>
  </si>
  <si>
    <t>Branches, employees and atm´s</t>
  </si>
  <si>
    <t>Tipos de cambio</t>
  </si>
  <si>
    <t>Exchange rates</t>
  </si>
  <si>
    <t>Diferenciales de la clientela</t>
  </si>
  <si>
    <t>Customer Spreads</t>
  </si>
  <si>
    <t>Activos ponderados por riesgo. Desglose por áreas de negocio y principales países</t>
  </si>
  <si>
    <t>Risk-weighted assets. Breakdown by business areas and main countries</t>
  </si>
  <si>
    <t>Desglose del crédito no dudoso en gestión</t>
  </si>
  <si>
    <t>Breakdown of performing loans under management</t>
  </si>
  <si>
    <t>Desglose de los recursos de clientes en gestión</t>
  </si>
  <si>
    <t>Breakdown of customer funds under management</t>
  </si>
  <si>
    <t xml:space="preserve">Cuenta de resultados  </t>
  </si>
  <si>
    <t xml:space="preserve">Income statement  </t>
  </si>
  <si>
    <t>(Millones de euros)</t>
  </si>
  <si>
    <t>(Million euros)</t>
  </si>
  <si>
    <t>Margen de intereses</t>
  </si>
  <si>
    <t>Net interest income</t>
  </si>
  <si>
    <t>Comisiones netas</t>
  </si>
  <si>
    <t>Net fees and commissions</t>
  </si>
  <si>
    <t>Resultados de operaciones financieras</t>
  </si>
  <si>
    <t>Net trading income</t>
  </si>
  <si>
    <t>Otros ingresos y cargas de explotación</t>
  </si>
  <si>
    <t>Other operating income and expenses</t>
  </si>
  <si>
    <t>Margen bruto</t>
  </si>
  <si>
    <t>Gross income</t>
  </si>
  <si>
    <t>Gastos de explotación</t>
  </si>
  <si>
    <t>Operating expenses</t>
  </si>
  <si>
    <t xml:space="preserve">  Gastos de administración</t>
  </si>
  <si>
    <t xml:space="preserve">  Administration expenses</t>
  </si>
  <si>
    <t xml:space="preserve">  Gastos de personal</t>
  </si>
  <si>
    <t xml:space="preserve">  Personnel expenses</t>
  </si>
  <si>
    <t xml:space="preserve">  Otros gastos de administración</t>
  </si>
  <si>
    <t xml:space="preserve">  General and administrative expenses</t>
  </si>
  <si>
    <t xml:space="preserve">  Amortización</t>
  </si>
  <si>
    <t xml:space="preserve">  Depreciation</t>
  </si>
  <si>
    <t>Margen neto</t>
  </si>
  <si>
    <t>Operating income</t>
  </si>
  <si>
    <t>Deterioro de activos financieros no valorados a valor razonable con cambios en resultados</t>
  </si>
  <si>
    <t>Impaiment on financial assets not measured at fair value through profit or loss</t>
  </si>
  <si>
    <t>Provisiones o reversión de provisiones y otros resultados</t>
  </si>
  <si>
    <t>Provisions or reversal of provisions and other results</t>
  </si>
  <si>
    <t>Resultado antes de impuestos</t>
  </si>
  <si>
    <t>Profit/(loss) before tax</t>
  </si>
  <si>
    <t>Impuesto sobre beneficios</t>
  </si>
  <si>
    <t>Income tax</t>
  </si>
  <si>
    <t>Resultado del ejercicio</t>
  </si>
  <si>
    <t>Profit/(loss) for the year</t>
  </si>
  <si>
    <t>Minoritarios</t>
  </si>
  <si>
    <t>Non-controlling interests</t>
  </si>
  <si>
    <t>Resultado atribuido</t>
  </si>
  <si>
    <t>Net attributable profit</t>
  </si>
  <si>
    <t>Balances</t>
  </si>
  <si>
    <t>Balance sheets</t>
  </si>
  <si>
    <t>Efectivo, saldos en efectivo en bancos centrales y otros depósitos a la vista</t>
  </si>
  <si>
    <t>Cash, cash balances at central banks and other demand deposits</t>
  </si>
  <si>
    <t>Activos financieros a valor razonable</t>
  </si>
  <si>
    <t xml:space="preserve">Financial assets designated at fair value </t>
  </si>
  <si>
    <t>Activos financieros a coste amortizado</t>
  </si>
  <si>
    <t>Financial assets at amortized cost</t>
  </si>
  <si>
    <t xml:space="preserve">    de los que préstamos y anticipos a la clientela</t>
  </si>
  <si>
    <t xml:space="preserve">    of which loans and advances to customers</t>
  </si>
  <si>
    <t>Activos tangibles</t>
  </si>
  <si>
    <t>Tangible assets</t>
  </si>
  <si>
    <t>Otros activos</t>
  </si>
  <si>
    <t>Other assets</t>
  </si>
  <si>
    <t>Total activo / pasivo</t>
  </si>
  <si>
    <t>Total assets / Liabilities and equity</t>
  </si>
  <si>
    <t>Pasivos financieros mantenidos para negociar y designados a valor razonable con cambios en resultados</t>
  </si>
  <si>
    <t>Financial liabilities held for trading and designated at fair value through profit or loss</t>
  </si>
  <si>
    <t>Depósitos de bancos centrales y entidades de crédito</t>
  </si>
  <si>
    <t>Deposits from central banks and credit institutions</t>
  </si>
  <si>
    <t>Depósitos de la clientela</t>
  </si>
  <si>
    <t>Deposits from customers</t>
  </si>
  <si>
    <t>Valores representativos de deuda emitidos</t>
  </si>
  <si>
    <t>Debt certificates</t>
  </si>
  <si>
    <t>Otros pasivos</t>
  </si>
  <si>
    <t>Other liabilities</t>
  </si>
  <si>
    <t>Dotación de capital económico</t>
  </si>
  <si>
    <t>Economic capital allocated</t>
  </si>
  <si>
    <t>Indicadores relevantes y de gestión</t>
  </si>
  <si>
    <t>Relevant business indicators</t>
  </si>
  <si>
    <t>Préstamos y anticipos a la clientela bruto (*)</t>
  </si>
  <si>
    <t>Loans and advances to customers (gross) (*)</t>
  </si>
  <si>
    <t>Depósitos de clientes en gestión (**)</t>
  </si>
  <si>
    <t>Customer deposits under management (*)</t>
  </si>
  <si>
    <t>Fondos de pensiones</t>
  </si>
  <si>
    <t>Pension funds</t>
  </si>
  <si>
    <t>Otros recursos fuera de balance</t>
  </si>
  <si>
    <t>Other off balance-sheet funds</t>
  </si>
  <si>
    <t>(*) No incluye las adquisiciones temporales de activos.</t>
  </si>
  <si>
    <t xml:space="preserve">(*) Excluding repos. </t>
  </si>
  <si>
    <t>(**) No incluye las cesiones temporales de activos.</t>
  </si>
  <si>
    <t>(Millones de euros constantes)</t>
  </si>
  <si>
    <t xml:space="preserve">(Constant million euros)    </t>
  </si>
  <si>
    <t>(Millones de pesos mexicanos)</t>
  </si>
  <si>
    <t>(Million Mexican pesos)</t>
  </si>
  <si>
    <t>(Millones de pesos colombianos)</t>
  </si>
  <si>
    <t>(Million Colombian pesos)</t>
  </si>
  <si>
    <t>(Millones de dolares)</t>
  </si>
  <si>
    <t>(Million dolars)</t>
  </si>
  <si>
    <t>(Millones de liras turcas)</t>
  </si>
  <si>
    <t>(Million Turkish liras)</t>
  </si>
  <si>
    <t>(Millones de pesos argentinos)</t>
  </si>
  <si>
    <t>(Million Argentinian pesos)</t>
  </si>
  <si>
    <t>(Millones de soles peruanos)</t>
  </si>
  <si>
    <t>(Million Peruvian soles)</t>
  </si>
  <si>
    <t>Venezuela</t>
  </si>
  <si>
    <t>(Millones de pesos chilenos)</t>
  </si>
  <si>
    <t>(Million Chilean pesos)</t>
  </si>
  <si>
    <t>Eficiencia (*)</t>
  </si>
  <si>
    <t>Efficiency (*)</t>
  </si>
  <si>
    <t>(*) Gastos de explotación / Margen bruto. Incluye amortizaciones</t>
  </si>
  <si>
    <t>(*) Operating expenses / Gross income. Including depreciation</t>
  </si>
  <si>
    <t>(Porcentaje)</t>
  </si>
  <si>
    <t>(Percentage)</t>
  </si>
  <si>
    <t>Tasa de mora</t>
  </si>
  <si>
    <t>NPL ratio</t>
  </si>
  <si>
    <t>Tasa de cobertura</t>
  </si>
  <si>
    <t>NPL coverage ratio</t>
  </si>
  <si>
    <t>Resto de América del Sur</t>
  </si>
  <si>
    <t>Resto of South América</t>
  </si>
  <si>
    <t>CRD IV fully-loaded</t>
  </si>
  <si>
    <t>Grupo BBVA. Cuentas de resultados consolidadas</t>
  </si>
  <si>
    <t xml:space="preserve">BBVA Group. Consolidated Income statement </t>
  </si>
  <si>
    <t>1Q</t>
  </si>
  <si>
    <t>2Q</t>
  </si>
  <si>
    <t>3Q</t>
  </si>
  <si>
    <t>4Q</t>
  </si>
  <si>
    <t>Ingresos por dividendos</t>
  </si>
  <si>
    <t>Dividend income</t>
  </si>
  <si>
    <t>Part. gananc/pdas inversiones en dependientes, neg conjunt y asoc</t>
  </si>
  <si>
    <t>Share of  profit/loss of invest. in subsidaries, joint ventures and associates</t>
  </si>
  <si>
    <t>Otros productos/cargas de explotación</t>
  </si>
  <si>
    <t>Other products and expenses</t>
  </si>
  <si>
    <t>Resultado después de impuestos de operaciones continuadas</t>
  </si>
  <si>
    <t>Result after continuing operation tax</t>
  </si>
  <si>
    <t>Resultado atribuido sin operaciones corporativas</t>
  </si>
  <si>
    <t xml:space="preserve">Attributable profit without corporate transactions </t>
  </si>
  <si>
    <t>Nota general: los datos de los trimestres estancos del 2018 se presentan como datos proforma que tienen la consideración de Medidas Alternativas de Rendimiento (MAR), recogiéndose íntegramente el efecto acumulado para reflejar el impacto derivado de la contabilización de la hiperinflación en Argentina entre el 1-1-2018 y el 30-9-2018 en el tercer trimestre del 2018, sin haberse reexpresado los datos mostrados en la tabla anterior del primer y segundo trimestre del 2018.</t>
  </si>
  <si>
    <t>General note: the data for the quarters of 2018 are presented as proforma data which are considered as Alternative Performance Measures (APM), the accumulated effect being fully collected to reflect the impact derived from the accounting for hyperinflation in Argentina between 1-1-2018 and the 30-9-2018 in the third quarter of 2018, without having been reexpressed the data shown in the previous table of the first and second quarter of 2018.</t>
  </si>
  <si>
    <t>(*) Incluye plusvalías netas de la venta de BBVA Chile.</t>
  </si>
  <si>
    <t>(*) Includes net capital gains  from the sale of BBVA Chile.</t>
  </si>
  <si>
    <t>Grupo BBVA. Balances de situación consolidados</t>
  </si>
  <si>
    <t>BBVA Group. Consolidated balance sheet</t>
  </si>
  <si>
    <t>Hipotecario</t>
  </si>
  <si>
    <t>Mortages</t>
  </si>
  <si>
    <t>Consumo</t>
  </si>
  <si>
    <t>Consumer</t>
  </si>
  <si>
    <t>Tarjetas de Crédito</t>
  </si>
  <si>
    <t>Credit Cards</t>
  </si>
  <si>
    <t>Sector público</t>
  </si>
  <si>
    <t>Public Sector</t>
  </si>
  <si>
    <t>Sociedades financieras y sociedades no financieras</t>
  </si>
  <si>
    <t>Financial and Non Financial Companies</t>
  </si>
  <si>
    <t>Pymes</t>
  </si>
  <si>
    <t>SMEs</t>
  </si>
  <si>
    <t>Others</t>
  </si>
  <si>
    <t>Crédito no dudoso en gestión (*)</t>
  </si>
  <si>
    <t>Performing Loans under management (*)</t>
  </si>
  <si>
    <t>Depósitos a la vista + Disponibles con preaviso</t>
  </si>
  <si>
    <t>Demand deposits</t>
  </si>
  <si>
    <t>Depósitos a plazo</t>
  </si>
  <si>
    <t>Time deposits</t>
  </si>
  <si>
    <t>Recursos fuera de balance (*)</t>
  </si>
  <si>
    <t>Off balance sheet funds (*)</t>
  </si>
  <si>
    <t>Vista+Plazo</t>
  </si>
  <si>
    <t>Demand + Time deposits</t>
  </si>
  <si>
    <t>(*) Incluye fondos de inversión, fondos de pensiones y otros recursos fuera de balance.</t>
  </si>
  <si>
    <t>Posiciones inter-áreas activo</t>
  </si>
  <si>
    <t>Inter-area positions</t>
  </si>
  <si>
    <t>Posiciones inter-áreas pasivo</t>
  </si>
  <si>
    <t>Oficinas</t>
  </si>
  <si>
    <t>Branches</t>
  </si>
  <si>
    <t>Empleados</t>
  </si>
  <si>
    <t>Employees</t>
  </si>
  <si>
    <t>Cajeros automáticos</t>
  </si>
  <si>
    <t>ATM´s</t>
  </si>
  <si>
    <t>Uruguay</t>
  </si>
  <si>
    <t>Paraguay</t>
  </si>
  <si>
    <t>Bolivia</t>
  </si>
  <si>
    <t>Cuba</t>
  </si>
  <si>
    <t>Brasil</t>
  </si>
  <si>
    <t>Activos financieros mantenidos para negociar</t>
  </si>
  <si>
    <t>Financial assets held for trading</t>
  </si>
  <si>
    <t>Activos financieros no destinados a negociación valorados obligatoriamente a valor razonable con cambios en resultados</t>
  </si>
  <si>
    <t>Non-trading financial assets mandatorily at fair value through profit or loss</t>
  </si>
  <si>
    <t>Activos financieros designados a valor razonable con cambios en resultados</t>
  </si>
  <si>
    <t>Financial assets designated at fair value through profit or loss</t>
  </si>
  <si>
    <t>Activos financieros designados a valor razonable con cambios en otro resultado global acumulado</t>
  </si>
  <si>
    <t>Financial assets at fair value through accumulated other comprehensive income</t>
  </si>
  <si>
    <t>. Préstamos y anticipos en bancos centrales  y entidades de crédito</t>
  </si>
  <si>
    <t xml:space="preserve">. Loans and advances to central banks and credit institutions </t>
  </si>
  <si>
    <t>. Préstamos y anticipos a la clientela</t>
  </si>
  <si>
    <t>. Loans and advances to customers</t>
  </si>
  <si>
    <t>. Valores representativos de deuda</t>
  </si>
  <si>
    <t>. Debt securities</t>
  </si>
  <si>
    <t>Inversiones mantenidas hasta el vencimiento</t>
  </si>
  <si>
    <t>Held-to-maturity investments</t>
  </si>
  <si>
    <t>Inversiones en negocios conjuntos y asociadas</t>
  </si>
  <si>
    <t>Investments in subsidiaries, joint ventures and associates</t>
  </si>
  <si>
    <t>Activos Intangibles</t>
  </si>
  <si>
    <t>Intangible assets</t>
  </si>
  <si>
    <t>Pasivos financieros designados a valor razonable con cambios en resultados</t>
  </si>
  <si>
    <t>Other financial liabilities designated at fair value through profit or loss</t>
  </si>
  <si>
    <t>Pasivos financieros a coste amortizado</t>
  </si>
  <si>
    <t>Financial liabilities at amortized cost</t>
  </si>
  <si>
    <t>. Otros pasivos financieros</t>
  </si>
  <si>
    <t>. Other financial liabilities</t>
  </si>
  <si>
    <t>Pasivos amparados por contratos de seguros o reaseguro</t>
  </si>
  <si>
    <t>Liabilities under insurance and reinsurance contracts</t>
  </si>
  <si>
    <t>Total pasivo</t>
  </si>
  <si>
    <t>Total liabilities</t>
  </si>
  <si>
    <t>Intereses minoritarios</t>
  </si>
  <si>
    <t>Otro resultado global acumulado</t>
  </si>
  <si>
    <t>Accumulated other comprehensive income</t>
  </si>
  <si>
    <t>Fondos propios</t>
  </si>
  <si>
    <t>Shareholders' funds</t>
  </si>
  <si>
    <t>Patrimonio neto</t>
  </si>
  <si>
    <t>Total equity</t>
  </si>
  <si>
    <t>Total patrimonio neto y pasivo</t>
  </si>
  <si>
    <t>Total equity and liabilities</t>
  </si>
  <si>
    <t>Peso mexicano</t>
  </si>
  <si>
    <t>Mexican peso</t>
  </si>
  <si>
    <t>Dólar estadounidense</t>
  </si>
  <si>
    <t>U.S. dollar</t>
  </si>
  <si>
    <t>Peso argentino</t>
  </si>
  <si>
    <t>Argentine peso</t>
  </si>
  <si>
    <t>Peso chileno</t>
  </si>
  <si>
    <t>Chilean peso</t>
  </si>
  <si>
    <t>Peso colombiano</t>
  </si>
  <si>
    <t>Colombian peso</t>
  </si>
  <si>
    <t>Sol peruano</t>
  </si>
  <si>
    <t>Peruvian sol</t>
  </si>
  <si>
    <t>Lira turca</t>
  </si>
  <si>
    <t>Turkish lira</t>
  </si>
  <si>
    <t>(*) Utilizados en el cálculo de euros constantes de los datos de balance y actividad</t>
  </si>
  <si>
    <t>(*) Used in the constant euros comparisons for the balance sheet and business activity</t>
  </si>
  <si>
    <t>(**) Utilizados en el cálculo de euros constantes de los datos de resultados</t>
  </si>
  <si>
    <t>(**) Used in the constant euros comparisons for the profit and loss</t>
  </si>
  <si>
    <t>(Expresados en divisa/euro)</t>
  </si>
  <si>
    <t>(Expressed in currency/euro)</t>
  </si>
  <si>
    <t>Cambios finales (*)</t>
  </si>
  <si>
    <t>Year-end exchange rates (*)</t>
  </si>
  <si>
    <t>Cambios medios (**)</t>
  </si>
  <si>
    <t>Average exchange rates (**)</t>
  </si>
  <si>
    <t>∆% sobre</t>
  </si>
  <si>
    <t>∆% on</t>
  </si>
  <si>
    <t>Diferenciales de la clientela (*)</t>
  </si>
  <si>
    <t>Customer Spreads (*)</t>
  </si>
  <si>
    <t>Estados Unidos (**)</t>
  </si>
  <si>
    <t>The United States (**)</t>
  </si>
  <si>
    <t>México pesos mexicanos</t>
  </si>
  <si>
    <t>Mexico MXN</t>
  </si>
  <si>
    <t>México moneda extranjera</t>
  </si>
  <si>
    <t>Mexico  FC (Foreing currency)</t>
  </si>
  <si>
    <t>Turquía liras turcas</t>
  </si>
  <si>
    <t>Turkey TRY</t>
  </si>
  <si>
    <t>Turquía moneda extranjera</t>
  </si>
  <si>
    <t>Turkey FC (Foreing currency)</t>
  </si>
  <si>
    <t>(*) Diferencia entre el rendimiento de los préstamos y el coste de los depósitos de los clientes.</t>
  </si>
  <si>
    <t>(*) Difference between lending yield on loans and cost of deposits from customers.</t>
  </si>
  <si>
    <t>(**)  Excluye la actividad en Nueva York.</t>
  </si>
  <si>
    <t>(**) Excluding New York Business Activity.</t>
  </si>
  <si>
    <t>Nota: Los diferenciales de la clientela han sido actualizados.</t>
  </si>
  <si>
    <t>Note: Customer spreads have been restated.</t>
  </si>
  <si>
    <t>Capital y Reservas</t>
  </si>
  <si>
    <t xml:space="preserve">Hogares - Prestamos Hipotecarios </t>
  </si>
  <si>
    <t>Hogares - Consumo</t>
  </si>
  <si>
    <t>Hogares - Tarjetas  de crédito</t>
  </si>
  <si>
    <t>Resto de Empresas</t>
  </si>
  <si>
    <t>Sector Público</t>
  </si>
  <si>
    <t>Tarjeta de Crédito</t>
  </si>
  <si>
    <t>Resto Minorista</t>
  </si>
  <si>
    <t>Total Cartera Vigente</t>
  </si>
  <si>
    <t>Resto Comercial</t>
  </si>
  <si>
    <t>Other Commercial</t>
  </si>
  <si>
    <t>Mexico (***)</t>
  </si>
  <si>
    <t xml:space="preserve">Criterio Local Contable(***) </t>
  </si>
  <si>
    <t xml:space="preserve">According to Local GAAP(***) </t>
  </si>
  <si>
    <t>No incluye las cesiones temporales de activos.  (**)</t>
  </si>
  <si>
    <t>Excluding repos  (**)</t>
  </si>
  <si>
    <t xml:space="preserve"> Recursos de clientes en gestión (**)</t>
  </si>
  <si>
    <t>Customer funds under management (**)</t>
  </si>
  <si>
    <t>Consumo  y tarjetas de Credito</t>
  </si>
  <si>
    <t>Consumer &amp; Credit Cards</t>
  </si>
  <si>
    <t>Negocios retail</t>
  </si>
  <si>
    <t>Empresas medianas</t>
  </si>
  <si>
    <t>Mid-size companies</t>
  </si>
  <si>
    <t>Corporativa + CIB</t>
  </si>
  <si>
    <t>Corporates + CIB</t>
  </si>
  <si>
    <t>Other</t>
  </si>
  <si>
    <t>Other Retail</t>
  </si>
  <si>
    <t>Resto Empresas</t>
  </si>
  <si>
    <t xml:space="preserve">Nota general: la aplicación de la contabilidad por hiperinflación en Argentina se realizó por primera vez en septiembre del 2018 con efectos contables 1 de enero del 2018, recogiéndose el impacto de los nueve meses en el tercer trimestre. Con el fin de que la información del 2019 sea comparable con la del 2018, se ha procedido a reexpresar el balance de situación de los tres primeros trimestres del 2018 para recoger los impactos de la inflación sobre los activos y pasivos del mismo. </t>
  </si>
  <si>
    <t>General note: the application of accounting for hyperinflation in Argentina was performed for the first time in September 2018 with accounting effects on January 1, 2018, recording the impact of the nine months in the third quarter. In order to make the 2019 information comparable to the 2018, the balance sheet of the first three quarters of 2018 has been reexpressed to reflect the impacts of inflation on its assets and liabilities.</t>
  </si>
  <si>
    <t>General note: the application of accounting for hyperinflation in Argentina was performed for the first time in September 2018 with accounting effects on January 1, 2018, recording the impact of the 9 months in the third quarter. In order to make the 2019 information comparable to the 2018, the income statements for the first three quarters of 2018 have been reexpressed to reflect the impacts of inflation on their income and expenses.</t>
  </si>
  <si>
    <t>(1) Incluye plusvalías netas de la venta de BBVA Chile.</t>
  </si>
  <si>
    <t>(1) Includes net capital gains  from the sale of BBVA Chile.</t>
  </si>
  <si>
    <t>(2) Ajustado por remuneración de instrumentos de capital de nivel 1 adicional.</t>
  </si>
  <si>
    <t>(2) Adjusted by additional Tier 1 instrument remuneration.</t>
  </si>
  <si>
    <t>Cuenta de resultados sin Chile</t>
  </si>
  <si>
    <t>Income statement w/o Chile</t>
  </si>
  <si>
    <t>Resultado de operaciones corporativas</t>
  </si>
  <si>
    <t>Result from corporate operations</t>
  </si>
  <si>
    <t>Grupo BBVA. Cuentas de resultados proforma (*)</t>
  </si>
  <si>
    <t>BBVA group. Consolidated income statements proforma (*)</t>
  </si>
  <si>
    <t>CRD IV fully loaded</t>
  </si>
  <si>
    <t>(*) No se incluye los resultados de los dos primeros trimestres del 2018 de BBVA Chile ni las plusvalías por su venta del tercer trimestre del 2018.</t>
  </si>
  <si>
    <t>(*) Not including BBVA Chile`s profit for the 2 first quarters of 2018 and net capital gains in 3Q 2018 of its sale .</t>
  </si>
  <si>
    <t>Very small business</t>
  </si>
  <si>
    <t>Cuentas de resultados consolidadas proforma</t>
  </si>
  <si>
    <t>Consolidated income statement proforma</t>
  </si>
  <si>
    <t>(*) Including BBVA Chile`s profit for the 2 first quarters of 2018 and net capital gains in 3Q 2018 of its sale .</t>
  </si>
  <si>
    <t>(*) Hay pequeñas diferencias en el 1T 2019 de APRs entre las Areas de Negocio por reclasificaciones hechas posteriores al cierre no habiendo variacíon ninguna en el total de los APRs.</t>
  </si>
  <si>
    <t>(*) There are slight differences in the RWAs of the Business Units in the 1st Q  2019 due to reclasifications. The total amount of BBVA RWAs did not change.</t>
  </si>
  <si>
    <t>Balance Euro</t>
  </si>
  <si>
    <t>Euro Balance</t>
  </si>
  <si>
    <t>Italia</t>
  </si>
  <si>
    <t>Italy</t>
  </si>
  <si>
    <t>Resto</t>
  </si>
  <si>
    <t>Rest</t>
  </si>
  <si>
    <t>Turquia</t>
  </si>
  <si>
    <t>Turkey</t>
  </si>
  <si>
    <t>Amércia del Sur</t>
  </si>
  <si>
    <t>Total Cartera COAP</t>
  </si>
  <si>
    <t>Total ALCO Portfolio</t>
  </si>
  <si>
    <t>Cartera COAP a Coste Amortizado</t>
  </si>
  <si>
    <t>ALCO Portfolio Hold to Collect</t>
  </si>
  <si>
    <t>Cartera COAP a Valor Razonable</t>
  </si>
  <si>
    <t>ALCO Portfolio Hold to Collect and Sell</t>
  </si>
  <si>
    <t>Carteras Coap</t>
  </si>
  <si>
    <t>ALCO Portfolio</t>
  </si>
  <si>
    <t>(*) Serie de datos revisada 18-19 debido a cambio de criterio en la contabilización de cajeros.</t>
  </si>
  <si>
    <t>(*) Reviewed data serie 18-19 due to a change in the amount criteria of ATMs</t>
  </si>
  <si>
    <t>(**) Reajuste del dato del 1T en 2T</t>
  </si>
  <si>
    <t>(**) Readjustment of 1Q19 in 2Q19</t>
  </si>
  <si>
    <t>EEUU (*)</t>
  </si>
  <si>
    <t>USA (*)</t>
  </si>
  <si>
    <t>Mexico (**)</t>
  </si>
  <si>
    <t>MARCA</t>
  </si>
  <si>
    <t>(*) Se incluyen los resultados de los dos primeros trimestres del 2018 de BBVA Chile y las plusvalías por su venta del tercer trimestre del 2018.</t>
  </si>
  <si>
    <t>Nota general: la aplicación de la contabilidad por hiperinflación en Argentina se realizó por primera vez en septiembre del 2018 con efectos contables 1 de enero del 2018, recogiéndose el impacto de los 9 meses en el tercer trimestre. Con el fin de que la información del 2019 sea comparable con la del 2018, se ha procedido a reexpresar las cuentas de resultados de los tres primeros trimestres del 2018 para recoger los impactos de la inflación sobre los ingresos y gastos de las mismas.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</si>
  <si>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Provisiones o reversión de provisiones</t>
  </si>
  <si>
    <t>Provisions or reversal of provisions</t>
  </si>
  <si>
    <t>Otros resultados</t>
  </si>
  <si>
    <t>Other results</t>
  </si>
  <si>
    <t>Resultado atribuido sin el deterioro del fondo de comercio de Estados Unidos y sin BBVA Chile (*)</t>
  </si>
  <si>
    <t>Net attributable profit excluding the goodwill impairment in the United States and BBVA Chile (*)</t>
  </si>
  <si>
    <t>Resultado Atribuido (*)</t>
  </si>
  <si>
    <t>Net attributable profit (*)</t>
  </si>
  <si>
    <t>(*) Resultados generados por BBVA Chile hasta su venta el 6 de julio del 2018 y las plusvalías de la operación</t>
  </si>
  <si>
    <t>(*) BBVA Chile recurrent profit until the sale as of 6 July, 2018 and the capital gains of the operation</t>
  </si>
  <si>
    <t>(*)No incluye Resultados generados por BBVA Chile hasta su venta el 6 de julio del 2018 ni las plusvalías de la operación, tampoco el deterioro del fondo de comercio de Estados Unidos.</t>
  </si>
  <si>
    <t>(*) Not including BBVA Chile recurrent profit until the sale as of 6 July 2018 and and the capital gains of the operation neither the goodwill impairment in the United States</t>
  </si>
  <si>
    <t>Nota general: la aplicación de la contabilidad por hiperinflación en Argentina se realizó por primera vez en septiembre del 2018 con efectos contables 1 de enero del 2018, recogiéndose el impacto de los 9 meses en el tercer trimestre. Adicionalmente, durante el ejercicio 2019 se ha modificado la NIC 12 “Impuesto sobre las ganancias” con efectos contables 1 de enero del 2019. Por ello, y con el fin de que la información sea comparable, se ha procedido a reexpresar la información trimestral de las cuentas de resultados del 2018 y del 2019</t>
  </si>
  <si>
    <t>General note: the application of accounting for hyperinflation in Argentina was done  for the first time in September 2018 with accounting effects from  January 1, 2018, recording the impact of the 9 months in the third quarter. In addition, during 2019 an amendment to IAS 12 "Income Taxes" was introduced with accounting effects from  January 1, 2019. Therefore, in  order to make the information comparable, the quarterly income statements for 2019 and 2018 have been restated .</t>
  </si>
  <si>
    <t>Resultado atribuido sin BBVA Chile (*)</t>
  </si>
  <si>
    <t>Net Atributable Profit ex BBVA Chile (*)</t>
  </si>
  <si>
    <t>(*) Net capital gains of BBVA Chile sale on the 3rd Q of 2018.</t>
  </si>
  <si>
    <t>Coste del riesgo acumulado</t>
  </si>
  <si>
    <t>Cost of risk YTD</t>
  </si>
  <si>
    <t>-</t>
  </si>
  <si>
    <t>Cost of deposits</t>
  </si>
  <si>
    <t>Rentabilidad de los prestamos</t>
  </si>
  <si>
    <t>Coste de los depositos</t>
  </si>
  <si>
    <t>Lending Yield</t>
  </si>
  <si>
    <t>Resultado atribuido sin el deterioro del fondo de comercio de Estados Unidos (*)</t>
  </si>
  <si>
    <t>Net attributable profit excluding the goodwill impairment in the United States (*)</t>
  </si>
  <si>
    <t>(1)</t>
  </si>
  <si>
    <t xml:space="preserve">Nota general: como consecuencia de una interpretación emitida por el IFRIC (International Financial Reporting Standards Interpretations Committee) relativa al cobro de intereses de fallidos en el marco de la NIIF 9, dichos cobros se presentan como menor saneamiento crediticio y no como un mayor ingreso por intereses, método de reconocimiento aplicado hasta diciembre de 2019. Por ello, y con el fin de que la información sea comparable, se ha procedido a reexpresar la información de la cuenta de resultados del primer semestre de 2019. </t>
  </si>
  <si>
    <t>(*) Plusvalías por la venta de BBVA Chile del tercer trimestre de 2018.</t>
  </si>
  <si>
    <t>General note: as a result of the interpretation issued by the International Financial Reporting Standards Interpretations Committee (IFRIC) regarding the collecting of interests of written-off financial assets for the purpose of IFRS 9, those collections are presented as reduction of the credit allowances and not as a higher interest income, recognition method applied until December 2019. Therefore, and in order to make the information comparable, the first six months information of the 2019 income statements has been restated.</t>
  </si>
  <si>
    <t>Operaciones Corporativas (1)</t>
  </si>
  <si>
    <t>Corporate Operations (1)</t>
  </si>
  <si>
    <t>Resultado después de impuestos</t>
  </si>
  <si>
    <t>Result after Tax</t>
  </si>
  <si>
    <t>(1) Incluye el resultado neto de impuestos por la venta a Allianz de la mitad más una acción de la sociedad constituida para impulsar de forma conjunta el negocio de seguros de no vida en España, excluyendo el ramo de salud.</t>
  </si>
  <si>
    <t>(1) Include the net capital gain from the sale to Allianz the half plus one share of the company created to jointly develop the non-life insurance business in Spain, excluding the health insurance line.</t>
  </si>
  <si>
    <t>Resultado atribuido sin el deterioro del fondo de comercio de Estados Unidos y sin operaciones corporativas</t>
  </si>
  <si>
    <t>Net attributable profit/(loss) excluding the goodwill impairment in the United States and corporate operations</t>
  </si>
  <si>
    <t>Resto de Negocios</t>
  </si>
  <si>
    <t>Rest of Business</t>
  </si>
  <si>
    <t>Nota general: cifras sin considerar la clasificación de BBVA Paraguay como Activos y Pasivos No corrientes en Venta a 31-12-2020 y 31-12-2019 y a 31-12-2020 BBVA USA y el resto de sociedades del Grupo en Estados Unidos incluidas en el acuerdo de venta suscrito con PNC.</t>
  </si>
  <si>
    <t>General note: figures without considering the classification of BBVA Paraguay as Non-current Assets and Liabilities Held for Sale as of 31-12-2020 and 31-12-2019 and BBVA USA and the rest of Group's companies in the United States included in the sale agreement signed with PNC as Non-current Assets and Liabilities Held For Sale as of 31-12-2020.</t>
  </si>
  <si>
    <t>Sociedades de la filial de Estados Unidos excluidas del acuerdo de venta</t>
  </si>
  <si>
    <t>Companies excluded from the sale agreement of the BBVA subsidiary in the United States</t>
  </si>
  <si>
    <t>Starting in 1Q21, for management reporting purposes, the US Business sold to PNC will be shown as one Balance Sheet and one P&amp;L heading, in line with the accounting reclassification to Non Current Asset Available for sale which took place in 4Q20. For informational purposes, we are providing below an aggregation of the CIB business in the US that is not included in the agreement with PNC and the information currently reported as Rest of Eurasia.</t>
  </si>
  <si>
    <t>Starting in 1Q21, for management reporting purposes, the US Business sold to PNC will be shown as one Balance Sheet and one P&amp;L heading, in line with the accounting reclassification to Non Current Asset Available for sale which took place in 4Q20. As a result, for informational purposes, you can find below an aggregation of the Corporate Center and all the other US businesses that are not included in the agreement with PNC and have not been added to the Rest of Eurasia in the previous page. </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</si>
  <si>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En consecuencia, se presenta a continuación a efectos informativos una agregación del Centro Corporativo y de todos los demás negocios de EE.UU. que no están incluidos en el acuerdo con PNC y que no han sido agregados al Resto de Eurasia en la página anterior.</t>
  </si>
  <si>
    <t>For informational purposes, we are providing below 8 quarters of historical information of the perimeter currently reported as USA that will remain with BBVA once the announced agreement with PNC has been closed.   </t>
  </si>
  <si>
    <t>A efectos informativos, facilitamos a continuación 8 trimestres de información histórica del perímetro actualmente reportado como EE.UU. que permanecerá en BBVA una vez cerrado el acuerdo anunciado con PNC. </t>
  </si>
  <si>
    <t>Corporate Center (for rest of business)</t>
  </si>
  <si>
    <t>Centro Corporativo (para resto de negocios)</t>
  </si>
  <si>
    <t>Nuevo Holding</t>
  </si>
  <si>
    <t>New Holding</t>
  </si>
  <si>
    <t>A partir del 1T21, a efectos de información de gestión, el negocio de EE.UU. vendido a PNC se mostrará como una rúbrica del balance y de la cuenta de resultados, en línea con la reclasificación contable a "Activo no corriente disponible para la venta" que tuvo lugar en el 4T20. A efectos informativos, ofrecemos a continuación una agregación del negocio de CIB en EE.UU. que no está incluido en el acuerdo con PNC y la información que se presenta actualmente como Resto de Eurasia.,</t>
  </si>
  <si>
    <t>EEUU vendido</t>
  </si>
  <si>
    <t>USA sold</t>
  </si>
  <si>
    <t>Centro Corporativo (1)</t>
  </si>
  <si>
    <t>Corporate Center (1)</t>
  </si>
  <si>
    <t>(1) Incluye los APRs del negocio de EEUU vendido</t>
  </si>
  <si>
    <t>(1) Includes RWAs from the USA business sold.</t>
  </si>
  <si>
    <t>(1) Includes USA as discontinued operation, the goodwill impaiment in USA and the net capital gain from the sale to Allianz of the half plus one share of the company created to jointly develop the non-life insurance business in Spain, excluding the health insurance line.</t>
  </si>
  <si>
    <t>Grupo BBVA  (*)</t>
  </si>
  <si>
    <t>BBVA Group  (*)</t>
  </si>
  <si>
    <t>Grupo BBVA  (**)</t>
  </si>
  <si>
    <t>BBVA Group  (**)</t>
  </si>
  <si>
    <t>(**) Grupo BBVA no incluye el negocio vendido de EEUU vendido a PNC.</t>
  </si>
  <si>
    <t>(**) BBVA Group excludes  the US Business sold to PNC.</t>
  </si>
  <si>
    <t>(*) Grupo BBVA no incluye el negocio vendido de EEUU vendido a PNC.</t>
  </si>
  <si>
    <t>(*) BBVA Group excludes  the US Business sold to PNC.</t>
  </si>
  <si>
    <t>Resto de geografías</t>
  </si>
  <si>
    <t>Rest of geographies</t>
  </si>
  <si>
    <t>Corporate &amp; Investment Banking (*)</t>
  </si>
  <si>
    <t>(*) No incluye el negocio de CIB vendido a PNC.</t>
  </si>
  <si>
    <t>(*) Excludes  the CIB Business sold to PNC.</t>
  </si>
  <si>
    <t>Dotación de capital regulatorio</t>
  </si>
  <si>
    <t>Regulatory capital allocated</t>
  </si>
  <si>
    <t>No incluye Paraguay (***)</t>
  </si>
  <si>
    <t>Paraguay excluded  (***)</t>
  </si>
  <si>
    <t>Préstamos Hogares TL</t>
  </si>
  <si>
    <t>Retail Loans TL</t>
  </si>
  <si>
    <t>Préstamos Empresas TL</t>
  </si>
  <si>
    <t>Commercial Loans TL</t>
  </si>
  <si>
    <t>Total Préstamos TL</t>
  </si>
  <si>
    <t>Total Loans TL</t>
  </si>
  <si>
    <t>Total Préstamos FC</t>
  </si>
  <si>
    <t>Total Loans FC</t>
  </si>
  <si>
    <t>Depósitos Vista TL</t>
  </si>
  <si>
    <t>Demand Deposits TL</t>
  </si>
  <si>
    <t>Depósitos Plazo TL</t>
  </si>
  <si>
    <t>Total Time Deposits TL</t>
  </si>
  <si>
    <t>Total Depósitos TL</t>
  </si>
  <si>
    <t>Total Deposits TL</t>
  </si>
  <si>
    <t>Depósitos Vista FC</t>
  </si>
  <si>
    <t>Demand Deposits FC</t>
  </si>
  <si>
    <t>Depósitos Plazo FC</t>
  </si>
  <si>
    <t>Total Time Deposits FC</t>
  </si>
  <si>
    <t>Total Depósitos FC</t>
  </si>
  <si>
    <t>Total Deposits FC</t>
  </si>
  <si>
    <t>(TL Lira Turca FC Moneda Extranjera)</t>
  </si>
  <si>
    <t>(TL Turkish Lira FC Foreign Currency)</t>
  </si>
  <si>
    <t>Turquia solo Banco</t>
  </si>
  <si>
    <t>Turkey Bank only</t>
  </si>
  <si>
    <t xml:space="preserve"> (***) No incluye Paraguay</t>
  </si>
  <si>
    <t xml:space="preserve">(***) Paraguay excluded </t>
  </si>
  <si>
    <t>América del Sur  (incluye Paraguay)</t>
  </si>
  <si>
    <t>South America (Paraguay Included)</t>
  </si>
  <si>
    <t>Resultado Atribuido sin Operaciones Corporativas y Discontinuadas</t>
  </si>
  <si>
    <t>Net attributable profit/(loss) excluding Corporate &amp; discontinued operations</t>
  </si>
  <si>
    <t>Operaciones Corporativas y Discontinuadas</t>
  </si>
  <si>
    <t>Corporate &amp; discontinued operations</t>
  </si>
  <si>
    <t>Operaciones interrumpidas y corporativas, y costes netos asociados al proceso de reestructuración.(1)</t>
  </si>
  <si>
    <t>Discontinued &amp; corporate operations, and net cost related to the restructuring process. (1)</t>
  </si>
  <si>
    <t> Beneficio Atribuido (sin operaciones interrumpidas y corporativas, y costes netos asociados al proceso de reestructuración).</t>
  </si>
  <si>
    <t> Net Attributable Profit (ex discontinued &amp; corporate operations, and net cost related to the restructuring process).</t>
  </si>
  <si>
    <t>(1) Includes USA as discontinued operation, the goodwill impaiment in USA, the net capital gain from the sale to Allianz of the half plus one share of the company created to jointly develop the non-life insurance business in Spain, excluding the health insurance line and net cost related to the reestructuring process.</t>
  </si>
  <si>
    <t>Resultado atribuido excluyendo impactos no recurrentes</t>
  </si>
  <si>
    <t>Net attributable profit excluding non recurring impacts</t>
  </si>
  <si>
    <t>Resultado después de impuestos de operaciones interrumpidas (1)</t>
  </si>
  <si>
    <t>Profit/(loss) after tax form discontinued operations (1)</t>
  </si>
  <si>
    <t>Operaciones Corporativas (2)</t>
  </si>
  <si>
    <t>Corporate Operations (2)</t>
  </si>
  <si>
    <t>Costes netos asociados al proceso de reestructuración</t>
  </si>
  <si>
    <t>Net cost related to the reestructuring process.</t>
  </si>
  <si>
    <t>(1) Includes USA as discontinued operation and the goodwill impaiment in USA for 2084 millions of euros registered in the 1stQ of 2020.</t>
  </si>
  <si>
    <t xml:space="preserve">(2) Includes the net capital gain from the sale to Allianz of the half plus one share of the company created to jointly develop the non-life insurance business in Spain, excluding the health insurance line </t>
  </si>
  <si>
    <t>Operaciones Corporativas e Interrumpidas</t>
  </si>
  <si>
    <t>Fondos de inversión y carteras gestionadas</t>
  </si>
  <si>
    <t>Investment funds and managed portfolios</t>
  </si>
  <si>
    <t>Incluye fondos de inversión, carteras gestionadas , fondos de pensiones y otros recursos fuera de balance.(*)</t>
  </si>
  <si>
    <t xml:space="preserve">Includes investment funds, managed portfolios, pension funds and other off-balance sheet funds. (*) </t>
  </si>
  <si>
    <t xml:space="preserve">South America </t>
  </si>
  <si>
    <t>(1) Incluen los resultados generados por BBVA USA y el resto de sociedades de EEUU vendidas a PNC el 1 de junio de 2021</t>
  </si>
  <si>
    <t>(1) Includes the profit generated by BBVA USA and the rest of the US companies sold to PNC on 1st ofJjune of 2021.</t>
  </si>
  <si>
    <t>pe</t>
  </si>
  <si>
    <t>Nota general : Cifras considerando la clasificación de las sociedades incluidas en el acuerdo de venta suscrito con PNC como Activos y Pasivos No corrientes en Venta.</t>
  </si>
  <si>
    <t>General note: figures considering companies in the United States included in the sale agreement signed with PNC as Non-current Assets and Liabilities Held for Sale</t>
  </si>
  <si>
    <t>Operaciones Corporativas e Interrumpidas(1)</t>
  </si>
  <si>
    <t>Corporate &amp; discontinued operations(1)</t>
  </si>
  <si>
    <t>(1) En aplicación de la NIC 21 "Efectos de las variaciones en los tipos de cambio de la moneda extranjera", la conversión de la cuenta de resultados de Turquía y Argentina se hace empleando el tipo de cambio final.</t>
  </si>
  <si>
    <t>(1) Incluen los resultados generados por BBVA USA y el resto de sociedades de EEUU vendidas a PNC el 1 de junio de 2021 y la adquisición de la Socimi Tree.</t>
  </si>
  <si>
    <t>(1) Includes the profit generated by BBVA USA and the rest of the US companies sold to PNC on 1st ofJjune of 2021 and the acquisition of the Socimi Tree.</t>
  </si>
  <si>
    <t>Resultado de operaciones interrumpidas y otros (1)</t>
  </si>
  <si>
    <t>Discontinued operations and Others (1)</t>
  </si>
  <si>
    <t>(1) Incluen los resultados generados por BBVA USA y el resto de sociedades de EEUU vendidas a PNC el 1 de junio de 2021, los costes netos asociados al proceso de reestructuración y el impacto neto de la compra de oficinas en España. (más detalle en las áreas de España y Centro Corporativo)</t>
  </si>
  <si>
    <t>(1) Includes the profit generated by BBVA USA and the rest of the US companies sold to PNC on 1st of June of 2021, the net cost related to the reestructuring process. and net impact arisen form the purchase of offices in Spain. (for further detail in Spain and Corporate centre)</t>
  </si>
  <si>
    <t>(1)Adquisición de oficinas en España</t>
  </si>
  <si>
    <t>(1)Acquisition of branches in Spain.</t>
  </si>
  <si>
    <t>Impacto neto de la compra de oficinas en España</t>
  </si>
  <si>
    <t>Net impact arisen from the purchase of offices in Spain</t>
  </si>
  <si>
    <t>(*)El dato del trimestre en curso es provisional</t>
  </si>
  <si>
    <t>(*)The data for the current quarter is provisional</t>
  </si>
  <si>
    <t>Resultado Atribuido</t>
  </si>
  <si>
    <t>Series trimestrales 2022-2023</t>
  </si>
  <si>
    <t>Quarterly series 2022-2023</t>
  </si>
  <si>
    <r>
      <rPr>
        <sz val="8"/>
        <color indexed="56"/>
        <rFont val="Calibri"/>
        <family val="2"/>
      </rPr>
      <t>(1)</t>
    </r>
    <r>
      <rPr>
        <sz val="11"/>
        <color theme="1"/>
        <rFont val="Calibri"/>
        <family val="2"/>
      </rPr>
      <t xml:space="preserve"> En aplicación de la NIC 29 "Información en economías hiperinflacionarias", la conversión de la cuenta de resultados de Argentina Y Turquía se hace empleando el tipo de cambio final.</t>
    </r>
  </si>
  <si>
    <r>
      <rPr>
        <sz val="8"/>
        <color indexed="56"/>
        <rFont val="Calibri"/>
        <family val="2"/>
      </rPr>
      <t>(1)</t>
    </r>
    <r>
      <rPr>
        <sz val="11"/>
        <color theme="1"/>
        <rFont val="Calibri"/>
        <family val="2"/>
      </rPr>
      <t xml:space="preserve"> According to IAS 29 "Financial information in hyperinflationary economies", the year-end exchange rate is used for the conversion of the Argentina and Turkey income statement. </t>
    </r>
  </si>
  <si>
    <r>
      <t>(1) Incluye </t>
    </r>
    <r>
      <rPr>
        <sz val="12"/>
        <color indexed="56"/>
        <rFont val="Arial"/>
        <family val="2"/>
      </rPr>
      <t>EEUU como operación discontinuada, el deterioro del fondo de comercio de Estados Unidos, y el resultado neto de impuestos por la venta a Allianz de la mitad más una acción de la sociedad constituida para impulsar de forma conjunta el negocio de seguros de no vida en España, excluyendo el ramo de salud</t>
    </r>
  </si>
  <si>
    <r>
      <t>(1) Incluye </t>
    </r>
    <r>
      <rPr>
        <sz val="12"/>
        <color indexed="56"/>
        <rFont val="Arial"/>
        <family val="2"/>
      </rPr>
      <t>EEUU como operación discontinuada, el deterioro del fondo de comercio de Estados Unidos,  el resultado neto de impuestos por la venta a Allianz de la mitad más una acción de la sociedad constituida para impulsar de forma conjunta el negocio de seguros de no vida en España, excluyendo el ramo de salud y los costes netos asociados al proceso de reestructuración.</t>
    </r>
  </si>
  <si>
    <r>
      <t>(1) Incluye </t>
    </r>
    <r>
      <rPr>
        <sz val="12"/>
        <color indexed="56"/>
        <rFont val="Arial"/>
        <family val="2"/>
      </rPr>
      <t>EEUU como operación interrumpida y el deterioro del fondo de comercio de Estados Unidos registrado en el primer trimestre de 2020 por importe de 2084 millones de euros</t>
    </r>
  </si>
  <si>
    <r>
      <t>(2) Incluye el r</t>
    </r>
    <r>
      <rPr>
        <sz val="12"/>
        <color indexed="56"/>
        <rFont val="Arial"/>
        <family val="2"/>
      </rPr>
      <t xml:space="preserve">esultado neto de impuestos por la venta a Allianz de la mitad más una acción de la sociedad constituida para impulsar de forma conjunta el negocio de seguros de no vida en España, excluyendo el ramo de salud </t>
    </r>
  </si>
  <si>
    <r>
      <rPr>
        <sz val="8"/>
        <color indexed="56"/>
        <rFont val="Calibri"/>
        <family val="2"/>
      </rPr>
      <t>(1)</t>
    </r>
    <r>
      <rPr>
        <sz val="11"/>
        <color theme="1"/>
        <rFont val="Calibri"/>
        <family val="2"/>
      </rPr>
      <t xml:space="preserve"> According to IAS 21 "Effects of changes in foreign currency exchange rates", the translation of the income statement for Turkey and Argentina is made using the final exchange rate.</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</si>
</sst>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dd\-mm\-yy"/>
    <numFmt numFmtId="167" formatCode="0.0"/>
    <numFmt numFmtId="168" formatCode="#,##0.000"/>
    <numFmt numFmtId="169" formatCode="0.0%"/>
    <numFmt numFmtId="170" formatCode="#,##0.0000"/>
    <numFmt numFmtId="171" formatCode="dd\-mm\-yy;@"/>
    <numFmt numFmtId="172" formatCode="_-* #,##0\ _P_t_s_-;\-* #,##0\ _P_t_s_-;_-* &quot;-&quot;??\ _P_t_s_-;_-@_-"/>
    <numFmt numFmtId="173" formatCode="#,##0.0"/>
    <numFmt numFmtId="174" formatCode="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000%"/>
    <numFmt numFmtId="180" formatCode="0.00000%"/>
    <numFmt numFmtId="181" formatCode="0.000000%"/>
    <numFmt numFmtId="182" formatCode="0.0000000%"/>
    <numFmt numFmtId="183" formatCode="0.000"/>
    <numFmt numFmtId="184" formatCode="0.0000000"/>
  </numFmts>
  <fonts count="117">
    <font>
      <sz val="11"/>
      <color theme="1"/>
      <name val="Calibri"/>
      <family val="2"/>
    </font>
    <font>
      <sz val="11"/>
      <color indexed="8"/>
      <name val="Calibri"/>
      <family val="2"/>
    </font>
    <font>
      <sz val="10"/>
      <name val="Lucida Sans Unicode"/>
      <family val="2"/>
    </font>
    <font>
      <vertAlign val="superscript"/>
      <sz val="10"/>
      <name val="Stag Sans Medium"/>
      <family val="2"/>
    </font>
    <font>
      <vertAlign val="superscript"/>
      <sz val="10"/>
      <name val="BBVA Office Book"/>
      <family val="2"/>
    </font>
    <font>
      <vertAlign val="superscript"/>
      <sz val="20"/>
      <name val="BBVA Office Book"/>
      <family val="2"/>
    </font>
    <font>
      <sz val="10"/>
      <name val="Arial"/>
      <family val="2"/>
    </font>
    <font>
      <vertAlign val="superscript"/>
      <sz val="10"/>
      <color indexed="21"/>
      <name val="Stag Sans Medium"/>
      <family val="2"/>
    </font>
    <font>
      <vertAlign val="superscript"/>
      <sz val="22"/>
      <color indexed="21"/>
      <name val="Stag Sans Medium"/>
      <family val="2"/>
    </font>
    <font>
      <b/>
      <sz val="16"/>
      <name val="BBVA Office Book"/>
      <family val="2"/>
    </font>
    <font>
      <vertAlign val="superscript"/>
      <sz val="10"/>
      <color indexed="9"/>
      <name val="Stag Sans Medium"/>
      <family val="2"/>
    </font>
    <font>
      <vertAlign val="superscript"/>
      <sz val="10"/>
      <color indexed="58"/>
      <name val="Stag Sans Medium"/>
      <family val="2"/>
    </font>
    <font>
      <vertAlign val="superscript"/>
      <sz val="10"/>
      <color indexed="58"/>
      <name val="BBVA Office Book"/>
      <family val="2"/>
    </font>
    <font>
      <vertAlign val="superscript"/>
      <sz val="20"/>
      <name val="Stag Sans Medium"/>
      <family val="2"/>
    </font>
    <font>
      <sz val="14"/>
      <name val="BBVA Office Book"/>
      <family val="2"/>
    </font>
    <font>
      <sz val="10"/>
      <name val="BBVA Office Book"/>
      <family val="2"/>
    </font>
    <font>
      <b/>
      <sz val="10"/>
      <name val="BBVA Office Book"/>
      <family val="2"/>
    </font>
    <font>
      <sz val="8"/>
      <name val="BBVA Office Book"/>
      <family val="2"/>
    </font>
    <font>
      <i/>
      <sz val="10"/>
      <name val="BBVA Office Book"/>
      <family val="2"/>
    </font>
    <font>
      <sz val="10"/>
      <color indexed="18"/>
      <name val="Tahoma"/>
      <family val="2"/>
    </font>
    <font>
      <sz val="10"/>
      <name val="Tahoma"/>
      <family val="2"/>
    </font>
    <font>
      <sz val="9"/>
      <name val="BBVA Office Book"/>
      <family val="2"/>
    </font>
    <font>
      <b/>
      <sz val="10"/>
      <name val="Arial"/>
      <family val="2"/>
    </font>
    <font>
      <sz val="10"/>
      <color indexed="18"/>
      <name val="Arial"/>
      <family val="2"/>
    </font>
    <font>
      <sz val="12"/>
      <name val="BBVA Office Book"/>
      <family val="2"/>
    </font>
    <font>
      <sz val="11"/>
      <name val="BBVA Office Book"/>
      <family val="2"/>
    </font>
    <font>
      <sz val="10"/>
      <name val="Baskerville BE Regular"/>
      <family val="0"/>
    </font>
    <font>
      <sz val="8"/>
      <name val="Arial"/>
      <family val="2"/>
    </font>
    <font>
      <sz val="8"/>
      <name val="Tahoma"/>
      <family val="2"/>
    </font>
    <font>
      <sz val="11"/>
      <name val="Lucida Sans Unicode"/>
      <family val="2"/>
    </font>
    <font>
      <sz val="8"/>
      <color indexed="56"/>
      <name val="Calibri"/>
      <family val="2"/>
    </font>
    <font>
      <sz val="12"/>
      <color indexed="56"/>
      <name val="Arial"/>
      <family val="2"/>
    </font>
    <font>
      <sz val="11"/>
      <color indexed="5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30"/>
      <name val="Calibri"/>
      <family val="2"/>
    </font>
    <font>
      <b/>
      <sz val="11"/>
      <color indexed="30"/>
      <name val="Calibri"/>
      <family val="2"/>
    </font>
    <font>
      <sz val="11"/>
      <color indexed="62"/>
      <name val="Calibri"/>
      <family val="2"/>
    </font>
    <font>
      <u val="single"/>
      <sz val="11"/>
      <color indexed="56"/>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30"/>
      <name val="Calibri Light"/>
      <family val="2"/>
    </font>
    <font>
      <b/>
      <sz val="13"/>
      <color indexed="30"/>
      <name val="Calibri"/>
      <family val="2"/>
    </font>
    <font>
      <b/>
      <sz val="11"/>
      <color indexed="56"/>
      <name val="Calibri"/>
      <family val="2"/>
    </font>
    <font>
      <vertAlign val="superscript"/>
      <sz val="26"/>
      <color indexed="40"/>
      <name val="BBVA Office Book"/>
      <family val="2"/>
    </font>
    <font>
      <vertAlign val="superscript"/>
      <sz val="22"/>
      <color indexed="9"/>
      <name val="BBVA Office Book"/>
      <family val="2"/>
    </font>
    <font>
      <sz val="14"/>
      <color indexed="56"/>
      <name val="BBVA Office Book"/>
      <family val="2"/>
    </font>
    <font>
      <sz val="14"/>
      <color indexed="40"/>
      <name val="BBVA Office Book"/>
      <family val="2"/>
    </font>
    <font>
      <sz val="10"/>
      <color indexed="40"/>
      <name val="BBVA Office Book"/>
      <family val="2"/>
    </font>
    <font>
      <sz val="10"/>
      <color indexed="49"/>
      <name val="BBVA Office Book"/>
      <family val="2"/>
    </font>
    <font>
      <sz val="11"/>
      <color indexed="30"/>
      <name val="BBVA Office Book"/>
      <family val="2"/>
    </font>
    <font>
      <b/>
      <sz val="10"/>
      <color indexed="9"/>
      <name val="BBVA Office Book"/>
      <family val="2"/>
    </font>
    <font>
      <sz val="10"/>
      <color indexed="9"/>
      <name val="BBVA Office Book"/>
      <family val="2"/>
    </font>
    <font>
      <sz val="8"/>
      <color indexed="9"/>
      <name val="BBVA Office Book"/>
      <family val="2"/>
    </font>
    <font>
      <sz val="10"/>
      <color indexed="48"/>
      <name val="Arial"/>
      <family val="2"/>
    </font>
    <font>
      <b/>
      <sz val="16"/>
      <color indexed="40"/>
      <name val="BBVA Office Book"/>
      <family val="2"/>
    </font>
    <font>
      <sz val="10"/>
      <color indexed="30"/>
      <name val="BBVA Office Book"/>
      <family val="2"/>
    </font>
    <font>
      <sz val="16"/>
      <color indexed="40"/>
      <name val="BBVA Office Book"/>
      <family val="2"/>
    </font>
    <font>
      <sz val="10"/>
      <color indexed="10"/>
      <name val="Arial"/>
      <family val="2"/>
    </font>
    <font>
      <sz val="11"/>
      <color indexed="40"/>
      <name val="BBVA Office Book"/>
      <family val="2"/>
    </font>
    <font>
      <sz val="11"/>
      <color indexed="9"/>
      <name val="BBVA Office Book"/>
      <family val="2"/>
    </font>
    <font>
      <sz val="11"/>
      <color indexed="30"/>
      <name val="Calibri"/>
      <family val="2"/>
    </font>
    <font>
      <sz val="16"/>
      <color indexed="56"/>
      <name val="BBVA Office Book"/>
      <family val="2"/>
    </font>
    <font>
      <sz val="12"/>
      <color indexed="56"/>
      <name val="BBVA Office Book"/>
      <family val="2"/>
    </font>
    <font>
      <sz val="12"/>
      <color indexed="30"/>
      <name val="BBVA Office Book"/>
      <family val="2"/>
    </font>
    <font>
      <sz val="11"/>
      <name val="Calibri"/>
      <family val="2"/>
    </font>
    <font>
      <sz val="12"/>
      <color indexed="63"/>
      <name val="Arial"/>
      <family val="2"/>
    </font>
    <font>
      <b/>
      <sz val="9"/>
      <color indexed="10"/>
      <name val="BBVA Office Book"/>
      <family val="2"/>
    </font>
    <font>
      <sz val="2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vertAlign val="superscript"/>
      <sz val="26"/>
      <color theme="1" tint="0.34999001026153564"/>
      <name val="BBVA Office Book"/>
      <family val="2"/>
    </font>
    <font>
      <vertAlign val="superscript"/>
      <sz val="22"/>
      <color theme="0"/>
      <name val="BBVA Office Book"/>
      <family val="2"/>
    </font>
    <font>
      <sz val="14"/>
      <color theme="1"/>
      <name val="BBVA Office Book"/>
      <family val="2"/>
    </font>
    <font>
      <sz val="14"/>
      <color theme="1" tint="0.34999001026153564"/>
      <name val="BBVA Office Book"/>
      <family val="2"/>
    </font>
    <font>
      <sz val="10"/>
      <color theme="1" tint="0.34999001026153564"/>
      <name val="BBVA Office Book"/>
      <family val="2"/>
    </font>
    <font>
      <sz val="10"/>
      <color theme="4"/>
      <name val="BBVA Office Book"/>
      <family val="2"/>
    </font>
    <font>
      <sz val="11"/>
      <color theme="3"/>
      <name val="BBVA Office Book"/>
      <family val="2"/>
    </font>
    <font>
      <b/>
      <sz val="10"/>
      <color theme="0"/>
      <name val="BBVA Office Book"/>
      <family val="2"/>
    </font>
    <font>
      <sz val="10"/>
      <color theme="0"/>
      <name val="BBVA Office Book"/>
      <family val="2"/>
    </font>
    <font>
      <sz val="8"/>
      <color theme="0"/>
      <name val="BBVA Office Book"/>
      <family val="2"/>
    </font>
    <font>
      <sz val="10"/>
      <color theme="5"/>
      <name val="Arial"/>
      <family val="2"/>
    </font>
    <font>
      <b/>
      <sz val="16"/>
      <color theme="1" tint="0.34999001026153564"/>
      <name val="BBVA Office Book"/>
      <family val="2"/>
    </font>
    <font>
      <sz val="10"/>
      <color theme="3"/>
      <name val="BBVA Office Book"/>
      <family val="2"/>
    </font>
    <font>
      <sz val="16"/>
      <color theme="1" tint="0.34999001026153564"/>
      <name val="BBVA Office Book"/>
      <family val="2"/>
    </font>
    <font>
      <sz val="10"/>
      <color rgb="FFFF0000"/>
      <name val="Arial"/>
      <family val="2"/>
    </font>
    <font>
      <sz val="11"/>
      <color theme="1" tint="0.34999001026153564"/>
      <name val="BBVA Office Book"/>
      <family val="2"/>
    </font>
    <font>
      <sz val="11"/>
      <color theme="0"/>
      <name val="BBVA Office Book"/>
      <family val="2"/>
    </font>
    <font>
      <sz val="11"/>
      <color theme="3"/>
      <name val="Calibri"/>
      <family val="2"/>
    </font>
    <font>
      <sz val="16"/>
      <color theme="1"/>
      <name val="BBVA Office Book"/>
      <family val="2"/>
    </font>
    <font>
      <sz val="12"/>
      <color rgb="FF002060"/>
      <name val="BBVA Office Book"/>
      <family val="2"/>
    </font>
    <font>
      <sz val="12"/>
      <color theme="3"/>
      <name val="BBVA Office Book"/>
      <family val="2"/>
    </font>
    <font>
      <sz val="11"/>
      <color theme="4" tint="-0.4999699890613556"/>
      <name val="Calibri"/>
      <family val="2"/>
    </font>
    <font>
      <sz val="12"/>
      <color rgb="FF222222"/>
      <name val="Arial"/>
      <family val="2"/>
    </font>
    <font>
      <b/>
      <sz val="9"/>
      <color rgb="FFFF0000"/>
      <name val="BBVA Office Book"/>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bgColor indexed="64"/>
      </patternFill>
    </fill>
    <fill>
      <patternFill patternType="solid">
        <fgColor theme="2" tint="0.8999900221824646"/>
        <bgColor indexed="64"/>
      </patternFill>
    </fill>
    <fill>
      <patternFill patternType="solid">
        <fgColor theme="0"/>
        <bgColor indexed="64"/>
      </patternFill>
    </fill>
    <fill>
      <patternFill patternType="solid">
        <fgColor rgb="FFA7CFED"/>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border>
    <border>
      <left/>
      <right/>
      <top/>
      <bottom style="thin"/>
    </border>
    <border>
      <left/>
      <right style="thin"/>
      <top style="thin"/>
      <bottom/>
    </border>
    <border>
      <left style="thin"/>
      <right/>
      <top/>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6" fillId="20" borderId="0" applyNumberFormat="0" applyBorder="0" applyAlignment="0" applyProtection="0"/>
    <xf numFmtId="0" fontId="77" fillId="21" borderId="1" applyNumberFormat="0" applyAlignment="0" applyProtection="0"/>
    <xf numFmtId="0" fontId="78" fillId="22" borderId="2" applyNumberFormat="0" applyAlignment="0" applyProtection="0"/>
    <xf numFmtId="0" fontId="79" fillId="0" borderId="3" applyNumberFormat="0" applyFill="0" applyAlignment="0" applyProtection="0"/>
    <xf numFmtId="0" fontId="80" fillId="0" borderId="4" applyNumberFormat="0" applyFill="0" applyAlignment="0" applyProtection="0"/>
    <xf numFmtId="0" fontId="81" fillId="0" borderId="0" applyNumberFormat="0" applyFill="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82" fillId="29" borderId="1"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6" fillId="31" borderId="0" applyNumberFormat="0" applyBorder="0" applyAlignment="0" applyProtection="0"/>
    <xf numFmtId="0" fontId="6" fillId="0" borderId="0">
      <alignment/>
      <protection/>
    </xf>
    <xf numFmtId="0" fontId="6" fillId="0" borderId="0">
      <alignment/>
      <protection/>
    </xf>
    <xf numFmtId="3" fontId="6"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7" fillId="21" borderId="6" applyNumberFormat="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1" fillId="0" borderId="7" applyNumberFormat="0" applyFill="0" applyAlignment="0" applyProtection="0"/>
    <xf numFmtId="0" fontId="81" fillId="0" borderId="8" applyNumberFormat="0" applyFill="0" applyAlignment="0" applyProtection="0"/>
    <xf numFmtId="0" fontId="92" fillId="0" borderId="9" applyNumberFormat="0" applyFill="0" applyAlignment="0" applyProtection="0"/>
  </cellStyleXfs>
  <cellXfs count="310">
    <xf numFmtId="0" fontId="0" fillId="0" borderId="0" xfId="0" applyFont="1" applyAlignment="1">
      <alignment/>
    </xf>
    <xf numFmtId="0" fontId="3" fillId="0" borderId="0" xfId="58" applyFont="1">
      <alignment/>
      <protection/>
    </xf>
    <xf numFmtId="0" fontId="4" fillId="0" borderId="0" xfId="58" applyFont="1">
      <alignment/>
      <protection/>
    </xf>
    <xf numFmtId="0" fontId="5" fillId="0" borderId="0" xfId="58" applyFont="1">
      <alignment/>
      <protection/>
    </xf>
    <xf numFmtId="0" fontId="93" fillId="33" borderId="0" xfId="55" applyFont="1" applyFill="1" applyAlignment="1" applyProtection="1">
      <alignment horizontal="center" vertical="top"/>
      <protection hidden="1"/>
    </xf>
    <xf numFmtId="0" fontId="7" fillId="0" borderId="0" xfId="58" applyFont="1" applyProtection="1">
      <alignment/>
      <protection locked="0"/>
    </xf>
    <xf numFmtId="0" fontId="8" fillId="0" borderId="0" xfId="55" applyFont="1" applyFill="1" applyAlignment="1" applyProtection="1">
      <alignment horizontal="left" indent="4"/>
      <protection hidden="1"/>
    </xf>
    <xf numFmtId="0" fontId="94" fillId="34" borderId="0" xfId="55" applyFont="1" applyFill="1" applyAlignment="1" applyProtection="1">
      <alignment horizontal="left" vertical="top"/>
      <protection hidden="1"/>
    </xf>
    <xf numFmtId="0" fontId="9" fillId="0" borderId="0" xfId="55" applyFont="1">
      <alignment/>
      <protection/>
    </xf>
    <xf numFmtId="0" fontId="3" fillId="0" borderId="0" xfId="58" applyFont="1" applyProtection="1">
      <alignment/>
      <protection hidden="1"/>
    </xf>
    <xf numFmtId="0" fontId="95" fillId="8" borderId="0" xfId="0" applyFont="1" applyFill="1" applyAlignment="1">
      <alignment/>
    </xf>
    <xf numFmtId="0" fontId="4" fillId="0" borderId="0" xfId="58" applyFont="1" quotePrefix="1">
      <alignment/>
      <protection/>
    </xf>
    <xf numFmtId="0" fontId="10" fillId="0" borderId="0" xfId="58" applyFont="1" quotePrefix="1">
      <alignment/>
      <protection/>
    </xf>
    <xf numFmtId="0" fontId="3" fillId="0" borderId="0" xfId="58" applyFont="1" applyProtection="1" quotePrefix="1">
      <alignment/>
      <protection hidden="1"/>
    </xf>
    <xf numFmtId="0" fontId="4" fillId="0" borderId="0" xfId="58" applyFont="1" applyFill="1">
      <alignment/>
      <protection/>
    </xf>
    <xf numFmtId="0" fontId="3" fillId="0" borderId="0" xfId="58" applyFont="1" applyFill="1" applyProtection="1">
      <alignment/>
      <protection hidden="1"/>
    </xf>
    <xf numFmtId="0" fontId="3" fillId="0" borderId="0" xfId="58" applyFont="1" applyFill="1">
      <alignment/>
      <protection/>
    </xf>
    <xf numFmtId="0" fontId="3" fillId="0" borderId="0" xfId="58" applyFont="1" applyAlignment="1">
      <alignment horizontal="left" indent="5"/>
      <protection/>
    </xf>
    <xf numFmtId="0" fontId="3" fillId="0" borderId="0" xfId="58" applyFont="1" applyFill="1" applyAlignment="1">
      <alignment horizontal="left" indent="5"/>
      <protection/>
    </xf>
    <xf numFmtId="0" fontId="4" fillId="0" borderId="0" xfId="58" applyFont="1" applyFill="1" applyAlignment="1">
      <alignment horizontal="left" indent="5"/>
      <protection/>
    </xf>
    <xf numFmtId="0" fontId="3" fillId="0" borderId="0" xfId="58" applyFont="1" applyAlignment="1">
      <alignment horizontal="center"/>
      <protection/>
    </xf>
    <xf numFmtId="0" fontId="3" fillId="0" borderId="0" xfId="58" applyFont="1" applyAlignment="1" applyProtection="1">
      <alignment horizontal="left" indent="5"/>
      <protection hidden="1"/>
    </xf>
    <xf numFmtId="0" fontId="4" fillId="0" borderId="0" xfId="58" applyFont="1" applyAlignment="1">
      <alignment horizontal="left" indent="5"/>
      <protection/>
    </xf>
    <xf numFmtId="0" fontId="5" fillId="0" borderId="0" xfId="58" applyFont="1" applyAlignment="1">
      <alignment horizontal="left" vertical="top"/>
      <protection/>
    </xf>
    <xf numFmtId="0" fontId="11" fillId="0" borderId="0" xfId="58" applyFont="1">
      <alignment/>
      <protection/>
    </xf>
    <xf numFmtId="0" fontId="95" fillId="35" borderId="0" xfId="0" applyFont="1" applyFill="1" applyAlignment="1">
      <alignment/>
    </xf>
    <xf numFmtId="0" fontId="12" fillId="0" borderId="0" xfId="58" applyFont="1">
      <alignment/>
      <protection/>
    </xf>
    <xf numFmtId="0" fontId="11" fillId="0" borderId="0" xfId="58" applyFont="1" applyProtection="1">
      <alignment/>
      <protection hidden="1"/>
    </xf>
    <xf numFmtId="0" fontId="13" fillId="0" borderId="0" xfId="58" applyFont="1">
      <alignment/>
      <protection/>
    </xf>
    <xf numFmtId="0" fontId="14" fillId="0" borderId="0" xfId="0" applyFont="1" applyFill="1" applyBorder="1" applyAlignment="1">
      <alignment horizontal="left" vertical="center"/>
    </xf>
    <xf numFmtId="0" fontId="15" fillId="0" borderId="0" xfId="0" applyFont="1" applyFill="1" applyBorder="1" applyAlignment="1">
      <alignment/>
    </xf>
    <xf numFmtId="0" fontId="0" fillId="0" borderId="0" xfId="0" applyFill="1" applyAlignment="1">
      <alignment/>
    </xf>
    <xf numFmtId="0" fontId="9" fillId="0" borderId="0" xfId="0" applyFont="1" applyFill="1" applyBorder="1" applyAlignment="1">
      <alignment horizontal="left" vertical="center"/>
    </xf>
    <xf numFmtId="0" fontId="96" fillId="33" borderId="0" xfId="0" applyFont="1" applyFill="1" applyBorder="1" applyAlignment="1">
      <alignment horizontal="left" vertical="center"/>
    </xf>
    <xf numFmtId="0" fontId="97" fillId="33" borderId="0" xfId="0" applyFont="1" applyFill="1" applyBorder="1" applyAlignment="1">
      <alignment/>
    </xf>
    <xf numFmtId="0" fontId="98" fillId="0" borderId="0" xfId="0" applyFont="1" applyFill="1" applyBorder="1" applyAlignment="1">
      <alignment horizontal="lef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xf>
    <xf numFmtId="0" fontId="99" fillId="0" borderId="0" xfId="0" applyFont="1" applyFill="1" applyBorder="1" applyAlignment="1">
      <alignment horizontal="right" vertical="center"/>
    </xf>
    <xf numFmtId="0" fontId="99" fillId="0" borderId="10" xfId="0" applyFont="1" applyFill="1" applyBorder="1" applyAlignment="1">
      <alignment horizontal="right" vertical="center"/>
    </xf>
    <xf numFmtId="3" fontId="16" fillId="0" borderId="0" xfId="0" applyNumberFormat="1" applyFont="1" applyFill="1" applyBorder="1" applyAlignment="1">
      <alignment vertical="center"/>
    </xf>
    <xf numFmtId="3" fontId="16" fillId="0" borderId="10" xfId="0" applyNumberFormat="1" applyFont="1" applyFill="1" applyBorder="1" applyAlignment="1">
      <alignment vertical="center"/>
    </xf>
    <xf numFmtId="3" fontId="15" fillId="0" borderId="0" xfId="0" applyNumberFormat="1" applyFont="1" applyFill="1" applyBorder="1" applyAlignment="1">
      <alignment vertical="center"/>
    </xf>
    <xf numFmtId="3" fontId="15" fillId="0" borderId="0" xfId="0" applyNumberFormat="1" applyFont="1" applyFill="1" applyBorder="1" applyAlignment="1">
      <alignment horizontal="right"/>
    </xf>
    <xf numFmtId="3" fontId="15" fillId="0" borderId="10" xfId="0" applyNumberFormat="1" applyFont="1" applyFill="1" applyBorder="1" applyAlignment="1">
      <alignment horizontal="right"/>
    </xf>
    <xf numFmtId="3" fontId="15" fillId="0" borderId="0" xfId="0" applyNumberFormat="1" applyFont="1" applyFill="1" applyBorder="1" applyAlignment="1">
      <alignment horizontal="left" vertical="center" indent="1"/>
    </xf>
    <xf numFmtId="3" fontId="100" fillId="34" borderId="0" xfId="0" applyNumberFormat="1" applyFont="1" applyFill="1" applyBorder="1" applyAlignment="1">
      <alignment vertical="center"/>
    </xf>
    <xf numFmtId="3" fontId="100" fillId="0" borderId="0" xfId="0" applyNumberFormat="1" applyFont="1" applyFill="1" applyBorder="1" applyAlignment="1">
      <alignment vertical="center"/>
    </xf>
    <xf numFmtId="3" fontId="75" fillId="0" borderId="0" xfId="0" applyNumberFormat="1" applyFont="1" applyFill="1" applyAlignment="1">
      <alignment/>
    </xf>
    <xf numFmtId="3" fontId="16" fillId="0" borderId="0" xfId="0" applyNumberFormat="1" applyFont="1" applyFill="1" applyBorder="1" applyAlignment="1">
      <alignment horizontal="right" vertical="center"/>
    </xf>
    <xf numFmtId="3" fontId="100" fillId="34" borderId="0" xfId="0" applyNumberFormat="1" applyFont="1" applyFill="1" applyBorder="1" applyAlignment="1">
      <alignment horizontal="right" vertical="center"/>
    </xf>
    <xf numFmtId="0" fontId="16" fillId="0" borderId="0" xfId="0" applyFont="1" applyFill="1" applyBorder="1" applyAlignment="1">
      <alignment/>
    </xf>
    <xf numFmtId="166" fontId="99" fillId="0" borderId="0" xfId="0" applyNumberFormat="1" applyFont="1" applyFill="1" applyBorder="1" applyAlignment="1">
      <alignment horizontal="right" vertical="center"/>
    </xf>
    <xf numFmtId="3" fontId="0" fillId="0" borderId="0" xfId="0" applyNumberFormat="1" applyFill="1" applyAlignment="1">
      <alignment/>
    </xf>
    <xf numFmtId="3" fontId="18" fillId="0" borderId="0" xfId="0" applyNumberFormat="1" applyFont="1" applyFill="1" applyBorder="1" applyAlignment="1">
      <alignment vertical="center"/>
    </xf>
    <xf numFmtId="3" fontId="18" fillId="0" borderId="0" xfId="0" applyNumberFormat="1" applyFont="1" applyFill="1" applyBorder="1" applyAlignment="1">
      <alignment horizontal="right"/>
    </xf>
    <xf numFmtId="3" fontId="15" fillId="35" borderId="0" xfId="0" applyNumberFormat="1" applyFont="1" applyFill="1" applyBorder="1" applyAlignment="1">
      <alignment horizontal="right"/>
    </xf>
    <xf numFmtId="3" fontId="15" fillId="0" borderId="0" xfId="0" applyNumberFormat="1" applyFont="1" applyFill="1" applyBorder="1" applyAlignment="1">
      <alignment/>
    </xf>
    <xf numFmtId="3" fontId="15" fillId="0" borderId="0" xfId="0" applyNumberFormat="1" applyFont="1" applyFill="1" applyAlignment="1">
      <alignment vertical="center"/>
    </xf>
    <xf numFmtId="3" fontId="16" fillId="0" borderId="0" xfId="0" applyNumberFormat="1" applyFont="1" applyFill="1" applyBorder="1" applyAlignment="1">
      <alignment/>
    </xf>
    <xf numFmtId="3" fontId="101" fillId="0" borderId="0" xfId="0" applyNumberFormat="1" applyFont="1" applyFill="1" applyBorder="1" applyAlignment="1">
      <alignment/>
    </xf>
    <xf numFmtId="3" fontId="17" fillId="0" borderId="0" xfId="0" applyNumberFormat="1" applyFont="1" applyFill="1" applyBorder="1" applyAlignment="1">
      <alignment vertical="center"/>
    </xf>
    <xf numFmtId="3" fontId="102" fillId="0" borderId="0" xfId="0" applyNumberFormat="1" applyFont="1" applyFill="1" applyBorder="1" applyAlignment="1">
      <alignment vertical="center" wrapText="1"/>
    </xf>
    <xf numFmtId="3" fontId="15" fillId="0" borderId="10" xfId="0" applyNumberFormat="1" applyFont="1" applyFill="1" applyBorder="1" applyAlignment="1">
      <alignment/>
    </xf>
    <xf numFmtId="0" fontId="96" fillId="0" borderId="0" xfId="0" applyFont="1" applyFill="1" applyBorder="1" applyAlignment="1">
      <alignment horizontal="left" vertical="center"/>
    </xf>
    <xf numFmtId="0" fontId="97" fillId="0" borderId="0" xfId="0" applyFont="1" applyFill="1" applyBorder="1" applyAlignment="1">
      <alignment/>
    </xf>
    <xf numFmtId="166" fontId="99" fillId="0" borderId="10" xfId="0" applyNumberFormat="1" applyFont="1" applyFill="1" applyBorder="1" applyAlignment="1">
      <alignment horizontal="right" vertical="center"/>
    </xf>
    <xf numFmtId="0" fontId="97" fillId="33" borderId="0" xfId="0" applyFont="1" applyFill="1" applyBorder="1" applyAlignment="1">
      <alignment horizontal="right"/>
    </xf>
    <xf numFmtId="0" fontId="15" fillId="0" borderId="0" xfId="0" applyFont="1" applyFill="1" applyBorder="1" applyAlignment="1">
      <alignment horizontal="right"/>
    </xf>
    <xf numFmtId="3" fontId="100" fillId="34" borderId="10" xfId="0" applyNumberFormat="1" applyFont="1" applyFill="1" applyBorder="1" applyAlignment="1">
      <alignment vertical="center"/>
    </xf>
    <xf numFmtId="0" fontId="97" fillId="0" borderId="0" xfId="0" applyFont="1" applyFill="1" applyBorder="1" applyAlignment="1">
      <alignment horizontal="right"/>
    </xf>
    <xf numFmtId="0" fontId="19" fillId="0" borderId="0" xfId="0" applyFont="1" applyFill="1" applyBorder="1" applyAlignment="1">
      <alignment/>
    </xf>
    <xf numFmtId="0" fontId="0" fillId="0" borderId="0" xfId="0" applyFill="1" applyBorder="1" applyAlignment="1">
      <alignment/>
    </xf>
    <xf numFmtId="0" fontId="20" fillId="0" borderId="0" xfId="0" applyFont="1" applyFill="1" applyBorder="1" applyAlignment="1">
      <alignment/>
    </xf>
    <xf numFmtId="166" fontId="99" fillId="0" borderId="0" xfId="0" applyNumberFormat="1" applyFont="1" applyFill="1" applyBorder="1" applyAlignment="1">
      <alignment vertical="center"/>
    </xf>
    <xf numFmtId="3" fontId="15" fillId="0" borderId="0" xfId="0" applyNumberFormat="1" applyFont="1" applyFill="1" applyBorder="1" applyAlignment="1">
      <alignment/>
    </xf>
    <xf numFmtId="0" fontId="97" fillId="0" borderId="0" xfId="0" applyFont="1" applyFill="1" applyBorder="1" applyAlignment="1">
      <alignment/>
    </xf>
    <xf numFmtId="0" fontId="15" fillId="0" borderId="0" xfId="0" applyFont="1" applyFill="1" applyBorder="1" applyAlignment="1">
      <alignment/>
    </xf>
    <xf numFmtId="3" fontId="100" fillId="34" borderId="10" xfId="0" applyNumberFormat="1" applyFont="1" applyFill="1" applyBorder="1" applyAlignment="1">
      <alignment horizontal="right" vertical="center"/>
    </xf>
    <xf numFmtId="0" fontId="97" fillId="33" borderId="0" xfId="0" applyFont="1" applyFill="1" applyBorder="1" applyAlignment="1">
      <alignment/>
    </xf>
    <xf numFmtId="0" fontId="0" fillId="0" borderId="0" xfId="0" applyFill="1" applyAlignment="1">
      <alignment horizontal="right"/>
    </xf>
    <xf numFmtId="0" fontId="14" fillId="0" borderId="0" xfId="0" applyFont="1" applyFill="1" applyBorder="1" applyAlignment="1" quotePrefix="1">
      <alignment horizontal="left" vertical="center"/>
    </xf>
    <xf numFmtId="0" fontId="98" fillId="0" borderId="0" xfId="0" applyFont="1" applyFill="1" applyBorder="1" applyAlignment="1" quotePrefix="1">
      <alignment horizontal="left" vertical="center"/>
    </xf>
    <xf numFmtId="0" fontId="99" fillId="0" borderId="0" xfId="0" applyFont="1" applyFill="1" applyBorder="1" applyAlignment="1" quotePrefix="1">
      <alignment horizontal="right" vertical="center"/>
    </xf>
    <xf numFmtId="0" fontId="99" fillId="0" borderId="10" xfId="0" applyFont="1" applyFill="1" applyBorder="1" applyAlignment="1" quotePrefix="1">
      <alignment horizontal="right" vertical="center"/>
    </xf>
    <xf numFmtId="0" fontId="0" fillId="0" borderId="0" xfId="0" applyFill="1" applyAlignment="1" quotePrefix="1">
      <alignment/>
    </xf>
    <xf numFmtId="3" fontId="15" fillId="0" borderId="0" xfId="0" applyNumberFormat="1" applyFont="1" applyFill="1" applyBorder="1" applyAlignment="1" quotePrefix="1">
      <alignment vertical="center"/>
    </xf>
    <xf numFmtId="3" fontId="15" fillId="0" borderId="0" xfId="0" applyNumberFormat="1" applyFont="1" applyFill="1" applyBorder="1" applyAlignment="1" quotePrefix="1">
      <alignment horizontal="left" vertical="center" indent="1"/>
    </xf>
    <xf numFmtId="3" fontId="16" fillId="0" borderId="0" xfId="0" applyNumberFormat="1" applyFont="1" applyFill="1" applyBorder="1" applyAlignment="1" quotePrefix="1">
      <alignment vertical="center"/>
    </xf>
    <xf numFmtId="3" fontId="100" fillId="34" borderId="0" xfId="0" applyNumberFormat="1" applyFont="1" applyFill="1" applyBorder="1" applyAlignment="1" quotePrefix="1">
      <alignment vertical="center"/>
    </xf>
    <xf numFmtId="3" fontId="17" fillId="0" borderId="0" xfId="0" applyNumberFormat="1" applyFont="1" applyFill="1" applyBorder="1" applyAlignment="1" quotePrefix="1">
      <alignment vertical="center"/>
    </xf>
    <xf numFmtId="0" fontId="96" fillId="33" borderId="0" xfId="0" applyFont="1" applyFill="1" applyBorder="1" applyAlignment="1" quotePrefix="1">
      <alignment horizontal="left" vertical="center"/>
    </xf>
    <xf numFmtId="0" fontId="96" fillId="33" borderId="0" xfId="0" applyFont="1" applyFill="1" applyAlignment="1">
      <alignment horizontal="left" vertical="center"/>
    </xf>
    <xf numFmtId="0" fontId="97" fillId="33" borderId="0" xfId="59" applyFont="1" applyFill="1">
      <alignment/>
      <protection/>
    </xf>
    <xf numFmtId="0" fontId="20" fillId="0" borderId="0" xfId="59" applyFont="1">
      <alignment/>
      <protection/>
    </xf>
    <xf numFmtId="0" fontId="98" fillId="0" borderId="0" xfId="0" applyFont="1" applyFill="1" applyAlignment="1">
      <alignment horizontal="left"/>
    </xf>
    <xf numFmtId="0" fontId="15" fillId="0" borderId="0" xfId="59" applyFont="1" applyFill="1">
      <alignment/>
      <protection/>
    </xf>
    <xf numFmtId="166" fontId="16" fillId="0" borderId="0" xfId="60" applyNumberFormat="1" applyFont="1" applyFill="1" applyAlignment="1">
      <alignment horizontal="right" vertical="center"/>
      <protection/>
    </xf>
    <xf numFmtId="166" fontId="99" fillId="0" borderId="11" xfId="0" applyNumberFormat="1" applyFont="1" applyFill="1" applyBorder="1" applyAlignment="1">
      <alignment horizontal="right"/>
    </xf>
    <xf numFmtId="49" fontId="15" fillId="0" borderId="0" xfId="59" applyNumberFormat="1" applyFont="1" applyFill="1" applyBorder="1" applyAlignment="1">
      <alignment horizontal="right"/>
      <protection/>
    </xf>
    <xf numFmtId="49" fontId="15" fillId="0" borderId="12" xfId="59" applyNumberFormat="1" applyFont="1" applyFill="1" applyBorder="1" applyAlignment="1">
      <alignment horizontal="right"/>
      <protection/>
    </xf>
    <xf numFmtId="3" fontId="16" fillId="0" borderId="0" xfId="0" applyNumberFormat="1" applyFont="1" applyFill="1" applyAlignment="1">
      <alignment vertical="center"/>
    </xf>
    <xf numFmtId="167" fontId="16" fillId="0" borderId="0" xfId="0" applyNumberFormat="1" applyFont="1" applyFill="1" applyBorder="1" applyAlignment="1">
      <alignment vertical="center"/>
    </xf>
    <xf numFmtId="167" fontId="16" fillId="0" borderId="10" xfId="0" applyNumberFormat="1" applyFont="1" applyFill="1" applyBorder="1" applyAlignment="1">
      <alignment vertical="center"/>
    </xf>
    <xf numFmtId="3" fontId="0" fillId="0" borderId="0" xfId="0" applyNumberFormat="1" applyAlignment="1">
      <alignment/>
    </xf>
    <xf numFmtId="167" fontId="15" fillId="0" borderId="0" xfId="59" applyNumberFormat="1" applyFont="1" applyFill="1" applyBorder="1" applyAlignment="1">
      <alignment horizontal="right"/>
      <protection/>
    </xf>
    <xf numFmtId="167" fontId="15" fillId="0" borderId="10" xfId="59" applyNumberFormat="1" applyFont="1" applyFill="1" applyBorder="1" applyAlignment="1">
      <alignment horizontal="right"/>
      <protection/>
    </xf>
    <xf numFmtId="167" fontId="20" fillId="0" borderId="0" xfId="59" applyNumberFormat="1" applyFont="1">
      <alignment/>
      <protection/>
    </xf>
    <xf numFmtId="167" fontId="15" fillId="0" borderId="0" xfId="0" applyNumberFormat="1" applyFont="1" applyFill="1" applyBorder="1" applyAlignment="1">
      <alignment vertical="center"/>
    </xf>
    <xf numFmtId="167" fontId="15" fillId="0" borderId="10" xfId="0" applyNumberFormat="1" applyFont="1" applyFill="1" applyBorder="1" applyAlignment="1">
      <alignment vertical="center"/>
    </xf>
    <xf numFmtId="167" fontId="15" fillId="0" borderId="0" xfId="0" applyNumberFormat="1" applyFont="1" applyFill="1" applyBorder="1" applyAlignment="1">
      <alignment horizontal="right" vertical="center"/>
    </xf>
    <xf numFmtId="3" fontId="103" fillId="0" borderId="0" xfId="0" applyNumberFormat="1" applyFont="1" applyAlignment="1">
      <alignment/>
    </xf>
    <xf numFmtId="167" fontId="15" fillId="0" borderId="0" xfId="65" applyNumberFormat="1" applyFont="1" applyFill="1" applyBorder="1" applyAlignment="1">
      <alignment horizontal="right"/>
    </xf>
    <xf numFmtId="0" fontId="21" fillId="0" borderId="0" xfId="0" applyFont="1" applyFill="1" applyAlignment="1">
      <alignment horizontal="left"/>
    </xf>
    <xf numFmtId="0" fontId="20" fillId="0" borderId="0" xfId="59" applyFont="1" applyFill="1">
      <alignment/>
      <protection/>
    </xf>
    <xf numFmtId="0" fontId="104" fillId="33" borderId="0" xfId="60" applyFont="1" applyFill="1" applyAlignment="1">
      <alignment horizontal="left" vertical="center"/>
      <protection/>
    </xf>
    <xf numFmtId="0" fontId="6" fillId="0" borderId="0" xfId="59" applyFont="1">
      <alignment/>
      <protection/>
    </xf>
    <xf numFmtId="166" fontId="99" fillId="0" borderId="11" xfId="0" applyNumberFormat="1" applyFont="1" applyFill="1" applyBorder="1" applyAlignment="1">
      <alignment horizontal="right" vertical="center"/>
    </xf>
    <xf numFmtId="0" fontId="15" fillId="0" borderId="12" xfId="59" applyFont="1" applyFill="1" applyBorder="1">
      <alignment/>
      <protection/>
    </xf>
    <xf numFmtId="168" fontId="0" fillId="0" borderId="0" xfId="0" applyNumberFormat="1" applyAlignment="1">
      <alignment/>
    </xf>
    <xf numFmtId="169" fontId="0" fillId="0" borderId="0" xfId="0" applyNumberFormat="1" applyAlignment="1">
      <alignment/>
    </xf>
    <xf numFmtId="0" fontId="22" fillId="0" borderId="0" xfId="59" applyFont="1">
      <alignment/>
      <protection/>
    </xf>
    <xf numFmtId="169" fontId="6" fillId="0" borderId="0" xfId="59" applyNumberFormat="1" applyFont="1">
      <alignment/>
      <protection/>
    </xf>
    <xf numFmtId="167" fontId="15" fillId="0" borderId="0" xfId="0" applyNumberFormat="1" applyFont="1" applyFill="1" applyBorder="1" applyAlignment="1">
      <alignment/>
    </xf>
    <xf numFmtId="0" fontId="17" fillId="0" borderId="0" xfId="0" applyFont="1" applyFill="1" applyAlignment="1">
      <alignment horizontal="left"/>
    </xf>
    <xf numFmtId="169" fontId="15" fillId="0" borderId="0" xfId="59" applyNumberFormat="1" applyFont="1" applyFill="1" applyBorder="1">
      <alignment/>
      <protection/>
    </xf>
    <xf numFmtId="0" fontId="97" fillId="33" borderId="0" xfId="59" applyFont="1" applyFill="1" applyBorder="1">
      <alignment/>
      <protection/>
    </xf>
    <xf numFmtId="169" fontId="97" fillId="33" borderId="0" xfId="59" applyNumberFormat="1" applyFont="1" applyFill="1" applyBorder="1">
      <alignment/>
      <protection/>
    </xf>
    <xf numFmtId="0" fontId="22" fillId="0" borderId="0" xfId="59" applyFont="1" applyFill="1">
      <alignment/>
      <protection/>
    </xf>
    <xf numFmtId="2" fontId="15" fillId="0" borderId="0" xfId="59" applyNumberFormat="1" applyFont="1" applyFill="1" applyBorder="1">
      <alignment/>
      <protection/>
    </xf>
    <xf numFmtId="1" fontId="16" fillId="0" borderId="0" xfId="0" applyNumberFormat="1" applyFont="1" applyFill="1" applyBorder="1" applyAlignment="1">
      <alignment vertical="center"/>
    </xf>
    <xf numFmtId="1" fontId="16" fillId="0" borderId="10" xfId="0" applyNumberFormat="1" applyFont="1" applyFill="1" applyBorder="1" applyAlignment="1">
      <alignment vertical="center"/>
    </xf>
    <xf numFmtId="170" fontId="0" fillId="0" borderId="0" xfId="0" applyNumberFormat="1" applyAlignment="1">
      <alignment/>
    </xf>
    <xf numFmtId="1" fontId="15" fillId="0" borderId="0" xfId="59" applyNumberFormat="1" applyFont="1" applyFill="1" applyBorder="1" applyAlignment="1">
      <alignment horizontal="right"/>
      <protection/>
    </xf>
    <xf numFmtId="1" fontId="15" fillId="0" borderId="10" xfId="59" applyNumberFormat="1" applyFont="1" applyFill="1" applyBorder="1" applyAlignment="1">
      <alignment horizontal="right"/>
      <protection/>
    </xf>
    <xf numFmtId="1" fontId="15" fillId="0" borderId="0" xfId="0" applyNumberFormat="1" applyFont="1" applyFill="1" applyBorder="1" applyAlignment="1">
      <alignment vertical="center"/>
    </xf>
    <xf numFmtId="1" fontId="15" fillId="0" borderId="10" xfId="0" applyNumberFormat="1" applyFont="1" applyFill="1" applyBorder="1" applyAlignment="1">
      <alignment vertical="center"/>
    </xf>
    <xf numFmtId="9" fontId="0" fillId="0" borderId="0" xfId="0" applyNumberFormat="1" applyAlignment="1">
      <alignment/>
    </xf>
    <xf numFmtId="1" fontId="15" fillId="0" borderId="0" xfId="0" applyNumberFormat="1" applyFont="1" applyFill="1" applyBorder="1" applyAlignment="1">
      <alignment/>
    </xf>
    <xf numFmtId="1" fontId="15" fillId="0" borderId="10" xfId="0" applyNumberFormat="1" applyFont="1" applyFill="1" applyBorder="1" applyAlignment="1">
      <alignment/>
    </xf>
    <xf numFmtId="0" fontId="15" fillId="0" borderId="0" xfId="59" applyFont="1" applyFill="1" applyBorder="1">
      <alignment/>
      <protection/>
    </xf>
    <xf numFmtId="2" fontId="16" fillId="0" borderId="0" xfId="0" applyNumberFormat="1" applyFont="1" applyFill="1" applyBorder="1" applyAlignment="1">
      <alignment vertical="center"/>
    </xf>
    <xf numFmtId="2" fontId="16" fillId="0" borderId="10" xfId="0" applyNumberFormat="1" applyFont="1" applyFill="1" applyBorder="1" applyAlignment="1">
      <alignment vertical="center"/>
    </xf>
    <xf numFmtId="2" fontId="15" fillId="0" borderId="0" xfId="59" applyNumberFormat="1" applyFont="1" applyFill="1" applyBorder="1" applyAlignment="1">
      <alignment horizontal="right"/>
      <protection/>
    </xf>
    <xf numFmtId="2" fontId="15" fillId="0" borderId="10" xfId="59" applyNumberFormat="1" applyFont="1" applyFill="1" applyBorder="1" applyAlignment="1">
      <alignment horizontal="right"/>
      <protection/>
    </xf>
    <xf numFmtId="2" fontId="15" fillId="0" borderId="0" xfId="0" applyNumberFormat="1" applyFont="1" applyFill="1" applyBorder="1" applyAlignment="1">
      <alignment vertical="center"/>
    </xf>
    <xf numFmtId="2" fontId="15" fillId="0" borderId="10" xfId="0" applyNumberFormat="1" applyFont="1" applyFill="1" applyBorder="1" applyAlignment="1">
      <alignment vertical="center"/>
    </xf>
    <xf numFmtId="2" fontId="15" fillId="0" borderId="0" xfId="0" applyNumberFormat="1" applyFont="1" applyFill="1" applyBorder="1" applyAlignment="1">
      <alignment/>
    </xf>
    <xf numFmtId="2" fontId="15" fillId="0" borderId="10" xfId="0" applyNumberFormat="1" applyFont="1" applyFill="1" applyBorder="1" applyAlignment="1">
      <alignment/>
    </xf>
    <xf numFmtId="0" fontId="6" fillId="0" borderId="0" xfId="59" applyFont="1" applyFill="1">
      <alignment/>
      <protection/>
    </xf>
    <xf numFmtId="0" fontId="23" fillId="0" borderId="0" xfId="59" applyFont="1">
      <alignment/>
      <protection/>
    </xf>
    <xf numFmtId="3" fontId="97" fillId="33" borderId="0" xfId="0" applyNumberFormat="1" applyFont="1" applyFill="1" applyBorder="1" applyAlignment="1">
      <alignment/>
    </xf>
    <xf numFmtId="0" fontId="97" fillId="33" borderId="0" xfId="0" applyFont="1" applyFill="1" applyAlignment="1">
      <alignment/>
    </xf>
    <xf numFmtId="0" fontId="16" fillId="0" borderId="0" xfId="59" applyFont="1" applyFill="1" applyBorder="1" applyAlignment="1">
      <alignment horizontal="center" vertical="center"/>
      <protection/>
    </xf>
    <xf numFmtId="3" fontId="15" fillId="0" borderId="0" xfId="0" applyNumberFormat="1" applyFont="1" applyFill="1" applyAlignment="1">
      <alignment horizontal="left" vertical="center" indent="1"/>
    </xf>
    <xf numFmtId="0" fontId="15" fillId="0" borderId="0" xfId="0" applyFont="1" applyFill="1" applyAlignment="1">
      <alignment/>
    </xf>
    <xf numFmtId="3" fontId="101" fillId="0" borderId="0" xfId="0" applyNumberFormat="1" applyFont="1" applyFill="1" applyAlignment="1">
      <alignment/>
    </xf>
    <xf numFmtId="3" fontId="20" fillId="0" borderId="0" xfId="59" applyNumberFormat="1" applyFont="1" applyFill="1">
      <alignment/>
      <protection/>
    </xf>
    <xf numFmtId="0" fontId="0" fillId="36" borderId="0" xfId="0" applyFill="1" applyAlignment="1">
      <alignment/>
    </xf>
    <xf numFmtId="0" fontId="98" fillId="0" borderId="0" xfId="0" applyFont="1" applyFill="1" applyAlignment="1">
      <alignment horizontal="left" vertical="center"/>
    </xf>
    <xf numFmtId="0" fontId="15" fillId="0" borderId="0" xfId="59" applyFont="1">
      <alignment/>
      <protection/>
    </xf>
    <xf numFmtId="0" fontId="9" fillId="0" borderId="0" xfId="60" applyFont="1" applyFill="1" applyAlignment="1">
      <alignment horizontal="left" vertical="center"/>
      <protection/>
    </xf>
    <xf numFmtId="0" fontId="105" fillId="0" borderId="0" xfId="59" applyFont="1" applyFill="1">
      <alignment/>
      <protection/>
    </xf>
    <xf numFmtId="3" fontId="105" fillId="0" borderId="0" xfId="0" applyNumberFormat="1" applyFont="1" applyFill="1" applyAlignment="1">
      <alignment/>
    </xf>
    <xf numFmtId="166" fontId="99" fillId="0" borderId="0" xfId="0" applyNumberFormat="1" applyFont="1" applyFill="1" applyBorder="1" applyAlignment="1">
      <alignment horizontal="center" vertical="center"/>
    </xf>
    <xf numFmtId="1" fontId="99" fillId="0" borderId="0" xfId="0" applyNumberFormat="1" applyFont="1" applyFill="1" applyBorder="1" applyAlignment="1">
      <alignment vertical="center"/>
    </xf>
    <xf numFmtId="166" fontId="99" fillId="0" borderId="11" xfId="0" applyNumberFormat="1" applyFont="1" applyFill="1" applyBorder="1" applyAlignment="1">
      <alignment horizontal="center" vertical="center"/>
    </xf>
    <xf numFmtId="0" fontId="105" fillId="0" borderId="11" xfId="59" applyFont="1" applyFill="1" applyBorder="1">
      <alignment/>
      <protection/>
    </xf>
    <xf numFmtId="3" fontId="105" fillId="0" borderId="11" xfId="0" applyNumberFormat="1" applyFont="1" applyFill="1" applyBorder="1" applyAlignment="1">
      <alignment/>
    </xf>
    <xf numFmtId="166" fontId="99" fillId="0" borderId="11" xfId="0" applyNumberFormat="1" applyFont="1" applyFill="1" applyBorder="1" applyAlignment="1" quotePrefix="1">
      <alignment horizontal="center" vertical="center"/>
    </xf>
    <xf numFmtId="170" fontId="15" fillId="0" borderId="0" xfId="0" applyNumberFormat="1" applyFont="1" applyFill="1" applyBorder="1" applyAlignment="1">
      <alignment/>
    </xf>
    <xf numFmtId="169" fontId="15" fillId="0" borderId="0" xfId="63" applyNumberFormat="1" applyFont="1" applyFill="1" applyBorder="1" applyAlignment="1">
      <alignment/>
    </xf>
    <xf numFmtId="9" fontId="15" fillId="0" borderId="0" xfId="63" applyFont="1" applyFill="1" applyBorder="1" applyAlignment="1">
      <alignment/>
    </xf>
    <xf numFmtId="167" fontId="15" fillId="0" borderId="0" xfId="65" applyNumberFormat="1" applyFont="1" applyFill="1" applyAlignment="1">
      <alignment horizontal="right"/>
    </xf>
    <xf numFmtId="9" fontId="15" fillId="0" borderId="0" xfId="63" applyNumberFormat="1" applyFont="1" applyFill="1" applyAlignment="1">
      <alignment horizontal="right"/>
    </xf>
    <xf numFmtId="0" fontId="106" fillId="33" borderId="0" xfId="60" applyFont="1" applyFill="1" applyBorder="1" applyAlignment="1">
      <alignment horizontal="left" vertical="center"/>
      <protection/>
    </xf>
    <xf numFmtId="0" fontId="6" fillId="0" borderId="0" xfId="54">
      <alignment/>
      <protection/>
    </xf>
    <xf numFmtId="0" fontId="98" fillId="0" borderId="0" xfId="54" applyFont="1" applyFill="1" applyBorder="1" applyAlignment="1">
      <alignment horizontal="left" vertical="center"/>
      <protection/>
    </xf>
    <xf numFmtId="0" fontId="9" fillId="0" borderId="0" xfId="60" applyFont="1" applyFill="1" applyBorder="1" applyAlignment="1">
      <alignment horizontal="left" vertical="center"/>
      <protection/>
    </xf>
    <xf numFmtId="0" fontId="15" fillId="0" borderId="0" xfId="54" applyFont="1" applyFill="1" applyBorder="1">
      <alignment/>
      <protection/>
    </xf>
    <xf numFmtId="0" fontId="99" fillId="0" borderId="11" xfId="54" applyFont="1" applyFill="1" applyBorder="1" applyAlignment="1">
      <alignment horizontal="right" vertical="center"/>
      <protection/>
    </xf>
    <xf numFmtId="0" fontId="15" fillId="0" borderId="0" xfId="57" applyFont="1" applyFill="1" applyBorder="1" applyAlignment="1">
      <alignment vertical="center"/>
      <protection/>
    </xf>
    <xf numFmtId="10" fontId="15" fillId="0" borderId="0" xfId="66" applyNumberFormat="1" applyFont="1" applyFill="1" applyBorder="1" applyAlignment="1">
      <alignment vertical="center"/>
    </xf>
    <xf numFmtId="10" fontId="6" fillId="0" borderId="0" xfId="54" applyNumberFormat="1">
      <alignment/>
      <protection/>
    </xf>
    <xf numFmtId="3" fontId="16" fillId="0" borderId="0" xfId="54" applyNumberFormat="1" applyFont="1" applyFill="1" applyBorder="1" applyAlignment="1">
      <alignment vertical="center"/>
      <protection/>
    </xf>
    <xf numFmtId="10" fontId="16" fillId="0" borderId="0" xfId="54" applyNumberFormat="1" applyFont="1" applyFill="1" applyBorder="1" applyAlignment="1">
      <alignment vertical="center"/>
      <protection/>
    </xf>
    <xf numFmtId="10" fontId="15" fillId="0" borderId="0" xfId="59" applyNumberFormat="1" applyFont="1" applyFill="1" applyBorder="1" applyAlignment="1">
      <alignment horizontal="right"/>
      <protection/>
    </xf>
    <xf numFmtId="10" fontId="16" fillId="0" borderId="0" xfId="59" applyNumberFormat="1" applyFont="1" applyFill="1" applyBorder="1" applyAlignment="1">
      <alignment horizontal="right"/>
      <protection/>
    </xf>
    <xf numFmtId="10" fontId="15" fillId="0" borderId="0" xfId="54" applyNumberFormat="1" applyFont="1" applyFill="1" applyBorder="1" applyAlignment="1">
      <alignment vertical="center"/>
      <protection/>
    </xf>
    <xf numFmtId="10" fontId="16" fillId="0" borderId="0" xfId="66" applyNumberFormat="1" applyFont="1" applyFill="1" applyBorder="1" applyAlignment="1">
      <alignment vertical="center"/>
    </xf>
    <xf numFmtId="3" fontId="21" fillId="0" borderId="0" xfId="54" applyNumberFormat="1" applyFont="1" applyFill="1" applyBorder="1" applyAlignment="1">
      <alignment vertical="center"/>
      <protection/>
    </xf>
    <xf numFmtId="0" fontId="15" fillId="0" borderId="0" xfId="0" applyFont="1" applyAlignment="1">
      <alignment/>
    </xf>
    <xf numFmtId="0" fontId="24" fillId="0" borderId="0" xfId="0" applyNumberFormat="1" applyFont="1" applyFill="1" applyBorder="1" applyAlignment="1">
      <alignment horizontal="left" vertical="center"/>
    </xf>
    <xf numFmtId="0" fontId="15" fillId="0" borderId="0" xfId="0" applyFont="1" applyFill="1" applyAlignment="1">
      <alignment horizontal="right" vertical="center"/>
    </xf>
    <xf numFmtId="171" fontId="99" fillId="0" borderId="11" xfId="0" applyNumberFormat="1" applyFont="1" applyFill="1" applyBorder="1" applyAlignment="1">
      <alignment horizontal="right" vertical="center"/>
    </xf>
    <xf numFmtId="0" fontId="107" fillId="0" borderId="0" xfId="0" applyFont="1" applyAlignment="1">
      <alignment horizontal="center"/>
    </xf>
    <xf numFmtId="3" fontId="16" fillId="0" borderId="0" xfId="0" applyNumberFormat="1" applyFont="1" applyFill="1" applyBorder="1" applyAlignment="1">
      <alignment horizontal="right"/>
    </xf>
    <xf numFmtId="172" fontId="107" fillId="0" borderId="0" xfId="49" applyNumberFormat="1" applyFont="1" applyAlignment="1">
      <alignment/>
    </xf>
    <xf numFmtId="165" fontId="0" fillId="0" borderId="0" xfId="49" applyFont="1" applyAlignment="1">
      <alignment/>
    </xf>
    <xf numFmtId="3" fontId="15" fillId="0" borderId="0" xfId="0" applyNumberFormat="1" applyFont="1" applyFill="1" applyAlignment="1">
      <alignment horizontal="left" vertical="center" indent="2"/>
    </xf>
    <xf numFmtId="0" fontId="6" fillId="0" borderId="0" xfId="0" applyFont="1" applyFill="1" applyAlignment="1">
      <alignment/>
    </xf>
    <xf numFmtId="0" fontId="96" fillId="33" borderId="0" xfId="57" applyFont="1" applyFill="1" applyAlignment="1">
      <alignment horizontal="left" vertical="center"/>
      <protection/>
    </xf>
    <xf numFmtId="0" fontId="108" fillId="33" borderId="0" xfId="57" applyFont="1" applyFill="1">
      <alignment/>
      <protection/>
    </xf>
    <xf numFmtId="0" fontId="0" fillId="0" borderId="0" xfId="57" applyAlignment="1">
      <alignment horizontal="right"/>
      <protection/>
    </xf>
    <xf numFmtId="0" fontId="0" fillId="0" borderId="0" xfId="57">
      <alignment/>
      <protection/>
    </xf>
    <xf numFmtId="0" fontId="25" fillId="0" borderId="0" xfId="57" applyFont="1" applyFill="1">
      <alignment/>
      <protection/>
    </xf>
    <xf numFmtId="0" fontId="98" fillId="36" borderId="0" xfId="0" applyFont="1" applyFill="1" applyBorder="1" applyAlignment="1">
      <alignment horizontal="left" vertical="center"/>
    </xf>
    <xf numFmtId="0" fontId="98" fillId="0" borderId="0" xfId="57" applyFont="1" applyFill="1" applyAlignment="1">
      <alignment horizontal="left" vertical="center"/>
      <protection/>
    </xf>
    <xf numFmtId="0" fontId="15" fillId="0" borderId="0" xfId="57" applyFont="1" applyFill="1" applyAlignment="1">
      <alignment vertical="center"/>
      <protection/>
    </xf>
    <xf numFmtId="166" fontId="15" fillId="0" borderId="0" xfId="57" applyNumberFormat="1" applyFont="1" applyFill="1" applyBorder="1" applyAlignment="1">
      <alignment horizontal="right" vertical="center"/>
      <protection/>
    </xf>
    <xf numFmtId="3" fontId="15" fillId="0" borderId="0" xfId="57" applyNumberFormat="1" applyFont="1" applyFill="1" applyAlignment="1">
      <alignment vertical="center"/>
      <protection/>
    </xf>
    <xf numFmtId="3" fontId="15" fillId="0" borderId="0" xfId="57" applyNumberFormat="1" applyFont="1" applyFill="1" applyBorder="1" applyAlignment="1">
      <alignment horizontal="right"/>
      <protection/>
    </xf>
    <xf numFmtId="3" fontId="16" fillId="0" borderId="0" xfId="57" applyNumberFormat="1" applyFont="1" applyFill="1" applyAlignment="1">
      <alignment vertical="center"/>
      <protection/>
    </xf>
    <xf numFmtId="3" fontId="16" fillId="0" borderId="0" xfId="57" applyNumberFormat="1" applyFont="1" applyFill="1" applyBorder="1" applyAlignment="1">
      <alignment horizontal="right"/>
      <protection/>
    </xf>
    <xf numFmtId="168" fontId="109" fillId="0" borderId="0" xfId="57" applyNumberFormat="1" applyFont="1" applyFill="1">
      <alignment/>
      <protection/>
    </xf>
    <xf numFmtId="168" fontId="25" fillId="0" borderId="0" xfId="57" applyNumberFormat="1" applyFont="1" applyFill="1">
      <alignment/>
      <protection/>
    </xf>
    <xf numFmtId="3" fontId="25" fillId="0" borderId="0" xfId="57" applyNumberFormat="1" applyFont="1" applyFill="1">
      <alignment/>
      <protection/>
    </xf>
    <xf numFmtId="3" fontId="16" fillId="0" borderId="0" xfId="57" applyNumberFormat="1" applyFont="1" applyFill="1" applyBorder="1" applyAlignment="1">
      <alignment vertical="center"/>
      <protection/>
    </xf>
    <xf numFmtId="168" fontId="25" fillId="0" borderId="0" xfId="57" applyNumberFormat="1" applyFont="1" applyFill="1" applyBorder="1">
      <alignment/>
      <protection/>
    </xf>
    <xf numFmtId="0" fontId="0" fillId="0" borderId="0" xfId="57" applyFill="1" applyBorder="1">
      <alignment/>
      <protection/>
    </xf>
    <xf numFmtId="3" fontId="17" fillId="0" borderId="0" xfId="57" applyNumberFormat="1" applyFont="1" applyFill="1" applyAlignment="1">
      <alignment vertical="center"/>
      <protection/>
    </xf>
    <xf numFmtId="0" fontId="0" fillId="0" borderId="0" xfId="57" applyFill="1">
      <alignment/>
      <protection/>
    </xf>
    <xf numFmtId="0" fontId="17" fillId="0" borderId="0" xfId="57" applyFont="1" applyFill="1" applyAlignment="1">
      <alignment horizontal="left"/>
      <protection/>
    </xf>
    <xf numFmtId="0" fontId="110" fillId="0" borderId="0" xfId="57" applyFont="1">
      <alignment/>
      <protection/>
    </xf>
    <xf numFmtId="0" fontId="27" fillId="0" borderId="0" xfId="61" applyFont="1" applyFill="1" applyProtection="1">
      <alignment/>
      <protection hidden="1" locked="0"/>
    </xf>
    <xf numFmtId="0" fontId="27" fillId="0" borderId="0" xfId="61" applyFont="1" applyFill="1" applyBorder="1" applyAlignment="1" applyProtection="1">
      <alignment horizontal="left"/>
      <protection hidden="1" locked="0"/>
    </xf>
    <xf numFmtId="0" fontId="27" fillId="0" borderId="11" xfId="61" applyFont="1" applyFill="1" applyBorder="1" applyAlignment="1" applyProtection="1">
      <alignment horizontal="left"/>
      <protection hidden="1" locked="0"/>
    </xf>
    <xf numFmtId="0" fontId="111" fillId="0" borderId="0" xfId="0" applyFont="1" applyAlignment="1">
      <alignment/>
    </xf>
    <xf numFmtId="0" fontId="112" fillId="0" borderId="0" xfId="61" applyFont="1" applyFill="1" applyBorder="1" applyAlignment="1" applyProtection="1">
      <alignment horizontal="left"/>
      <protection hidden="1" locked="0"/>
    </xf>
    <xf numFmtId="0" fontId="112" fillId="0" borderId="0" xfId="0" applyFont="1" applyAlignment="1">
      <alignment/>
    </xf>
    <xf numFmtId="3" fontId="17" fillId="0" borderId="0" xfId="0" applyNumberFormat="1" applyFont="1" applyFill="1" applyAlignment="1">
      <alignment vertical="center"/>
    </xf>
    <xf numFmtId="3" fontId="6" fillId="0" borderId="0" xfId="56" applyFill="1" quotePrefix="1">
      <alignment/>
      <protection/>
    </xf>
    <xf numFmtId="0" fontId="0" fillId="0" borderId="0" xfId="0" applyAlignment="1" quotePrefix="1">
      <alignment/>
    </xf>
    <xf numFmtId="0" fontId="113" fillId="0" borderId="11" xfId="0" applyFont="1" applyFill="1" applyBorder="1" applyAlignment="1">
      <alignment vertical="center"/>
    </xf>
    <xf numFmtId="166" fontId="99" fillId="0" borderId="0" xfId="0" applyNumberFormat="1" applyFont="1" applyFill="1" applyBorder="1" applyAlignment="1">
      <alignment horizontal="left" vertical="center"/>
    </xf>
    <xf numFmtId="0" fontId="95" fillId="37" borderId="0" xfId="0" applyFont="1" applyFill="1" applyAlignment="1">
      <alignment/>
    </xf>
    <xf numFmtId="3" fontId="16" fillId="0" borderId="0" xfId="0" applyNumberFormat="1" applyFont="1" applyFill="1" applyBorder="1" applyAlignment="1" quotePrefix="1">
      <alignment horizontal="right" vertical="center"/>
    </xf>
    <xf numFmtId="1" fontId="16"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vertical="center"/>
    </xf>
    <xf numFmtId="1" fontId="15" fillId="0" borderId="0" xfId="0" applyNumberFormat="1" applyFont="1" applyFill="1" applyBorder="1" applyAlignment="1">
      <alignment horizontal="right"/>
    </xf>
    <xf numFmtId="2" fontId="16"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xf>
    <xf numFmtId="0" fontId="15" fillId="0" borderId="0" xfId="59" applyFont="1" applyFill="1" applyAlignment="1">
      <alignment horizontal="right"/>
      <protection/>
    </xf>
    <xf numFmtId="0" fontId="96" fillId="33" borderId="0" xfId="0" applyFont="1" applyFill="1" applyAlignment="1" quotePrefix="1">
      <alignment horizontal="left" vertical="center"/>
    </xf>
    <xf numFmtId="3" fontId="16" fillId="0" borderId="0" xfId="0" applyNumberFormat="1" applyFont="1" applyFill="1" applyAlignment="1" quotePrefix="1">
      <alignment vertical="center"/>
    </xf>
    <xf numFmtId="3" fontId="15" fillId="0" borderId="0" xfId="0" applyNumberFormat="1" applyFont="1" applyFill="1" applyBorder="1" applyAlignment="1" quotePrefix="1">
      <alignment horizontal="right"/>
    </xf>
    <xf numFmtId="3" fontId="15" fillId="0" borderId="0" xfId="0" applyNumberFormat="1" applyFont="1" applyFill="1" applyAlignment="1" quotePrefix="1">
      <alignment horizontal="left" vertical="center" indent="1"/>
    </xf>
    <xf numFmtId="3" fontId="17" fillId="0" borderId="0" xfId="0" applyNumberFormat="1" applyFont="1" applyFill="1" applyAlignment="1" quotePrefix="1">
      <alignment vertical="center"/>
    </xf>
    <xf numFmtId="0" fontId="97" fillId="33" borderId="0" xfId="54" applyFont="1" applyFill="1" applyBorder="1">
      <alignment/>
      <protection/>
    </xf>
    <xf numFmtId="3" fontId="17" fillId="0" borderId="0" xfId="54" applyNumberFormat="1" applyFont="1" applyFill="1" applyBorder="1" applyAlignment="1">
      <alignment vertical="center"/>
      <protection/>
    </xf>
    <xf numFmtId="0" fontId="96" fillId="33" borderId="0" xfId="57" applyFont="1" applyFill="1" applyAlignment="1" quotePrefix="1">
      <alignment horizontal="left" vertical="center"/>
      <protection/>
    </xf>
    <xf numFmtId="3" fontId="16" fillId="0" borderId="0" xfId="57" applyNumberFormat="1" applyFont="1" applyFill="1" applyAlignment="1" quotePrefix="1">
      <alignment vertical="center"/>
      <protection/>
    </xf>
    <xf numFmtId="3" fontId="15" fillId="0" borderId="0" xfId="57" applyNumberFormat="1" applyFont="1" applyFill="1" applyAlignment="1" quotePrefix="1">
      <alignment vertical="center"/>
      <protection/>
    </xf>
    <xf numFmtId="3" fontId="15" fillId="0" borderId="0" xfId="57" applyNumberFormat="1" applyFont="1" applyFill="1" applyAlignment="1" quotePrefix="1">
      <alignment horizontal="left" vertical="center" indent="2"/>
      <protection/>
    </xf>
    <xf numFmtId="3" fontId="15" fillId="0" borderId="0" xfId="57" applyNumberFormat="1" applyFont="1" applyFill="1" applyAlignment="1">
      <alignment horizontal="left" vertical="center" indent="2"/>
      <protection/>
    </xf>
    <xf numFmtId="3" fontId="15" fillId="0" borderId="0" xfId="57" applyNumberFormat="1" applyFont="1" applyFill="1" applyBorder="1" applyAlignment="1" quotePrefix="1">
      <alignment horizontal="right"/>
      <protection/>
    </xf>
    <xf numFmtId="168" fontId="101" fillId="0" borderId="0" xfId="57" applyNumberFormat="1" applyFont="1" applyFill="1" applyBorder="1" applyAlignment="1">
      <alignment horizontal="right"/>
      <protection/>
    </xf>
    <xf numFmtId="0" fontId="29" fillId="0" borderId="0" xfId="0" applyFont="1" applyFill="1" applyAlignment="1">
      <alignment/>
    </xf>
    <xf numFmtId="2" fontId="0" fillId="0" borderId="0" xfId="0" applyNumberFormat="1" applyFill="1" applyAlignment="1">
      <alignment/>
    </xf>
    <xf numFmtId="3" fontId="0" fillId="0" borderId="0" xfId="57" applyNumberFormat="1">
      <alignment/>
      <protection/>
    </xf>
    <xf numFmtId="3" fontId="17" fillId="0" borderId="0" xfId="0" applyNumberFormat="1" applyFont="1" applyFill="1" applyBorder="1" applyAlignment="1">
      <alignment horizontal="left" vertical="top" wrapText="1"/>
    </xf>
    <xf numFmtId="168" fontId="71" fillId="0" borderId="0" xfId="0" applyNumberFormat="1" applyFont="1" applyFill="1" applyAlignment="1">
      <alignment/>
    </xf>
    <xf numFmtId="167" fontId="15" fillId="0" borderId="0" xfId="59" applyNumberFormat="1" applyFont="1" applyFill="1">
      <alignment/>
      <protection/>
    </xf>
    <xf numFmtId="167" fontId="20" fillId="0" borderId="0" xfId="59" applyNumberFormat="1" applyFont="1" applyFill="1">
      <alignment/>
      <protection/>
    </xf>
    <xf numFmtId="170" fontId="15" fillId="0" borderId="0" xfId="0" applyNumberFormat="1" applyFont="1" applyFill="1" applyBorder="1" applyAlignment="1">
      <alignment horizontal="right"/>
    </xf>
    <xf numFmtId="3" fontId="17" fillId="36" borderId="0" xfId="0" applyNumberFormat="1" applyFont="1" applyFill="1" applyBorder="1" applyAlignment="1">
      <alignment vertical="top"/>
    </xf>
    <xf numFmtId="3" fontId="16" fillId="0" borderId="10" xfId="0" applyNumberFormat="1" applyFont="1" applyFill="1" applyBorder="1" applyAlignment="1">
      <alignment horizontal="right" vertical="center"/>
    </xf>
    <xf numFmtId="49" fontId="17" fillId="0" borderId="0" xfId="0" applyNumberFormat="1" applyFont="1" applyFill="1" applyAlignment="1">
      <alignment vertical="top"/>
    </xf>
    <xf numFmtId="4" fontId="15" fillId="0" borderId="0" xfId="0" applyNumberFormat="1" applyFont="1" applyFill="1" applyBorder="1" applyAlignment="1">
      <alignment/>
    </xf>
    <xf numFmtId="10" fontId="15" fillId="0" borderId="0" xfId="54" applyNumberFormat="1" applyFont="1" applyFill="1" applyBorder="1">
      <alignment/>
      <protection/>
    </xf>
    <xf numFmtId="3" fontId="3" fillId="0" borderId="0" xfId="58" applyNumberFormat="1" applyFont="1">
      <alignment/>
      <protection/>
    </xf>
    <xf numFmtId="1" fontId="101" fillId="0" borderId="0" xfId="0" applyNumberFormat="1" applyFont="1" applyFill="1" applyBorder="1" applyAlignment="1">
      <alignment/>
    </xf>
    <xf numFmtId="0" fontId="0" fillId="36" borderId="0" xfId="0" applyFill="1" applyBorder="1" applyAlignment="1">
      <alignment/>
    </xf>
    <xf numFmtId="3" fontId="18" fillId="0" borderId="0" xfId="0" applyNumberFormat="1" applyFont="1" applyFill="1" applyAlignment="1">
      <alignment vertical="center"/>
    </xf>
    <xf numFmtId="49" fontId="0" fillId="0" borderId="0" xfId="0" applyNumberFormat="1" applyAlignment="1">
      <alignment/>
    </xf>
    <xf numFmtId="0" fontId="114" fillId="0" borderId="0" xfId="0" applyFont="1" applyAlignment="1">
      <alignment/>
    </xf>
    <xf numFmtId="3" fontId="17" fillId="0" borderId="0" xfId="0" applyNumberFormat="1" applyFont="1" applyFill="1" applyBorder="1" applyAlignment="1">
      <alignment vertical="top" wrapText="1"/>
    </xf>
    <xf numFmtId="9" fontId="71" fillId="0" borderId="0" xfId="63" applyFont="1" applyFill="1" applyAlignment="1">
      <alignment/>
    </xf>
    <xf numFmtId="3" fontId="15" fillId="0" borderId="0" xfId="0" applyNumberFormat="1" applyFont="1" applyFill="1" applyAlignment="1">
      <alignment horizontal="left" vertical="center"/>
    </xf>
    <xf numFmtId="3" fontId="101" fillId="0" borderId="0" xfId="0" applyNumberFormat="1" applyFont="1" applyFill="1" applyBorder="1" applyAlignment="1">
      <alignment horizontal="right"/>
    </xf>
    <xf numFmtId="0" fontId="115" fillId="0" borderId="0" xfId="0" applyFont="1" applyAlignment="1">
      <alignment/>
    </xf>
    <xf numFmtId="10" fontId="0" fillId="0" borderId="0" xfId="64" applyNumberFormat="1" applyFont="1" applyAlignment="1">
      <alignment/>
    </xf>
    <xf numFmtId="10" fontId="0" fillId="0" borderId="0" xfId="63" applyNumberFormat="1" applyFont="1" applyFill="1" applyAlignment="1">
      <alignment/>
    </xf>
    <xf numFmtId="0" fontId="0" fillId="0" borderId="0" xfId="57" applyFont="1" applyAlignment="1">
      <alignment horizontal="right"/>
      <protection/>
    </xf>
    <xf numFmtId="14" fontId="18" fillId="0" borderId="0" xfId="0" applyNumberFormat="1" applyFont="1" applyFill="1" applyAlignment="1">
      <alignment vertical="center"/>
    </xf>
    <xf numFmtId="167" fontId="16" fillId="0" borderId="0" xfId="0" applyNumberFormat="1" applyFont="1" applyFill="1" applyBorder="1" applyAlignment="1">
      <alignment horizontal="right" vertical="center"/>
    </xf>
    <xf numFmtId="167" fontId="15" fillId="0" borderId="10" xfId="0" applyNumberFormat="1" applyFont="1" applyFill="1" applyBorder="1" applyAlignment="1">
      <alignment/>
    </xf>
    <xf numFmtId="167" fontId="15" fillId="0" borderId="0" xfId="0" applyNumberFormat="1" applyFont="1" applyFill="1" applyBorder="1" applyAlignment="1">
      <alignment horizontal="right"/>
    </xf>
    <xf numFmtId="167" fontId="15" fillId="0" borderId="0" xfId="59" applyNumberFormat="1" applyFont="1" applyFill="1" applyBorder="1">
      <alignment/>
      <protection/>
    </xf>
    <xf numFmtId="10" fontId="0" fillId="0" borderId="0" xfId="64" applyNumberFormat="1" applyFont="1" applyAlignment="1">
      <alignment/>
    </xf>
    <xf numFmtId="0" fontId="0" fillId="0" borderId="0" xfId="57" applyFont="1" applyAlignment="1">
      <alignment horizontal="right"/>
      <protection/>
    </xf>
    <xf numFmtId="0" fontId="71" fillId="0" borderId="0" xfId="57" applyFont="1">
      <alignment/>
      <protection/>
    </xf>
    <xf numFmtId="3" fontId="100" fillId="0" borderId="0" xfId="0" applyNumberFormat="1" applyFont="1" applyFill="1" applyBorder="1" applyAlignment="1" quotePrefix="1">
      <alignment vertical="center"/>
    </xf>
    <xf numFmtId="174" fontId="15" fillId="0" borderId="0" xfId="63" applyNumberFormat="1" applyFont="1" applyFill="1" applyBorder="1" applyAlignment="1">
      <alignment/>
    </xf>
    <xf numFmtId="0" fontId="0" fillId="0" borderId="0" xfId="0" applyFill="1" applyBorder="1" applyAlignment="1">
      <alignment horizontal="right"/>
    </xf>
    <xf numFmtId="3" fontId="109" fillId="0" borderId="0" xfId="57" applyNumberFormat="1" applyFont="1" applyFill="1">
      <alignment/>
      <protection/>
    </xf>
    <xf numFmtId="169" fontId="0" fillId="0" borderId="0" xfId="63" applyNumberFormat="1" applyFont="1" applyAlignment="1">
      <alignment/>
    </xf>
    <xf numFmtId="0" fontId="0" fillId="0" borderId="0" xfId="57" applyFont="1">
      <alignment/>
      <protection/>
    </xf>
    <xf numFmtId="3" fontId="17" fillId="0" borderId="0" xfId="0" applyNumberFormat="1" applyFont="1" applyFill="1" applyBorder="1" applyAlignment="1">
      <alignment horizontal="left" vertical="top" wrapText="1"/>
    </xf>
    <xf numFmtId="0" fontId="99" fillId="0" borderId="0" xfId="0" applyFont="1" applyFill="1" applyBorder="1" applyAlignment="1">
      <alignment horizontal="center" wrapText="1"/>
    </xf>
    <xf numFmtId="0" fontId="99" fillId="0" borderId="10" xfId="0" applyFont="1" applyFill="1" applyBorder="1" applyAlignment="1">
      <alignment horizontal="center" wrapText="1"/>
    </xf>
    <xf numFmtId="0" fontId="99" fillId="0" borderId="13" xfId="0" applyFont="1" applyFill="1" applyBorder="1" applyAlignment="1">
      <alignment horizontal="center" wrapText="1"/>
    </xf>
    <xf numFmtId="0" fontId="113" fillId="0" borderId="11" xfId="0" applyFont="1" applyFill="1" applyBorder="1" applyAlignment="1">
      <alignment horizontal="center" vertical="center"/>
    </xf>
    <xf numFmtId="0" fontId="99" fillId="0" borderId="0" xfId="54" applyFont="1" applyFill="1" applyBorder="1" applyAlignment="1">
      <alignment horizontal="center" wrapText="1"/>
      <protection/>
    </xf>
    <xf numFmtId="0" fontId="116" fillId="0" borderId="0" xfId="54" applyFont="1" applyFill="1" applyBorder="1" applyAlignment="1">
      <alignment horizontal="center"/>
      <protection/>
    </xf>
    <xf numFmtId="0" fontId="99" fillId="0" borderId="0" xfId="0" applyFont="1" applyFill="1" applyBorder="1" applyAlignment="1">
      <alignment horizontal="center" vertical="center"/>
    </xf>
    <xf numFmtId="0" fontId="99" fillId="0" borderId="0" xfId="57" applyFont="1" applyFill="1" applyAlignment="1">
      <alignment horizontal="center" vertical="center" wrapText="1"/>
      <protection/>
    </xf>
    <xf numFmtId="0" fontId="99" fillId="0" borderId="0" xfId="57" applyFont="1" applyFill="1" applyAlignment="1" quotePrefix="1">
      <alignment horizontal="center" vertical="center" wrapText="1"/>
      <protection/>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93" xfId="54"/>
    <cellStyle name="Normal 2" xfId="55"/>
    <cellStyle name="Normal 2 3" xfId="56"/>
    <cellStyle name="Normal 29" xfId="57"/>
    <cellStyle name="Normal_08 pagweb-4T08 1 2" xfId="58"/>
    <cellStyle name="Normal_ANEXO" xfId="59"/>
    <cellStyle name="Normal_Anexo analistas 1T06 vínculos" xfId="60"/>
    <cellStyle name="Normal_Series web Sabadell 1T10-desprotegido" xfId="61"/>
    <cellStyle name="Notas" xfId="62"/>
    <cellStyle name="Percent" xfId="63"/>
    <cellStyle name="Porcentaje 16" xfId="64"/>
    <cellStyle name="Porcentaje 2" xfId="65"/>
    <cellStyle name="Porcentaje 4" xfId="66"/>
    <cellStyle name="Salida" xfId="67"/>
    <cellStyle name="Texto de advertencia" xfId="68"/>
    <cellStyle name="Texto explicativo" xfId="69"/>
    <cellStyle name="Título" xfId="70"/>
    <cellStyle name="Título 2" xfId="71"/>
    <cellStyle name="Título 3" xfId="72"/>
    <cellStyle name="Total" xfId="73"/>
  </cellStyles>
  <dxfs count="13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ill>
        <patternFill>
          <bgColor rgb="FFC00000"/>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dxf>
    <dxf>
      <fill>
        <patternFill>
          <bgColor rgb="FFC00000"/>
        </patternFill>
      </fill>
    </dxf>
    <dxf>
      <font>
        <color rgb="FFFF0000"/>
      </font>
    </dxf>
    <dxf>
      <font>
        <color rgb="FFFF0000"/>
      </font>
    </dxf>
    <dxf>
      <font>
        <color rgb="FFFF0000"/>
      </font>
    </dxf>
    <dxf>
      <font>
        <color rgb="FFFF0000"/>
      </font>
    </dxf>
    <dxf>
      <fill>
        <patternFill>
          <bgColor rgb="FFC00000"/>
        </patternFill>
      </fill>
    </dxf>
    <dxf>
      <fill>
        <patternFill>
          <bgColor rgb="FFC00000"/>
        </patternFill>
      </fill>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hyperlink" Target="#INDICE!C15" /></Relationships>
</file>

<file path=xl/drawings/_rels/drawing11.xml.rels><?xml version="1.0" encoding="utf-8" standalone="yes"?><Relationships xmlns="http://schemas.openxmlformats.org/package/2006/relationships"><Relationship Id="rId1" Type="http://schemas.openxmlformats.org/officeDocument/2006/relationships/hyperlink" Target="#INDICE!C16" /></Relationships>
</file>

<file path=xl/drawings/_rels/drawing12.xml.rels><?xml version="1.0" encoding="utf-8" standalone="yes"?><Relationships xmlns="http://schemas.openxmlformats.org/package/2006/relationships"><Relationship Id="rId1" Type="http://schemas.openxmlformats.org/officeDocument/2006/relationships/hyperlink" Target="#INDICE!C17" /></Relationships>
</file>

<file path=xl/drawings/_rels/drawing13.xml.rels><?xml version="1.0" encoding="utf-8" standalone="yes"?><Relationships xmlns="http://schemas.openxmlformats.org/package/2006/relationships"><Relationship Id="rId1" Type="http://schemas.openxmlformats.org/officeDocument/2006/relationships/hyperlink" Target="#INDICE!C18" /></Relationships>
</file>

<file path=xl/drawings/_rels/drawing14.xml.rels><?xml version="1.0" encoding="utf-8" standalone="yes"?><Relationships xmlns="http://schemas.openxmlformats.org/package/2006/relationships"><Relationship Id="rId1" Type="http://schemas.openxmlformats.org/officeDocument/2006/relationships/hyperlink" Target="#INDICE!C21" /></Relationships>
</file>

<file path=xl/drawings/_rels/drawing15.xml.rels><?xml version="1.0" encoding="utf-8" standalone="yes"?><Relationships xmlns="http://schemas.openxmlformats.org/package/2006/relationships"><Relationship Id="rId1" Type="http://schemas.openxmlformats.org/officeDocument/2006/relationships/hyperlink" Target="#INDICE!C23" /></Relationships>
</file>

<file path=xl/drawings/_rels/drawing16.xml.rels><?xml version="1.0" encoding="utf-8" standalone="yes"?><Relationships xmlns="http://schemas.openxmlformats.org/package/2006/relationships"><Relationship Id="rId1" Type="http://schemas.openxmlformats.org/officeDocument/2006/relationships/hyperlink" Target="#INDICE!C24" /></Relationships>
</file>

<file path=xl/drawings/_rels/drawing17.xml.rels><?xml version="1.0" encoding="utf-8" standalone="yes"?><Relationships xmlns="http://schemas.openxmlformats.org/package/2006/relationships"><Relationship Id="rId1" Type="http://schemas.openxmlformats.org/officeDocument/2006/relationships/hyperlink" Target="#INDICE!C25" /></Relationships>
</file>

<file path=xl/drawings/_rels/drawing18.xml.rels><?xml version="1.0" encoding="utf-8" standalone="yes"?><Relationships xmlns="http://schemas.openxmlformats.org/package/2006/relationships"><Relationship Id="rId1" Type="http://schemas.openxmlformats.org/officeDocument/2006/relationships/hyperlink" Target="#INDICE!C26" /></Relationships>
</file>

<file path=xl/drawings/_rels/drawing19.xml.rels><?xml version="1.0" encoding="utf-8" standalone="yes"?><Relationships xmlns="http://schemas.openxmlformats.org/package/2006/relationships"><Relationship Id="rId1" Type="http://schemas.openxmlformats.org/officeDocument/2006/relationships/hyperlink" Target="#INDICE!C27" /></Relationships>
</file>

<file path=xl/drawings/_rels/drawing2.xml.rels><?xml version="1.0" encoding="utf-8" standalone="yes"?><Relationships xmlns="http://schemas.openxmlformats.org/package/2006/relationships"><Relationship Id="rId1" Type="http://schemas.openxmlformats.org/officeDocument/2006/relationships/hyperlink" Target="#INDICE!C5" /></Relationships>
</file>

<file path=xl/drawings/_rels/drawing20.xml.rels><?xml version="1.0" encoding="utf-8" standalone="yes"?><Relationships xmlns="http://schemas.openxmlformats.org/package/2006/relationships"><Relationship Id="rId1" Type="http://schemas.openxmlformats.org/officeDocument/2006/relationships/hyperlink" Target="#INDICE!C28" /></Relationships>
</file>

<file path=xl/drawings/_rels/drawing21.xml.rels><?xml version="1.0" encoding="utf-8" standalone="yes"?><Relationships xmlns="http://schemas.openxmlformats.org/package/2006/relationships"><Relationship Id="rId1" Type="http://schemas.openxmlformats.org/officeDocument/2006/relationships/hyperlink" Target="#INDICE!C29" /></Relationships>
</file>

<file path=xl/drawings/_rels/drawing22.xml.rels><?xml version="1.0" encoding="utf-8" standalone="yes"?><Relationships xmlns="http://schemas.openxmlformats.org/package/2006/relationships"><Relationship Id="rId1" Type="http://schemas.openxmlformats.org/officeDocument/2006/relationships/hyperlink" Target="#INDICE!C30" /></Relationships>
</file>

<file path=xl/drawings/_rels/drawing23.xml.rels><?xml version="1.0" encoding="utf-8" standalone="yes"?><Relationships xmlns="http://schemas.openxmlformats.org/package/2006/relationships"><Relationship Id="rId1" Type="http://schemas.openxmlformats.org/officeDocument/2006/relationships/hyperlink" Target="#INDICE!C31" /></Relationships>
</file>

<file path=xl/drawings/_rels/drawing3.xml.rels><?xml version="1.0" encoding="utf-8" standalone="yes"?><Relationships xmlns="http://schemas.openxmlformats.org/package/2006/relationships"><Relationship Id="rId1" Type="http://schemas.openxmlformats.org/officeDocument/2006/relationships/hyperlink" Target="#INDICE!C7" /></Relationships>
</file>

<file path=xl/drawings/_rels/drawing4.xml.rels><?xml version="1.0" encoding="utf-8" standalone="yes"?><Relationships xmlns="http://schemas.openxmlformats.org/package/2006/relationships"><Relationship Id="rId1" Type="http://schemas.openxmlformats.org/officeDocument/2006/relationships/hyperlink" Target="#INDICE!C9" /></Relationships>
</file>

<file path=xl/drawings/_rels/drawing5.xml.rels><?xml version="1.0" encoding="utf-8" standalone="yes"?><Relationships xmlns="http://schemas.openxmlformats.org/package/2006/relationships"><Relationship Id="rId1" Type="http://schemas.openxmlformats.org/officeDocument/2006/relationships/hyperlink" Target="#INDICE!C10" /></Relationships>
</file>

<file path=xl/drawings/_rels/drawing6.xml.rels><?xml version="1.0" encoding="utf-8" standalone="yes"?><Relationships xmlns="http://schemas.openxmlformats.org/package/2006/relationships"><Relationship Id="rId1" Type="http://schemas.openxmlformats.org/officeDocument/2006/relationships/hyperlink" Target="#INDICE!C11" /></Relationships>
</file>

<file path=xl/drawings/_rels/drawing7.xml.rels><?xml version="1.0" encoding="utf-8" standalone="yes"?><Relationships xmlns="http://schemas.openxmlformats.org/package/2006/relationships"><Relationship Id="rId1" Type="http://schemas.openxmlformats.org/officeDocument/2006/relationships/hyperlink" Target="#INDICE!C12" /></Relationships>
</file>

<file path=xl/drawings/_rels/drawing8.xml.rels><?xml version="1.0" encoding="utf-8" standalone="yes"?><Relationships xmlns="http://schemas.openxmlformats.org/package/2006/relationships"><Relationship Id="rId1" Type="http://schemas.openxmlformats.org/officeDocument/2006/relationships/hyperlink" Target="#INDICE!C13" /></Relationships>
</file>

<file path=xl/drawings/_rels/drawing9.xml.rels><?xml version="1.0" encoding="utf-8" standalone="yes"?><Relationships xmlns="http://schemas.openxmlformats.org/package/2006/relationships"><Relationship Id="rId1" Type="http://schemas.openxmlformats.org/officeDocument/2006/relationships/hyperlink" Target="#INDICE!C1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0</xdr:rowOff>
    </xdr:from>
    <xdr:to>
      <xdr:col>0</xdr:col>
      <xdr:colOff>295275</xdr:colOff>
      <xdr:row>6</xdr:row>
      <xdr:rowOff>266700</xdr:rowOff>
    </xdr:to>
    <xdr:sp fLocksText="0">
      <xdr:nvSpPr>
        <xdr:cNvPr id="1" name="7 CuadroTexto"/>
        <xdr:cNvSpPr txBox="1">
          <a:spLocks noChangeArrowheads="1"/>
        </xdr:cNvSpPr>
      </xdr:nvSpPr>
      <xdr:spPr>
        <a:xfrm>
          <a:off x="9525" y="1476375"/>
          <a:ext cx="285750" cy="2667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0</xdr:col>
      <xdr:colOff>76200</xdr:colOff>
      <xdr:row>0</xdr:row>
      <xdr:rowOff>76200</xdr:rowOff>
    </xdr:from>
    <xdr:to>
      <xdr:col>1</xdr:col>
      <xdr:colOff>266700</xdr:colOff>
      <xdr:row>3</xdr:row>
      <xdr:rowOff>133350</xdr:rowOff>
    </xdr:to>
    <xdr:pic>
      <xdr:nvPicPr>
        <xdr:cNvPr id="2" name="4 Imagen"/>
        <xdr:cNvPicPr preferRelativeResize="1">
          <a:picLocks noChangeAspect="1"/>
        </xdr:cNvPicPr>
      </xdr:nvPicPr>
      <xdr:blipFill>
        <a:blip r:embed="rId1"/>
        <a:stretch>
          <a:fillRect/>
        </a:stretch>
      </xdr:blipFill>
      <xdr:spPr>
        <a:xfrm>
          <a:off x="76200" y="76200"/>
          <a:ext cx="2886075" cy="942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371475</xdr:colOff>
      <xdr:row>1</xdr:row>
      <xdr:rowOff>114300</xdr:rowOff>
    </xdr:from>
    <xdr:to>
      <xdr:col>11</xdr:col>
      <xdr:colOff>66675</xdr:colOff>
      <xdr:row>5</xdr:row>
      <xdr:rowOff>85725</xdr:rowOff>
    </xdr:to>
    <xdr:sp>
      <xdr:nvSpPr>
        <xdr:cNvPr id="1" name="2 Rectángulo redondeado">
          <a:hlinkClick r:id="rId1"/>
        </xdr:cNvPr>
        <xdr:cNvSpPr>
          <a:spLocks/>
        </xdr:cNvSpPr>
      </xdr:nvSpPr>
      <xdr:spPr>
        <a:xfrm>
          <a:off x="11058525" y="342900"/>
          <a:ext cx="1219200" cy="828675"/>
        </a:xfrm>
        <a:prstGeom prst="roundRect">
          <a:avLst/>
        </a:prstGeom>
        <a:solidFill>
          <a:srgbClr val="2A86CA"/>
        </a:solidFill>
        <a:ln w="127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1</xdr:row>
      <xdr:rowOff>114300</xdr:rowOff>
    </xdr:from>
    <xdr:to>
      <xdr:col>10</xdr:col>
      <xdr:colOff>628650</xdr:colOff>
      <xdr:row>5</xdr:row>
      <xdr:rowOff>85725</xdr:rowOff>
    </xdr:to>
    <xdr:sp>
      <xdr:nvSpPr>
        <xdr:cNvPr id="1" name="2 Rectángulo redondeado">
          <a:hlinkClick r:id="rId1"/>
        </xdr:cNvPr>
        <xdr:cNvSpPr>
          <a:spLocks/>
        </xdr:cNvSpPr>
      </xdr:nvSpPr>
      <xdr:spPr>
        <a:xfrm>
          <a:off x="10410825" y="342900"/>
          <a:ext cx="1209675" cy="828675"/>
        </a:xfrm>
        <a:prstGeom prst="roundRect">
          <a:avLst/>
        </a:prstGeom>
        <a:solidFill>
          <a:srgbClr val="2A86CA"/>
        </a:solidFill>
        <a:ln w="127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1</xdr:row>
      <xdr:rowOff>228600</xdr:rowOff>
    </xdr:from>
    <xdr:to>
      <xdr:col>10</xdr:col>
      <xdr:colOff>581025</xdr:colOff>
      <xdr:row>6</xdr:row>
      <xdr:rowOff>9525</xdr:rowOff>
    </xdr:to>
    <xdr:sp>
      <xdr:nvSpPr>
        <xdr:cNvPr id="1" name="2 Rectángulo redondeado">
          <a:hlinkClick r:id="rId1"/>
        </xdr:cNvPr>
        <xdr:cNvSpPr>
          <a:spLocks/>
        </xdr:cNvSpPr>
      </xdr:nvSpPr>
      <xdr:spPr>
        <a:xfrm>
          <a:off x="9801225" y="457200"/>
          <a:ext cx="1190625" cy="838200"/>
        </a:xfrm>
        <a:prstGeom prst="roundRect">
          <a:avLst/>
        </a:prstGeom>
        <a:solidFill>
          <a:srgbClr val="2A86CA"/>
        </a:solidFill>
        <a:ln w="127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2</xdr:row>
      <xdr:rowOff>47625</xdr:rowOff>
    </xdr:from>
    <xdr:to>
      <xdr:col>10</xdr:col>
      <xdr:colOff>552450</xdr:colOff>
      <xdr:row>6</xdr:row>
      <xdr:rowOff>85725</xdr:rowOff>
    </xdr:to>
    <xdr:sp>
      <xdr:nvSpPr>
        <xdr:cNvPr id="1" name="2 Rectángulo redondeado">
          <a:hlinkClick r:id="rId1"/>
        </xdr:cNvPr>
        <xdr:cNvSpPr>
          <a:spLocks/>
        </xdr:cNvSpPr>
      </xdr:nvSpPr>
      <xdr:spPr>
        <a:xfrm>
          <a:off x="10353675" y="523875"/>
          <a:ext cx="1238250" cy="847725"/>
        </a:xfrm>
        <a:prstGeom prst="roundRect">
          <a:avLst/>
        </a:prstGeom>
        <a:solidFill>
          <a:srgbClr val="2A86CA"/>
        </a:solidFill>
        <a:ln w="127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285750</xdr:colOff>
      <xdr:row>1</xdr:row>
      <xdr:rowOff>123825</xdr:rowOff>
    </xdr:from>
    <xdr:to>
      <xdr:col>10</xdr:col>
      <xdr:colOff>733425</xdr:colOff>
      <xdr:row>5</xdr:row>
      <xdr:rowOff>123825</xdr:rowOff>
    </xdr:to>
    <xdr:sp>
      <xdr:nvSpPr>
        <xdr:cNvPr id="1" name="2 Rectángulo redondeado">
          <a:hlinkClick r:id="rId1"/>
        </xdr:cNvPr>
        <xdr:cNvSpPr>
          <a:spLocks/>
        </xdr:cNvSpPr>
      </xdr:nvSpPr>
      <xdr:spPr>
        <a:xfrm>
          <a:off x="10515600" y="352425"/>
          <a:ext cx="1209675" cy="800100"/>
        </a:xfrm>
        <a:prstGeom prst="roundRect">
          <a:avLst/>
        </a:prstGeom>
        <a:solidFill>
          <a:srgbClr val="2A86CA"/>
        </a:solidFill>
        <a:ln w="127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504825</xdr:colOff>
      <xdr:row>0</xdr:row>
      <xdr:rowOff>123825</xdr:rowOff>
    </xdr:from>
    <xdr:to>
      <xdr:col>10</xdr:col>
      <xdr:colOff>619125</xdr:colOff>
      <xdr:row>4</xdr:row>
      <xdr:rowOff>38100</xdr:rowOff>
    </xdr:to>
    <xdr:sp>
      <xdr:nvSpPr>
        <xdr:cNvPr id="1" name="2 Rectángulo redondeado">
          <a:hlinkClick r:id="rId1"/>
        </xdr:cNvPr>
        <xdr:cNvSpPr>
          <a:spLocks/>
        </xdr:cNvSpPr>
      </xdr:nvSpPr>
      <xdr:spPr>
        <a:xfrm>
          <a:off x="8553450" y="123825"/>
          <a:ext cx="952500" cy="723900"/>
        </a:xfrm>
        <a:prstGeom prst="roundRect">
          <a:avLst/>
        </a:prstGeom>
        <a:solidFill>
          <a:srgbClr val="2A86CA"/>
        </a:solidFill>
        <a:ln w="127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0</xdr:row>
      <xdr:rowOff>133350</xdr:rowOff>
    </xdr:from>
    <xdr:to>
      <xdr:col>11</xdr:col>
      <xdr:colOff>361950</xdr:colOff>
      <xdr:row>4</xdr:row>
      <xdr:rowOff>38100</xdr:rowOff>
    </xdr:to>
    <xdr:sp>
      <xdr:nvSpPr>
        <xdr:cNvPr id="1" name="2 Rectángulo redondeado">
          <a:hlinkClick r:id="rId1"/>
        </xdr:cNvPr>
        <xdr:cNvSpPr>
          <a:spLocks/>
        </xdr:cNvSpPr>
      </xdr:nvSpPr>
      <xdr:spPr>
        <a:xfrm>
          <a:off x="9277350" y="133350"/>
          <a:ext cx="1200150" cy="733425"/>
        </a:xfrm>
        <a:prstGeom prst="roundRect">
          <a:avLst/>
        </a:prstGeom>
        <a:solidFill>
          <a:srgbClr val="2A86CA"/>
        </a:solidFill>
        <a:ln w="127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428625</xdr:colOff>
      <xdr:row>1</xdr:row>
      <xdr:rowOff>95250</xdr:rowOff>
    </xdr:from>
    <xdr:to>
      <xdr:col>10</xdr:col>
      <xdr:colOff>619125</xdr:colOff>
      <xdr:row>3</xdr:row>
      <xdr:rowOff>123825</xdr:rowOff>
    </xdr:to>
    <xdr:sp>
      <xdr:nvSpPr>
        <xdr:cNvPr id="1" name="2 Rectángulo redondeado">
          <a:hlinkClick r:id="rId1"/>
        </xdr:cNvPr>
        <xdr:cNvSpPr>
          <a:spLocks/>
        </xdr:cNvSpPr>
      </xdr:nvSpPr>
      <xdr:spPr>
        <a:xfrm>
          <a:off x="8115300" y="323850"/>
          <a:ext cx="952500" cy="647700"/>
        </a:xfrm>
        <a:prstGeom prst="roundRect">
          <a:avLst/>
        </a:prstGeom>
        <a:solidFill>
          <a:srgbClr val="2A86CA"/>
        </a:solidFill>
        <a:ln w="127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466725</xdr:colOff>
      <xdr:row>0</xdr:row>
      <xdr:rowOff>200025</xdr:rowOff>
    </xdr:from>
    <xdr:to>
      <xdr:col>11</xdr:col>
      <xdr:colOff>9525</xdr:colOff>
      <xdr:row>3</xdr:row>
      <xdr:rowOff>9525</xdr:rowOff>
    </xdr:to>
    <xdr:sp>
      <xdr:nvSpPr>
        <xdr:cNvPr id="1" name="2 Rectángulo redondeado">
          <a:hlinkClick r:id="rId1"/>
        </xdr:cNvPr>
        <xdr:cNvSpPr>
          <a:spLocks/>
        </xdr:cNvSpPr>
      </xdr:nvSpPr>
      <xdr:spPr>
        <a:xfrm>
          <a:off x="8715375" y="200025"/>
          <a:ext cx="1066800" cy="476250"/>
        </a:xfrm>
        <a:prstGeom prst="roundRect">
          <a:avLst/>
        </a:prstGeom>
        <a:solidFill>
          <a:srgbClr val="2A86CA"/>
        </a:solidFill>
        <a:ln w="127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333375</xdr:colOff>
      <xdr:row>1</xdr:row>
      <xdr:rowOff>95250</xdr:rowOff>
    </xdr:from>
    <xdr:to>
      <xdr:col>10</xdr:col>
      <xdr:colOff>447675</xdr:colOff>
      <xdr:row>4</xdr:row>
      <xdr:rowOff>0</xdr:rowOff>
    </xdr:to>
    <xdr:sp>
      <xdr:nvSpPr>
        <xdr:cNvPr id="1" name="2 Rectángulo redondeado">
          <a:hlinkClick r:id="rId1"/>
        </xdr:cNvPr>
        <xdr:cNvSpPr>
          <a:spLocks/>
        </xdr:cNvSpPr>
      </xdr:nvSpPr>
      <xdr:spPr>
        <a:xfrm>
          <a:off x="8096250" y="342900"/>
          <a:ext cx="885825" cy="552450"/>
        </a:xfrm>
        <a:prstGeom prst="roundRect">
          <a:avLst/>
        </a:prstGeom>
        <a:solidFill>
          <a:srgbClr val="2A86CA"/>
        </a:solidFill>
        <a:ln w="127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104775</xdr:colOff>
      <xdr:row>1</xdr:row>
      <xdr:rowOff>38100</xdr:rowOff>
    </xdr:from>
    <xdr:to>
      <xdr:col>10</xdr:col>
      <xdr:colOff>590550</xdr:colOff>
      <xdr:row>5</xdr:row>
      <xdr:rowOff>9525</xdr:rowOff>
    </xdr:to>
    <xdr:sp>
      <xdr:nvSpPr>
        <xdr:cNvPr id="1" name="2 Rectángulo redondeado">
          <a:hlinkClick r:id="rId1"/>
        </xdr:cNvPr>
        <xdr:cNvSpPr>
          <a:spLocks/>
        </xdr:cNvSpPr>
      </xdr:nvSpPr>
      <xdr:spPr>
        <a:xfrm>
          <a:off x="11458575" y="266700"/>
          <a:ext cx="1247775" cy="828675"/>
        </a:xfrm>
        <a:prstGeom prst="roundRect">
          <a:avLst/>
        </a:prstGeom>
        <a:solidFill>
          <a:srgbClr val="2A86CA"/>
        </a:solidFill>
        <a:ln w="127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1</xdr:row>
      <xdr:rowOff>38100</xdr:rowOff>
    </xdr:from>
    <xdr:to>
      <xdr:col>10</xdr:col>
      <xdr:colOff>476250</xdr:colOff>
      <xdr:row>4</xdr:row>
      <xdr:rowOff>85725</xdr:rowOff>
    </xdr:to>
    <xdr:sp>
      <xdr:nvSpPr>
        <xdr:cNvPr id="1" name="2 Rectángulo redondeado">
          <a:hlinkClick r:id="rId1"/>
        </xdr:cNvPr>
        <xdr:cNvSpPr>
          <a:spLocks/>
        </xdr:cNvSpPr>
      </xdr:nvSpPr>
      <xdr:spPr>
        <a:xfrm>
          <a:off x="9963150" y="266700"/>
          <a:ext cx="971550" cy="628650"/>
        </a:xfrm>
        <a:prstGeom prst="roundRect">
          <a:avLst/>
        </a:prstGeom>
        <a:solidFill>
          <a:srgbClr val="2A86CA"/>
        </a:solidFill>
        <a:ln w="127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228600</xdr:colOff>
      <xdr:row>1</xdr:row>
      <xdr:rowOff>161925</xdr:rowOff>
    </xdr:from>
    <xdr:to>
      <xdr:col>11</xdr:col>
      <xdr:colOff>57150</xdr:colOff>
      <xdr:row>4</xdr:row>
      <xdr:rowOff>85725</xdr:rowOff>
    </xdr:to>
    <xdr:sp>
      <xdr:nvSpPr>
        <xdr:cNvPr id="1" name="2 Rectángulo redondeado">
          <a:hlinkClick r:id="rId1"/>
        </xdr:cNvPr>
        <xdr:cNvSpPr>
          <a:spLocks/>
        </xdr:cNvSpPr>
      </xdr:nvSpPr>
      <xdr:spPr>
        <a:xfrm>
          <a:off x="9315450" y="390525"/>
          <a:ext cx="904875" cy="523875"/>
        </a:xfrm>
        <a:prstGeom prst="roundRect">
          <a:avLst/>
        </a:prstGeom>
        <a:solidFill>
          <a:srgbClr val="2A86CA"/>
        </a:solidFill>
        <a:ln w="127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1</xdr:row>
      <xdr:rowOff>47625</xdr:rowOff>
    </xdr:from>
    <xdr:to>
      <xdr:col>11</xdr:col>
      <xdr:colOff>1114425</xdr:colOff>
      <xdr:row>4</xdr:row>
      <xdr:rowOff>171450</xdr:rowOff>
    </xdr:to>
    <xdr:sp>
      <xdr:nvSpPr>
        <xdr:cNvPr id="1" name="1 Rectángulo redondeado">
          <a:hlinkClick r:id="rId1"/>
        </xdr:cNvPr>
        <xdr:cNvSpPr>
          <a:spLocks/>
        </xdr:cNvSpPr>
      </xdr:nvSpPr>
      <xdr:spPr>
        <a:xfrm>
          <a:off x="9058275" y="276225"/>
          <a:ext cx="1352550" cy="723900"/>
        </a:xfrm>
        <a:prstGeom prst="roundRect">
          <a:avLst/>
        </a:prstGeom>
        <a:solidFill>
          <a:srgbClr val="2A86CA"/>
        </a:solidFill>
        <a:ln w="127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438150</xdr:colOff>
      <xdr:row>1</xdr:row>
      <xdr:rowOff>38100</xdr:rowOff>
    </xdr:from>
    <xdr:to>
      <xdr:col>10</xdr:col>
      <xdr:colOff>657225</xdr:colOff>
      <xdr:row>3</xdr:row>
      <xdr:rowOff>180975</xdr:rowOff>
    </xdr:to>
    <xdr:sp>
      <xdr:nvSpPr>
        <xdr:cNvPr id="1" name="1 Rectángulo redondeado">
          <a:hlinkClick r:id="rId1"/>
        </xdr:cNvPr>
        <xdr:cNvSpPr>
          <a:spLocks/>
        </xdr:cNvSpPr>
      </xdr:nvSpPr>
      <xdr:spPr>
        <a:xfrm>
          <a:off x="8782050" y="266700"/>
          <a:ext cx="981075" cy="542925"/>
        </a:xfrm>
        <a:prstGeom prst="roundRect">
          <a:avLst/>
        </a:prstGeom>
        <a:solidFill>
          <a:srgbClr val="2A86CA"/>
        </a:solidFill>
        <a:ln w="127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2</xdr:row>
      <xdr:rowOff>123825</xdr:rowOff>
    </xdr:from>
    <xdr:to>
      <xdr:col>10</xdr:col>
      <xdr:colOff>561975</xdr:colOff>
      <xdr:row>6</xdr:row>
      <xdr:rowOff>152400</xdr:rowOff>
    </xdr:to>
    <xdr:sp>
      <xdr:nvSpPr>
        <xdr:cNvPr id="1" name="2 Rectángulo redondeado">
          <a:hlinkClick r:id="rId1"/>
        </xdr:cNvPr>
        <xdr:cNvSpPr>
          <a:spLocks/>
        </xdr:cNvSpPr>
      </xdr:nvSpPr>
      <xdr:spPr>
        <a:xfrm>
          <a:off x="11906250" y="600075"/>
          <a:ext cx="1209675" cy="838200"/>
        </a:xfrm>
        <a:prstGeom prst="roundRect">
          <a:avLst/>
        </a:prstGeom>
        <a:solidFill>
          <a:srgbClr val="2A86CA"/>
        </a:solidFill>
        <a:ln w="127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514350</xdr:colOff>
      <xdr:row>2</xdr:row>
      <xdr:rowOff>114300</xdr:rowOff>
    </xdr:from>
    <xdr:to>
      <xdr:col>11</xdr:col>
      <xdr:colOff>190500</xdr:colOff>
      <xdr:row>6</xdr:row>
      <xdr:rowOff>123825</xdr:rowOff>
    </xdr:to>
    <xdr:sp>
      <xdr:nvSpPr>
        <xdr:cNvPr id="1" name="2 Rectángulo redondeado">
          <a:hlinkClick r:id="rId1"/>
        </xdr:cNvPr>
        <xdr:cNvSpPr>
          <a:spLocks/>
        </xdr:cNvSpPr>
      </xdr:nvSpPr>
      <xdr:spPr>
        <a:xfrm>
          <a:off x="10744200" y="590550"/>
          <a:ext cx="1200150" cy="819150"/>
        </a:xfrm>
        <a:prstGeom prst="roundRect">
          <a:avLst/>
        </a:prstGeom>
        <a:solidFill>
          <a:srgbClr val="2A86CA"/>
        </a:solidFill>
        <a:ln w="127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152400</xdr:colOff>
      <xdr:row>2</xdr:row>
      <xdr:rowOff>161925</xdr:rowOff>
    </xdr:from>
    <xdr:to>
      <xdr:col>10</xdr:col>
      <xdr:colOff>628650</xdr:colOff>
      <xdr:row>6</xdr:row>
      <xdr:rowOff>171450</xdr:rowOff>
    </xdr:to>
    <xdr:sp>
      <xdr:nvSpPr>
        <xdr:cNvPr id="1" name="2 Rectángulo redondeado">
          <a:hlinkClick r:id="rId1"/>
        </xdr:cNvPr>
        <xdr:cNvSpPr>
          <a:spLocks/>
        </xdr:cNvSpPr>
      </xdr:nvSpPr>
      <xdr:spPr>
        <a:xfrm>
          <a:off x="10382250" y="638175"/>
          <a:ext cx="1238250" cy="819150"/>
        </a:xfrm>
        <a:prstGeom prst="roundRect">
          <a:avLst/>
        </a:prstGeom>
        <a:solidFill>
          <a:srgbClr val="2A86CA"/>
        </a:solidFill>
        <a:ln w="127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352425</xdr:colOff>
      <xdr:row>2</xdr:row>
      <xdr:rowOff>76200</xdr:rowOff>
    </xdr:from>
    <xdr:to>
      <xdr:col>11</xdr:col>
      <xdr:colOff>28575</xdr:colOff>
      <xdr:row>6</xdr:row>
      <xdr:rowOff>123825</xdr:rowOff>
    </xdr:to>
    <xdr:sp>
      <xdr:nvSpPr>
        <xdr:cNvPr id="1" name="2 Rectángulo redondeado">
          <a:hlinkClick r:id="rId1"/>
        </xdr:cNvPr>
        <xdr:cNvSpPr>
          <a:spLocks/>
        </xdr:cNvSpPr>
      </xdr:nvSpPr>
      <xdr:spPr>
        <a:xfrm>
          <a:off x="10582275" y="552450"/>
          <a:ext cx="1200150" cy="857250"/>
        </a:xfrm>
        <a:prstGeom prst="roundRect">
          <a:avLst/>
        </a:prstGeom>
        <a:solidFill>
          <a:srgbClr val="2A86CA"/>
        </a:solidFill>
        <a:ln w="127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2</xdr:row>
      <xdr:rowOff>9525</xdr:rowOff>
    </xdr:from>
    <xdr:to>
      <xdr:col>11</xdr:col>
      <xdr:colOff>38100</xdr:colOff>
      <xdr:row>6</xdr:row>
      <xdr:rowOff>38100</xdr:rowOff>
    </xdr:to>
    <xdr:sp>
      <xdr:nvSpPr>
        <xdr:cNvPr id="1" name="2 Rectángulo redondeado">
          <a:hlinkClick r:id="rId1"/>
        </xdr:cNvPr>
        <xdr:cNvSpPr>
          <a:spLocks/>
        </xdr:cNvSpPr>
      </xdr:nvSpPr>
      <xdr:spPr>
        <a:xfrm>
          <a:off x="10896600" y="485775"/>
          <a:ext cx="1200150" cy="838200"/>
        </a:xfrm>
        <a:prstGeom prst="roundRect">
          <a:avLst/>
        </a:prstGeom>
        <a:solidFill>
          <a:srgbClr val="2A86CA"/>
        </a:solidFill>
        <a:ln w="127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2</xdr:row>
      <xdr:rowOff>38100</xdr:rowOff>
    </xdr:from>
    <xdr:to>
      <xdr:col>10</xdr:col>
      <xdr:colOff>704850</xdr:colOff>
      <xdr:row>6</xdr:row>
      <xdr:rowOff>47625</xdr:rowOff>
    </xdr:to>
    <xdr:sp>
      <xdr:nvSpPr>
        <xdr:cNvPr id="1" name="2 Rectángulo redondeado">
          <a:hlinkClick r:id="rId1"/>
        </xdr:cNvPr>
        <xdr:cNvSpPr>
          <a:spLocks/>
        </xdr:cNvSpPr>
      </xdr:nvSpPr>
      <xdr:spPr>
        <a:xfrm>
          <a:off x="10477500" y="514350"/>
          <a:ext cx="1219200" cy="819150"/>
        </a:xfrm>
        <a:prstGeom prst="roundRect">
          <a:avLst/>
        </a:prstGeom>
        <a:solidFill>
          <a:srgbClr val="2A86CA"/>
        </a:solidFill>
        <a:ln w="127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1</xdr:row>
      <xdr:rowOff>209550</xdr:rowOff>
    </xdr:from>
    <xdr:to>
      <xdr:col>10</xdr:col>
      <xdr:colOff>666750</xdr:colOff>
      <xdr:row>6</xdr:row>
      <xdr:rowOff>0</xdr:rowOff>
    </xdr:to>
    <xdr:sp>
      <xdr:nvSpPr>
        <xdr:cNvPr id="1" name="2 Rectángulo redondeado">
          <a:hlinkClick r:id="rId1"/>
        </xdr:cNvPr>
        <xdr:cNvSpPr>
          <a:spLocks/>
        </xdr:cNvSpPr>
      </xdr:nvSpPr>
      <xdr:spPr>
        <a:xfrm>
          <a:off x="10648950" y="438150"/>
          <a:ext cx="1209675" cy="847725"/>
        </a:xfrm>
        <a:prstGeom prst="roundRect">
          <a:avLst/>
        </a:prstGeom>
        <a:solidFill>
          <a:srgbClr val="2A86CA"/>
        </a:solidFill>
        <a:ln w="12700" cmpd="sng">
          <a:noFill/>
        </a:ln>
      </xdr:spPr>
      <xdr:txBody>
        <a:bodyPr vertOverflow="clip" wrap="square" anchor="ctr"/>
        <a:p>
          <a:pPr algn="ctr">
            <a:defRPr/>
          </a:pPr>
          <a:r>
            <a:rPr lang="en-US" cap="none" sz="2000" b="0" i="0" u="none" baseline="0">
              <a:solidFill>
                <a:srgbClr val="FFFFFF"/>
              </a:solidFill>
              <a:latin typeface="Calibri"/>
              <a:ea typeface="Calibri"/>
              <a:cs typeface="Calibri"/>
            </a:rPr>
            <a:t>Home</a:t>
          </a:r>
        </a:p>
      </xdr:txBody>
    </xdr:sp>
    <xdr:clientData/>
  </xdr:twoCellAnchor>
</xdr:wsDr>
</file>

<file path=xl/theme/theme1.xml><?xml version="1.0" encoding="utf-8"?>
<a:theme xmlns:a="http://schemas.openxmlformats.org/drawingml/2006/main" name="Office Theme">
  <a:themeElements>
    <a:clrScheme name="BBVA">
      <a:dk1>
        <a:srgbClr val="004481"/>
      </a:dk1>
      <a:lt1>
        <a:sysClr val="window" lastClr="FFFFFF"/>
      </a:lt1>
      <a:dk2>
        <a:srgbClr val="0A5FB4"/>
      </a:dk2>
      <a:lt2>
        <a:srgbClr val="121212"/>
      </a:lt2>
      <a:accent1>
        <a:srgbClr val="2A86CA"/>
      </a:accent1>
      <a:accent2>
        <a:srgbClr val="5BBEFF"/>
      </a:accent2>
      <a:accent3>
        <a:srgbClr val="2DCCCD"/>
      </a:accent3>
      <a:accent4>
        <a:srgbClr val="072146"/>
      </a:accent4>
      <a:accent5>
        <a:srgbClr val="D8BE75"/>
      </a:accent5>
      <a:accent6>
        <a:srgbClr val="F7893B"/>
      </a:accent6>
      <a:hlink>
        <a:srgbClr val="004481"/>
      </a:hlink>
      <a:folHlink>
        <a:srgbClr val="07214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K1000"/>
  <sheetViews>
    <sheetView showGridLines="0" zoomScale="80" zoomScaleNormal="80" zoomScalePageLayoutView="0" workbookViewId="0" topLeftCell="A1">
      <selection activeCell="C18" sqref="C18"/>
    </sheetView>
  </sheetViews>
  <sheetFormatPr defaultColWidth="11.421875" defaultRowHeight="15"/>
  <cols>
    <col min="2" max="2" width="6.421875" style="0" customWidth="1"/>
    <col min="3" max="3" width="107.421875" style="0" customWidth="1"/>
    <col min="4" max="4" width="54.421875" style="0" customWidth="1"/>
  </cols>
  <sheetData>
    <row r="1" spans="1:4" ht="15">
      <c r="A1" s="225"/>
      <c r="B1" s="225"/>
      <c r="C1" s="226"/>
      <c r="D1" s="226"/>
    </row>
    <row r="2" spans="1:4" ht="15">
      <c r="A2" s="225"/>
      <c r="B2" s="225" t="s">
        <v>11</v>
      </c>
      <c r="C2" s="226" t="s">
        <v>12</v>
      </c>
      <c r="D2" s="226" t="s">
        <v>13</v>
      </c>
    </row>
    <row r="3" spans="1:9" ht="19.5">
      <c r="A3" s="225"/>
      <c r="B3" s="225">
        <v>1</v>
      </c>
      <c r="C3" s="227">
        <v>7</v>
      </c>
      <c r="D3" s="227">
        <v>8</v>
      </c>
      <c r="I3" s="228" t="s">
        <v>0</v>
      </c>
    </row>
    <row r="4" spans="2:9" ht="19.5">
      <c r="B4">
        <v>2</v>
      </c>
      <c r="C4" s="229" t="s">
        <v>546</v>
      </c>
      <c r="D4" s="229" t="s">
        <v>547</v>
      </c>
      <c r="I4" s="228" t="s">
        <v>14</v>
      </c>
    </row>
    <row r="5" spans="2:9" ht="19.5">
      <c r="B5">
        <v>3</v>
      </c>
      <c r="C5" s="229" t="s">
        <v>15</v>
      </c>
      <c r="D5" s="229" t="s">
        <v>16</v>
      </c>
      <c r="I5" s="228" t="s">
        <v>17</v>
      </c>
    </row>
    <row r="6" spans="2:4" ht="15.75">
      <c r="B6">
        <v>4</v>
      </c>
      <c r="C6" s="229" t="s">
        <v>18</v>
      </c>
      <c r="D6" s="229" t="s">
        <v>19</v>
      </c>
    </row>
    <row r="7" spans="2:4" ht="15.75">
      <c r="B7">
        <v>5</v>
      </c>
      <c r="C7" s="229" t="s">
        <v>20</v>
      </c>
      <c r="D7" s="229" t="s">
        <v>21</v>
      </c>
    </row>
    <row r="8" spans="2:4" ht="15.75">
      <c r="B8">
        <v>6</v>
      </c>
      <c r="C8" s="229" t="s">
        <v>22</v>
      </c>
      <c r="D8" s="229" t="s">
        <v>23</v>
      </c>
    </row>
    <row r="9" spans="2:4" ht="15.75">
      <c r="B9">
        <v>7</v>
      </c>
      <c r="C9" s="229" t="s">
        <v>24</v>
      </c>
      <c r="D9" s="229" t="s">
        <v>25</v>
      </c>
    </row>
    <row r="10" spans="2:4" ht="15.75">
      <c r="B10">
        <v>8</v>
      </c>
      <c r="C10" s="229" t="s">
        <v>26</v>
      </c>
      <c r="D10" s="229" t="s">
        <v>27</v>
      </c>
    </row>
    <row r="11" spans="2:4" ht="15.75">
      <c r="B11">
        <v>9</v>
      </c>
      <c r="C11" s="229" t="s">
        <v>28</v>
      </c>
      <c r="D11" s="229" t="s">
        <v>28</v>
      </c>
    </row>
    <row r="12" spans="2:4" ht="15.75">
      <c r="B12">
        <v>10</v>
      </c>
      <c r="C12" s="230" t="s">
        <v>29</v>
      </c>
      <c r="D12" s="230" t="s">
        <v>30</v>
      </c>
    </row>
    <row r="13" spans="2:4" ht="15.75">
      <c r="B13">
        <v>11</v>
      </c>
      <c r="C13" s="230" t="s">
        <v>31</v>
      </c>
      <c r="D13" s="230" t="s">
        <v>32</v>
      </c>
    </row>
    <row r="14" spans="2:4" ht="15.75">
      <c r="B14">
        <v>12</v>
      </c>
      <c r="C14" s="230" t="s">
        <v>33</v>
      </c>
      <c r="D14" s="230" t="s">
        <v>34</v>
      </c>
    </row>
    <row r="15" spans="2:4" ht="15.75">
      <c r="B15">
        <v>13</v>
      </c>
      <c r="C15" s="230" t="s">
        <v>35</v>
      </c>
      <c r="D15" s="230" t="s">
        <v>36</v>
      </c>
    </row>
    <row r="16" spans="2:4" ht="15.75">
      <c r="B16">
        <v>14</v>
      </c>
      <c r="C16" s="230" t="s">
        <v>6</v>
      </c>
      <c r="D16" s="230" t="s">
        <v>6</v>
      </c>
    </row>
    <row r="17" spans="2:4" ht="15.75">
      <c r="B17">
        <v>15</v>
      </c>
      <c r="C17" s="230" t="s">
        <v>7</v>
      </c>
      <c r="D17" s="230" t="s">
        <v>7</v>
      </c>
    </row>
    <row r="18" spans="2:4" ht="15.75">
      <c r="B18">
        <v>16</v>
      </c>
      <c r="C18" s="230" t="s">
        <v>8</v>
      </c>
      <c r="D18" s="230" t="s">
        <v>8</v>
      </c>
    </row>
    <row r="19" spans="2:4" ht="15.75">
      <c r="B19">
        <v>17</v>
      </c>
      <c r="C19" s="230" t="s">
        <v>9</v>
      </c>
      <c r="D19" s="230" t="s">
        <v>37</v>
      </c>
    </row>
    <row r="20" spans="2:4" ht="15.75">
      <c r="B20">
        <v>18</v>
      </c>
      <c r="C20" s="230" t="s">
        <v>38</v>
      </c>
      <c r="D20" s="230" t="s">
        <v>39</v>
      </c>
    </row>
    <row r="21" spans="2:4" ht="15.75">
      <c r="B21">
        <v>19</v>
      </c>
      <c r="C21" s="230" t="s">
        <v>40</v>
      </c>
      <c r="D21" s="230" t="s">
        <v>41</v>
      </c>
    </row>
    <row r="22" spans="2:4" ht="15.75">
      <c r="B22">
        <v>20</v>
      </c>
      <c r="C22" s="230" t="s">
        <v>42</v>
      </c>
      <c r="D22" s="230" t="s">
        <v>43</v>
      </c>
    </row>
    <row r="23" spans="2:4" ht="15.75">
      <c r="B23">
        <v>21</v>
      </c>
      <c r="C23" s="230" t="s">
        <v>44</v>
      </c>
      <c r="D23" s="230" t="s">
        <v>44</v>
      </c>
    </row>
    <row r="24" spans="2:4" ht="15.75">
      <c r="B24">
        <v>22</v>
      </c>
      <c r="C24" s="230" t="s">
        <v>45</v>
      </c>
      <c r="D24" s="230" t="s">
        <v>46</v>
      </c>
    </row>
    <row r="25" spans="2:4" ht="15.75">
      <c r="B25">
        <v>23</v>
      </c>
      <c r="C25" s="230" t="s">
        <v>47</v>
      </c>
      <c r="D25" s="230" t="s">
        <v>48</v>
      </c>
    </row>
    <row r="26" spans="2:4" ht="15.75">
      <c r="B26">
        <v>24</v>
      </c>
      <c r="C26" s="230" t="s">
        <v>49</v>
      </c>
      <c r="D26" s="230" t="s">
        <v>50</v>
      </c>
    </row>
    <row r="27" spans="2:4" ht="15.75">
      <c r="B27">
        <v>25</v>
      </c>
      <c r="C27" s="230" t="s">
        <v>51</v>
      </c>
      <c r="D27" s="230" t="s">
        <v>52</v>
      </c>
    </row>
    <row r="28" spans="2:4" ht="15.75">
      <c r="B28">
        <v>26</v>
      </c>
      <c r="C28" s="230" t="s">
        <v>53</v>
      </c>
      <c r="D28" s="230" t="s">
        <v>54</v>
      </c>
    </row>
    <row r="29" spans="2:4" ht="15.75">
      <c r="B29">
        <v>27</v>
      </c>
      <c r="C29" s="230" t="s">
        <v>55</v>
      </c>
      <c r="D29" s="230" t="s">
        <v>56</v>
      </c>
    </row>
    <row r="30" spans="2:4" ht="15.75">
      <c r="B30">
        <v>28</v>
      </c>
      <c r="C30" s="230" t="s">
        <v>57</v>
      </c>
      <c r="D30" s="230" t="s">
        <v>58</v>
      </c>
    </row>
    <row r="31" spans="2:4" ht="15.75">
      <c r="B31">
        <v>29</v>
      </c>
      <c r="C31" s="230" t="s">
        <v>59</v>
      </c>
      <c r="D31" s="230" t="s">
        <v>60</v>
      </c>
    </row>
    <row r="32" spans="2:4" ht="15.75">
      <c r="B32">
        <v>30</v>
      </c>
      <c r="C32" s="230" t="s">
        <v>61</v>
      </c>
      <c r="D32" s="230" t="s">
        <v>62</v>
      </c>
    </row>
    <row r="33" spans="2:4" ht="15.75">
      <c r="B33">
        <v>31</v>
      </c>
      <c r="C33" s="230" t="s">
        <v>63</v>
      </c>
      <c r="D33" t="s">
        <v>64</v>
      </c>
    </row>
    <row r="34" spans="2:4" ht="15.75">
      <c r="B34">
        <v>32</v>
      </c>
      <c r="C34" s="230" t="s">
        <v>65</v>
      </c>
      <c r="D34" t="s">
        <v>66</v>
      </c>
    </row>
    <row r="35" spans="2:4" ht="15.75">
      <c r="B35">
        <v>33</v>
      </c>
      <c r="C35" s="230" t="s">
        <v>67</v>
      </c>
      <c r="D35" t="s">
        <v>68</v>
      </c>
    </row>
    <row r="36" spans="2:4" ht="15.75">
      <c r="B36">
        <v>34</v>
      </c>
      <c r="C36" s="230" t="s">
        <v>69</v>
      </c>
      <c r="D36" t="s">
        <v>70</v>
      </c>
    </row>
    <row r="37" spans="2:4" ht="15.75">
      <c r="B37">
        <v>35</v>
      </c>
      <c r="C37" s="230" t="s">
        <v>71</v>
      </c>
      <c r="D37" t="s">
        <v>72</v>
      </c>
    </row>
    <row r="38" spans="2:4" ht="15.75">
      <c r="B38">
        <v>36</v>
      </c>
      <c r="C38" s="230" t="s">
        <v>73</v>
      </c>
      <c r="D38" t="s">
        <v>74</v>
      </c>
    </row>
    <row r="39" spans="2:4" ht="15.75">
      <c r="B39">
        <v>37</v>
      </c>
      <c r="C39" s="230" t="s">
        <v>75</v>
      </c>
      <c r="D39" t="s">
        <v>76</v>
      </c>
    </row>
    <row r="40" spans="2:4" ht="15.75">
      <c r="B40">
        <v>38</v>
      </c>
      <c r="C40" s="230" t="s">
        <v>77</v>
      </c>
      <c r="D40" t="s">
        <v>78</v>
      </c>
    </row>
    <row r="41" spans="2:4" ht="15.75">
      <c r="B41">
        <v>39</v>
      </c>
      <c r="C41" s="230" t="s">
        <v>79</v>
      </c>
      <c r="D41" t="s">
        <v>80</v>
      </c>
    </row>
    <row r="42" spans="2:4" ht="15.75">
      <c r="B42">
        <v>40</v>
      </c>
      <c r="C42" s="230" t="s">
        <v>81</v>
      </c>
      <c r="D42" t="s">
        <v>82</v>
      </c>
    </row>
    <row r="43" spans="2:4" ht="15.75">
      <c r="B43">
        <v>41</v>
      </c>
      <c r="C43" s="230" t="s">
        <v>83</v>
      </c>
      <c r="D43" t="s">
        <v>84</v>
      </c>
    </row>
    <row r="44" spans="2:4" ht="15.75">
      <c r="B44">
        <v>42</v>
      </c>
      <c r="C44" s="230" t="s">
        <v>85</v>
      </c>
      <c r="D44" t="s">
        <v>86</v>
      </c>
    </row>
    <row r="45" spans="2:10" ht="15.75">
      <c r="B45">
        <v>43</v>
      </c>
      <c r="C45" s="230" t="s">
        <v>87</v>
      </c>
      <c r="D45" t="s">
        <v>88</v>
      </c>
      <c r="J45" t="s">
        <v>527</v>
      </c>
    </row>
    <row r="46" spans="2:4" ht="15.75">
      <c r="B46">
        <v>44</v>
      </c>
      <c r="C46" s="230" t="s">
        <v>89</v>
      </c>
      <c r="D46" t="s">
        <v>90</v>
      </c>
    </row>
    <row r="47" spans="2:4" ht="15.75">
      <c r="B47">
        <v>45</v>
      </c>
      <c r="C47" s="230" t="s">
        <v>91</v>
      </c>
      <c r="D47" t="s">
        <v>92</v>
      </c>
    </row>
    <row r="48" spans="2:4" ht="15.75">
      <c r="B48">
        <v>46</v>
      </c>
      <c r="C48" s="230" t="s">
        <v>93</v>
      </c>
      <c r="D48" t="s">
        <v>94</v>
      </c>
    </row>
    <row r="49" spans="2:4" ht="15.75">
      <c r="B49">
        <v>47</v>
      </c>
      <c r="C49" s="230" t="s">
        <v>95</v>
      </c>
      <c r="D49" t="s">
        <v>96</v>
      </c>
    </row>
    <row r="50" spans="2:4" ht="15.75">
      <c r="B50">
        <v>48</v>
      </c>
      <c r="C50" s="230" t="s">
        <v>97</v>
      </c>
      <c r="D50" t="s">
        <v>98</v>
      </c>
    </row>
    <row r="51" spans="2:4" ht="15.75">
      <c r="B51">
        <v>49</v>
      </c>
      <c r="C51" s="230" t="s">
        <v>99</v>
      </c>
      <c r="D51" t="s">
        <v>100</v>
      </c>
    </row>
    <row r="52" spans="2:4" ht="15.75">
      <c r="B52">
        <v>50</v>
      </c>
      <c r="C52" s="230" t="s">
        <v>101</v>
      </c>
      <c r="D52" t="s">
        <v>102</v>
      </c>
    </row>
    <row r="53" spans="2:4" ht="15.75">
      <c r="B53">
        <v>51</v>
      </c>
      <c r="C53" s="230" t="s">
        <v>103</v>
      </c>
      <c r="D53" t="s">
        <v>104</v>
      </c>
    </row>
    <row r="54" spans="2:4" ht="15.75">
      <c r="B54">
        <v>52</v>
      </c>
      <c r="C54" s="230" t="s">
        <v>105</v>
      </c>
      <c r="D54" t="s">
        <v>106</v>
      </c>
    </row>
    <row r="55" spans="2:4" ht="15.75">
      <c r="B55">
        <v>53</v>
      </c>
      <c r="C55" s="230" t="s">
        <v>107</v>
      </c>
      <c r="D55" t="s">
        <v>108</v>
      </c>
    </row>
    <row r="56" spans="2:4" ht="15.75">
      <c r="B56">
        <v>54</v>
      </c>
      <c r="C56" s="230" t="s">
        <v>109</v>
      </c>
      <c r="D56" t="s">
        <v>110</v>
      </c>
    </row>
    <row r="57" spans="2:4" ht="15.75">
      <c r="B57">
        <v>55</v>
      </c>
      <c r="C57" s="230" t="s">
        <v>111</v>
      </c>
      <c r="D57" t="s">
        <v>112</v>
      </c>
    </row>
    <row r="58" spans="2:4" ht="15.75">
      <c r="B58">
        <v>56</v>
      </c>
      <c r="C58" s="230" t="s">
        <v>113</v>
      </c>
      <c r="D58" t="s">
        <v>114</v>
      </c>
    </row>
    <row r="59" spans="2:4" ht="15.75">
      <c r="B59">
        <v>57</v>
      </c>
      <c r="C59" s="230" t="s">
        <v>115</v>
      </c>
      <c r="D59" t="s">
        <v>116</v>
      </c>
    </row>
    <row r="60" spans="2:4" ht="15.75">
      <c r="B60">
        <v>58</v>
      </c>
      <c r="C60" s="230" t="s">
        <v>117</v>
      </c>
      <c r="D60" t="s">
        <v>118</v>
      </c>
    </row>
    <row r="61" spans="2:4" ht="15.75">
      <c r="B61">
        <v>59</v>
      </c>
      <c r="C61" s="230" t="s">
        <v>119</v>
      </c>
      <c r="D61" t="s">
        <v>120</v>
      </c>
    </row>
    <row r="62" spans="2:4" ht="15.75">
      <c r="B62">
        <v>60</v>
      </c>
      <c r="C62" s="230" t="s">
        <v>121</v>
      </c>
      <c r="D62" t="s">
        <v>122</v>
      </c>
    </row>
    <row r="63" spans="2:4" ht="15.75">
      <c r="B63">
        <v>61</v>
      </c>
      <c r="C63" s="230" t="s">
        <v>123</v>
      </c>
      <c r="D63" t="s">
        <v>124</v>
      </c>
    </row>
    <row r="64" spans="2:4" ht="15.75">
      <c r="B64">
        <v>62</v>
      </c>
      <c r="C64" s="230" t="s">
        <v>125</v>
      </c>
      <c r="D64" t="s">
        <v>126</v>
      </c>
    </row>
    <row r="65" spans="2:4" ht="15.75">
      <c r="B65">
        <v>63</v>
      </c>
      <c r="C65" s="230" t="s">
        <v>127</v>
      </c>
      <c r="D65" t="s">
        <v>128</v>
      </c>
    </row>
    <row r="66" spans="2:4" ht="15.75">
      <c r="B66">
        <v>64</v>
      </c>
      <c r="C66" s="230" t="s">
        <v>129</v>
      </c>
      <c r="D66" t="s">
        <v>130</v>
      </c>
    </row>
    <row r="67" spans="2:4" ht="15.75">
      <c r="B67">
        <v>65</v>
      </c>
      <c r="C67" s="230" t="s">
        <v>131</v>
      </c>
      <c r="D67" t="s">
        <v>132</v>
      </c>
    </row>
    <row r="68" spans="2:4" ht="15.75">
      <c r="B68">
        <v>66</v>
      </c>
      <c r="C68" s="230" t="s">
        <v>133</v>
      </c>
      <c r="D68" s="59" t="s">
        <v>134</v>
      </c>
    </row>
    <row r="69" spans="2:4" ht="15.75">
      <c r="B69">
        <v>67</v>
      </c>
      <c r="C69" s="230" t="s">
        <v>135</v>
      </c>
      <c r="D69" s="59" t="s">
        <v>136</v>
      </c>
    </row>
    <row r="70" spans="2:4" ht="15.75">
      <c r="B70">
        <v>68</v>
      </c>
      <c r="C70" s="230" t="s">
        <v>520</v>
      </c>
      <c r="D70" s="59" t="s">
        <v>521</v>
      </c>
    </row>
    <row r="71" spans="2:4" ht="15.75">
      <c r="B71">
        <v>69</v>
      </c>
      <c r="C71" s="230" t="s">
        <v>137</v>
      </c>
      <c r="D71" s="59" t="s">
        <v>138</v>
      </c>
    </row>
    <row r="72" spans="2:4" ht="15.75">
      <c r="B72">
        <v>70</v>
      </c>
      <c r="C72" s="230" t="s">
        <v>139</v>
      </c>
      <c r="D72" s="59" t="s">
        <v>140</v>
      </c>
    </row>
    <row r="73" spans="2:4" ht="15.75">
      <c r="B73">
        <v>71</v>
      </c>
      <c r="C73" s="230" t="s">
        <v>141</v>
      </c>
      <c r="D73" s="231" t="s">
        <v>142</v>
      </c>
    </row>
    <row r="74" spans="2:4" ht="15.75">
      <c r="B74">
        <v>72</v>
      </c>
      <c r="C74" s="230" t="s">
        <v>143</v>
      </c>
      <c r="D74" s="231"/>
    </row>
    <row r="75" spans="2:4" ht="15.75">
      <c r="B75">
        <v>73</v>
      </c>
      <c r="C75" s="230" t="s">
        <v>144</v>
      </c>
      <c r="D75" s="160" t="s">
        <v>145</v>
      </c>
    </row>
    <row r="76" spans="2:4" ht="15.75">
      <c r="B76">
        <v>74</v>
      </c>
      <c r="C76" s="230" t="s">
        <v>146</v>
      </c>
      <c r="D76" s="160" t="s">
        <v>147</v>
      </c>
    </row>
    <row r="77" spans="2:4" ht="15.75">
      <c r="B77">
        <v>75</v>
      </c>
      <c r="C77" s="230" t="s">
        <v>148</v>
      </c>
      <c r="D77" s="160" t="s">
        <v>149</v>
      </c>
    </row>
    <row r="78" spans="2:4" ht="15.75">
      <c r="B78">
        <v>76</v>
      </c>
      <c r="C78" s="230" t="s">
        <v>150</v>
      </c>
      <c r="D78" s="160" t="s">
        <v>151</v>
      </c>
    </row>
    <row r="79" spans="2:4" ht="15.75">
      <c r="B79">
        <v>77</v>
      </c>
      <c r="C79" s="230" t="s">
        <v>152</v>
      </c>
      <c r="D79" s="160" t="s">
        <v>153</v>
      </c>
    </row>
    <row r="80" spans="2:4" ht="15.75">
      <c r="B80">
        <v>78</v>
      </c>
      <c r="C80" s="230" t="s">
        <v>154</v>
      </c>
      <c r="D80" s="160" t="s">
        <v>155</v>
      </c>
    </row>
    <row r="81" spans="2:4" ht="15.75">
      <c r="B81">
        <v>79</v>
      </c>
      <c r="C81" s="230" t="s">
        <v>156</v>
      </c>
      <c r="D81" s="160" t="s">
        <v>157</v>
      </c>
    </row>
    <row r="82" spans="2:4" ht="15.75">
      <c r="B82">
        <v>80</v>
      </c>
      <c r="C82" s="230" t="s">
        <v>158</v>
      </c>
      <c r="D82" s="160" t="s">
        <v>158</v>
      </c>
    </row>
    <row r="83" spans="2:4" ht="15.75">
      <c r="B83">
        <v>81</v>
      </c>
      <c r="C83" s="230" t="s">
        <v>159</v>
      </c>
      <c r="D83" s="160" t="s">
        <v>160</v>
      </c>
    </row>
    <row r="84" spans="2:4" ht="15">
      <c r="B84">
        <v>82</v>
      </c>
      <c r="C84" t="s">
        <v>161</v>
      </c>
      <c r="D84" t="s">
        <v>162</v>
      </c>
    </row>
    <row r="85" spans="2:4" ht="15">
      <c r="B85">
        <v>83</v>
      </c>
      <c r="C85" t="s">
        <v>163</v>
      </c>
      <c r="D85" t="s">
        <v>164</v>
      </c>
    </row>
    <row r="86" spans="2:4" ht="15.75">
      <c r="B86">
        <v>84</v>
      </c>
      <c r="C86" s="230" t="s">
        <v>165</v>
      </c>
      <c r="D86" t="s">
        <v>166</v>
      </c>
    </row>
    <row r="87" spans="2:4" ht="15">
      <c r="B87">
        <v>85</v>
      </c>
      <c r="C87" t="s">
        <v>167</v>
      </c>
      <c r="D87" t="s">
        <v>168</v>
      </c>
    </row>
    <row r="88" spans="2:4" ht="15">
      <c r="B88">
        <v>86</v>
      </c>
      <c r="C88" t="s">
        <v>169</v>
      </c>
      <c r="D88" t="s">
        <v>170</v>
      </c>
    </row>
    <row r="89" spans="2:4" ht="15">
      <c r="B89">
        <v>87</v>
      </c>
      <c r="C89" t="s">
        <v>411</v>
      </c>
      <c r="D89" t="s">
        <v>412</v>
      </c>
    </row>
    <row r="90" spans="2:4" ht="15">
      <c r="B90">
        <v>88</v>
      </c>
      <c r="C90" t="s">
        <v>57</v>
      </c>
      <c r="D90" t="s">
        <v>58</v>
      </c>
    </row>
    <row r="91" spans="2:4" ht="15">
      <c r="B91">
        <v>89</v>
      </c>
      <c r="C91" s="232" t="s">
        <v>171</v>
      </c>
      <c r="D91" t="s">
        <v>172</v>
      </c>
    </row>
    <row r="92" spans="2:4" ht="15">
      <c r="B92">
        <v>90</v>
      </c>
      <c r="C92" t="s">
        <v>173</v>
      </c>
      <c r="D92" t="s">
        <v>173</v>
      </c>
    </row>
    <row r="93" spans="2:4" ht="15">
      <c r="B93">
        <v>91</v>
      </c>
      <c r="C93" t="s">
        <v>174</v>
      </c>
      <c r="D93" t="s">
        <v>175</v>
      </c>
    </row>
    <row r="94" spans="2:4" ht="15">
      <c r="B94">
        <v>92</v>
      </c>
      <c r="C94" t="s">
        <v>1</v>
      </c>
      <c r="D94" t="s">
        <v>176</v>
      </c>
    </row>
    <row r="95" spans="2:4" ht="15">
      <c r="B95">
        <v>93</v>
      </c>
      <c r="C95" t="s">
        <v>2</v>
      </c>
      <c r="D95" t="s">
        <v>177</v>
      </c>
    </row>
    <row r="96" spans="2:4" ht="15">
      <c r="B96">
        <v>94</v>
      </c>
      <c r="C96" t="s">
        <v>3</v>
      </c>
      <c r="D96" t="s">
        <v>178</v>
      </c>
    </row>
    <row r="97" spans="2:4" ht="15">
      <c r="B97">
        <v>95</v>
      </c>
      <c r="C97" t="s">
        <v>4</v>
      </c>
      <c r="D97" t="s">
        <v>179</v>
      </c>
    </row>
    <row r="98" spans="2:4" ht="15">
      <c r="B98">
        <v>96</v>
      </c>
      <c r="C98" s="233" t="s">
        <v>180</v>
      </c>
      <c r="D98" s="233" t="s">
        <v>181</v>
      </c>
    </row>
    <row r="99" spans="2:4" ht="15">
      <c r="B99">
        <v>97</v>
      </c>
      <c r="C99" s="233" t="s">
        <v>182</v>
      </c>
      <c r="D99" s="233" t="s">
        <v>183</v>
      </c>
    </row>
    <row r="100" spans="2:4" ht="15">
      <c r="B100">
        <v>98</v>
      </c>
      <c r="C100" s="233" t="s">
        <v>184</v>
      </c>
      <c r="D100" s="233" t="s">
        <v>185</v>
      </c>
    </row>
    <row r="101" spans="2:4" ht="15">
      <c r="B101">
        <v>99</v>
      </c>
      <c r="C101" s="233" t="s">
        <v>186</v>
      </c>
      <c r="D101" t="s">
        <v>187</v>
      </c>
    </row>
    <row r="102" spans="2:4" ht="15">
      <c r="B102">
        <v>100</v>
      </c>
      <c r="C102" s="233" t="s">
        <v>354</v>
      </c>
      <c r="D102" t="s">
        <v>355</v>
      </c>
    </row>
    <row r="103" spans="2:4" ht="15">
      <c r="B103">
        <v>101</v>
      </c>
      <c r="C103" t="s">
        <v>188</v>
      </c>
      <c r="D103" t="s">
        <v>189</v>
      </c>
    </row>
    <row r="104" spans="2:4" ht="15" customHeight="1">
      <c r="B104">
        <v>102</v>
      </c>
      <c r="C104" t="s">
        <v>190</v>
      </c>
      <c r="D104" t="s">
        <v>191</v>
      </c>
    </row>
    <row r="105" spans="2:4" ht="15">
      <c r="B105">
        <v>103</v>
      </c>
      <c r="C105" t="s">
        <v>192</v>
      </c>
      <c r="D105" t="s">
        <v>193</v>
      </c>
    </row>
    <row r="106" spans="2:4" ht="15">
      <c r="B106">
        <v>104</v>
      </c>
      <c r="C106" t="s">
        <v>194</v>
      </c>
      <c r="D106" t="s">
        <v>195</v>
      </c>
    </row>
    <row r="107" spans="2:4" ht="15">
      <c r="B107">
        <v>105</v>
      </c>
      <c r="C107" s="211" t="s">
        <v>196</v>
      </c>
      <c r="D107" t="s">
        <v>197</v>
      </c>
    </row>
    <row r="108" spans="2:4" ht="15">
      <c r="B108">
        <v>106</v>
      </c>
      <c r="C108" s="211" t="s">
        <v>198</v>
      </c>
      <c r="D108" t="s">
        <v>199</v>
      </c>
    </row>
    <row r="109" spans="2:4" ht="15">
      <c r="B109">
        <v>107</v>
      </c>
      <c r="C109" t="s">
        <v>200</v>
      </c>
      <c r="D109" t="s">
        <v>201</v>
      </c>
    </row>
    <row r="110" spans="2:4" ht="15">
      <c r="B110">
        <v>108</v>
      </c>
      <c r="C110" s="211" t="s">
        <v>202</v>
      </c>
      <c r="D110" t="s">
        <v>203</v>
      </c>
    </row>
    <row r="111" spans="2:4" ht="15">
      <c r="B111">
        <v>109</v>
      </c>
      <c r="C111" s="211" t="s">
        <v>204</v>
      </c>
      <c r="D111" t="s">
        <v>205</v>
      </c>
    </row>
    <row r="112" spans="2:4" ht="15">
      <c r="B112">
        <v>110</v>
      </c>
      <c r="C112" s="211" t="s">
        <v>206</v>
      </c>
      <c r="D112" t="s">
        <v>207</v>
      </c>
    </row>
    <row r="113" spans="2:4" ht="15">
      <c r="B113">
        <v>111</v>
      </c>
      <c r="C113" s="211" t="s">
        <v>10</v>
      </c>
      <c r="D113" t="s">
        <v>208</v>
      </c>
    </row>
    <row r="114" spans="2:4" ht="15">
      <c r="B114">
        <v>112</v>
      </c>
      <c r="C114" s="213" t="s">
        <v>209</v>
      </c>
      <c r="D114" t="s">
        <v>210</v>
      </c>
    </row>
    <row r="115" spans="2:4" ht="15">
      <c r="B115">
        <v>113</v>
      </c>
      <c r="C115" s="213" t="s">
        <v>59</v>
      </c>
      <c r="D115" t="s">
        <v>60</v>
      </c>
    </row>
    <row r="116" spans="2:4" ht="15">
      <c r="B116">
        <v>114</v>
      </c>
      <c r="C116" s="211" t="s">
        <v>211</v>
      </c>
      <c r="D116" t="s">
        <v>212</v>
      </c>
    </row>
    <row r="117" spans="2:4" ht="15">
      <c r="B117">
        <v>115</v>
      </c>
      <c r="C117" s="211" t="s">
        <v>213</v>
      </c>
      <c r="D117" t="s">
        <v>214</v>
      </c>
    </row>
    <row r="118" spans="2:4" ht="15">
      <c r="B118">
        <v>116</v>
      </c>
      <c r="C118" s="211" t="s">
        <v>215</v>
      </c>
      <c r="D118" t="s">
        <v>216</v>
      </c>
    </row>
    <row r="119" spans="2:4" ht="15.75">
      <c r="B119">
        <v>117</v>
      </c>
      <c r="C119" s="230"/>
      <c r="D119" s="59"/>
    </row>
    <row r="120" spans="2:4" ht="15.75">
      <c r="B120">
        <v>118</v>
      </c>
      <c r="C120" s="206" t="s">
        <v>217</v>
      </c>
      <c r="D120" t="s">
        <v>218</v>
      </c>
    </row>
    <row r="121" spans="2:3" ht="15">
      <c r="B121">
        <v>119</v>
      </c>
      <c r="C121" s="223" t="s">
        <v>219</v>
      </c>
    </row>
    <row r="122" spans="2:4" ht="18">
      <c r="B122">
        <v>120</v>
      </c>
      <c r="C122" s="202" t="s">
        <v>61</v>
      </c>
      <c r="D122" t="s">
        <v>62</v>
      </c>
    </row>
    <row r="123" spans="2:4" ht="15">
      <c r="B123">
        <v>121</v>
      </c>
      <c r="C123" t="s">
        <v>220</v>
      </c>
      <c r="D123" t="s">
        <v>221</v>
      </c>
    </row>
    <row r="124" spans="2:4" ht="15">
      <c r="B124">
        <v>122</v>
      </c>
      <c r="C124" t="s">
        <v>222</v>
      </c>
      <c r="D124" t="s">
        <v>221</v>
      </c>
    </row>
    <row r="125" spans="2:4" ht="15">
      <c r="B125">
        <v>123</v>
      </c>
      <c r="C125" t="s">
        <v>223</v>
      </c>
      <c r="D125" t="s">
        <v>224</v>
      </c>
    </row>
    <row r="126" spans="2:4" ht="15">
      <c r="B126">
        <v>124</v>
      </c>
      <c r="C126" t="s">
        <v>225</v>
      </c>
      <c r="D126" t="s">
        <v>226</v>
      </c>
    </row>
    <row r="127" spans="2:4" ht="15">
      <c r="B127">
        <v>125</v>
      </c>
      <c r="C127" t="s">
        <v>227</v>
      </c>
      <c r="D127" t="s">
        <v>228</v>
      </c>
    </row>
    <row r="128" spans="2:4" ht="15">
      <c r="B128">
        <v>126</v>
      </c>
      <c r="C128" t="s">
        <v>229</v>
      </c>
      <c r="D128" t="s">
        <v>229</v>
      </c>
    </row>
    <row r="129" spans="2:4" ht="15">
      <c r="B129">
        <v>127</v>
      </c>
      <c r="C129" t="s">
        <v>230</v>
      </c>
      <c r="D129" t="s">
        <v>230</v>
      </c>
    </row>
    <row r="130" spans="2:4" ht="15">
      <c r="B130">
        <v>128</v>
      </c>
      <c r="C130" t="s">
        <v>231</v>
      </c>
      <c r="D130" t="s">
        <v>231</v>
      </c>
    </row>
    <row r="131" spans="2:4" ht="15">
      <c r="B131">
        <v>129</v>
      </c>
      <c r="C131" t="s">
        <v>232</v>
      </c>
      <c r="D131" t="s">
        <v>232</v>
      </c>
    </row>
    <row r="132" spans="2:4" ht="15">
      <c r="B132">
        <v>130</v>
      </c>
      <c r="C132" t="s">
        <v>233</v>
      </c>
      <c r="D132" t="s">
        <v>233</v>
      </c>
    </row>
    <row r="133" spans="2:4" ht="15">
      <c r="B133">
        <v>131</v>
      </c>
      <c r="C133" s="43" t="s">
        <v>234</v>
      </c>
      <c r="D133" t="s">
        <v>235</v>
      </c>
    </row>
    <row r="134" spans="2:4" ht="15">
      <c r="B134">
        <v>132</v>
      </c>
      <c r="C134" s="43" t="s">
        <v>236</v>
      </c>
      <c r="D134" t="s">
        <v>237</v>
      </c>
    </row>
    <row r="135" spans="2:4" ht="15">
      <c r="B135">
        <v>133</v>
      </c>
      <c r="C135" s="43" t="s">
        <v>238</v>
      </c>
      <c r="D135" t="s">
        <v>239</v>
      </c>
    </row>
    <row r="136" spans="2:4" ht="15">
      <c r="B136">
        <v>134</v>
      </c>
      <c r="C136" s="43" t="s">
        <v>240</v>
      </c>
      <c r="D136" t="s">
        <v>241</v>
      </c>
    </row>
    <row r="137" spans="2:4" ht="15">
      <c r="B137">
        <v>135</v>
      </c>
      <c r="C137" s="43" t="s">
        <v>109</v>
      </c>
      <c r="D137" t="s">
        <v>110</v>
      </c>
    </row>
    <row r="138" spans="2:4" ht="15">
      <c r="B138">
        <v>136</v>
      </c>
      <c r="C138" s="43" t="s">
        <v>242</v>
      </c>
      <c r="D138" t="s">
        <v>243</v>
      </c>
    </row>
    <row r="139" spans="2:4" ht="15">
      <c r="B139">
        <v>137</v>
      </c>
      <c r="C139" s="43" t="s">
        <v>244</v>
      </c>
      <c r="D139" t="s">
        <v>245</v>
      </c>
    </row>
    <row r="140" spans="2:4" ht="15">
      <c r="B140">
        <v>138</v>
      </c>
      <c r="C140" s="43" t="s">
        <v>246</v>
      </c>
      <c r="D140" t="s">
        <v>247</v>
      </c>
    </row>
    <row r="141" spans="2:4" ht="15">
      <c r="B141">
        <v>139</v>
      </c>
      <c r="C141" s="43" t="s">
        <v>248</v>
      </c>
      <c r="D141" t="s">
        <v>249</v>
      </c>
    </row>
    <row r="142" spans="2:4" ht="15">
      <c r="B142">
        <v>140</v>
      </c>
      <c r="C142" s="43" t="s">
        <v>250</v>
      </c>
      <c r="D142" t="s">
        <v>251</v>
      </c>
    </row>
    <row r="143" spans="2:4" ht="15">
      <c r="B143">
        <v>141</v>
      </c>
      <c r="C143" s="43" t="s">
        <v>252</v>
      </c>
      <c r="D143" s="59" t="s">
        <v>253</v>
      </c>
    </row>
    <row r="144" spans="2:4" ht="15">
      <c r="B144">
        <v>142</v>
      </c>
      <c r="C144" s="59" t="s">
        <v>254</v>
      </c>
      <c r="D144" s="59" t="s">
        <v>255</v>
      </c>
    </row>
    <row r="145" spans="2:4" ht="15">
      <c r="B145">
        <v>143</v>
      </c>
      <c r="C145" s="59" t="s">
        <v>256</v>
      </c>
      <c r="D145" t="s">
        <v>257</v>
      </c>
    </row>
    <row r="146" spans="2:4" ht="15">
      <c r="B146">
        <v>144</v>
      </c>
      <c r="C146" s="43" t="s">
        <v>258</v>
      </c>
      <c r="D146" t="s">
        <v>259</v>
      </c>
    </row>
    <row r="147" spans="2:4" ht="15">
      <c r="B147">
        <v>145</v>
      </c>
      <c r="C147" s="43" t="s">
        <v>260</v>
      </c>
      <c r="D147" t="s">
        <v>261</v>
      </c>
    </row>
    <row r="148" spans="2:4" ht="15">
      <c r="B148">
        <v>146</v>
      </c>
      <c r="C148" s="102" t="s">
        <v>262</v>
      </c>
      <c r="D148" t="s">
        <v>263</v>
      </c>
    </row>
    <row r="149" spans="2:4" ht="15">
      <c r="B149">
        <v>147</v>
      </c>
      <c r="C149" s="59" t="s">
        <v>264</v>
      </c>
      <c r="D149" t="s">
        <v>100</v>
      </c>
    </row>
    <row r="150" spans="2:4" ht="15">
      <c r="B150">
        <v>148</v>
      </c>
      <c r="C150" s="59" t="s">
        <v>265</v>
      </c>
      <c r="D150" t="s">
        <v>266</v>
      </c>
    </row>
    <row r="151" spans="2:4" ht="15">
      <c r="B151">
        <v>149</v>
      </c>
      <c r="C151" s="59" t="s">
        <v>267</v>
      </c>
      <c r="D151" t="s">
        <v>268</v>
      </c>
    </row>
    <row r="152" spans="2:4" ht="15">
      <c r="B152">
        <v>150</v>
      </c>
      <c r="C152" s="102" t="s">
        <v>269</v>
      </c>
      <c r="D152" t="s">
        <v>270</v>
      </c>
    </row>
    <row r="153" spans="2:4" ht="15">
      <c r="B153">
        <v>151</v>
      </c>
      <c r="C153" s="47" t="s">
        <v>271</v>
      </c>
      <c r="D153" t="s">
        <v>272</v>
      </c>
    </row>
    <row r="154" spans="2:4" ht="15">
      <c r="B154">
        <v>152</v>
      </c>
      <c r="C154" s="59" t="s">
        <v>273</v>
      </c>
      <c r="D154" t="s">
        <v>274</v>
      </c>
    </row>
    <row r="155" spans="2:4" ht="15">
      <c r="B155">
        <v>153</v>
      </c>
      <c r="C155" s="59" t="s">
        <v>275</v>
      </c>
      <c r="D155" t="s">
        <v>276</v>
      </c>
    </row>
    <row r="156" spans="2:4" ht="15">
      <c r="B156">
        <v>154</v>
      </c>
      <c r="C156" s="59" t="s">
        <v>277</v>
      </c>
      <c r="D156" t="s">
        <v>278</v>
      </c>
    </row>
    <row r="157" spans="2:4" ht="15">
      <c r="B157">
        <v>155</v>
      </c>
      <c r="C157" s="59" t="s">
        <v>279</v>
      </c>
      <c r="D157" t="s">
        <v>280</v>
      </c>
    </row>
    <row r="158" spans="2:4" ht="15">
      <c r="B158">
        <v>156</v>
      </c>
      <c r="C158" s="59" t="s">
        <v>281</v>
      </c>
      <c r="D158" t="s">
        <v>282</v>
      </c>
    </row>
    <row r="159" spans="2:4" ht="15">
      <c r="B159">
        <v>157</v>
      </c>
      <c r="C159" s="59" t="s">
        <v>283</v>
      </c>
      <c r="D159" t="s">
        <v>284</v>
      </c>
    </row>
    <row r="160" spans="2:4" ht="15">
      <c r="B160">
        <v>158</v>
      </c>
      <c r="C160" s="59" t="s">
        <v>285</v>
      </c>
      <c r="D160" t="s">
        <v>286</v>
      </c>
    </row>
    <row r="161" spans="2:4" ht="15">
      <c r="B161">
        <v>159</v>
      </c>
      <c r="C161" s="114" t="s">
        <v>287</v>
      </c>
      <c r="D161" t="s">
        <v>288</v>
      </c>
    </row>
    <row r="162" spans="2:4" ht="15">
      <c r="B162">
        <v>160</v>
      </c>
      <c r="C162" s="114" t="s">
        <v>289</v>
      </c>
      <c r="D162" t="s">
        <v>290</v>
      </c>
    </row>
    <row r="163" spans="2:4" ht="15">
      <c r="B163">
        <v>161</v>
      </c>
      <c r="C163" s="59" t="s">
        <v>53</v>
      </c>
      <c r="D163" t="s">
        <v>54</v>
      </c>
    </row>
    <row r="164" spans="2:4" ht="15">
      <c r="B164">
        <v>162</v>
      </c>
      <c r="C164" s="59" t="s">
        <v>291</v>
      </c>
      <c r="D164" t="s">
        <v>292</v>
      </c>
    </row>
    <row r="165" spans="2:5" ht="15">
      <c r="B165">
        <v>163</v>
      </c>
      <c r="C165" s="59" t="s">
        <v>293</v>
      </c>
      <c r="D165" t="s">
        <v>294</v>
      </c>
      <c r="E165" s="234"/>
    </row>
    <row r="166" spans="2:4" ht="15">
      <c r="B166">
        <v>164</v>
      </c>
      <c r="C166" t="s">
        <v>295</v>
      </c>
      <c r="D166" t="s">
        <v>296</v>
      </c>
    </row>
    <row r="167" spans="2:4" ht="15.75">
      <c r="B167">
        <v>165</v>
      </c>
      <c r="C167" s="235" t="s">
        <v>297</v>
      </c>
      <c r="D167" t="s">
        <v>298</v>
      </c>
    </row>
    <row r="168" spans="2:4" ht="15">
      <c r="B168">
        <v>166</v>
      </c>
      <c r="C168" s="160" t="s">
        <v>291</v>
      </c>
      <c r="D168" t="s">
        <v>292</v>
      </c>
    </row>
    <row r="169" spans="2:4" ht="15">
      <c r="B169">
        <v>167</v>
      </c>
      <c r="C169" t="s">
        <v>1</v>
      </c>
      <c r="D169" t="s">
        <v>176</v>
      </c>
    </row>
    <row r="170" spans="2:4" ht="15">
      <c r="B170">
        <v>168</v>
      </c>
      <c r="C170" t="s">
        <v>2</v>
      </c>
      <c r="D170" t="s">
        <v>177</v>
      </c>
    </row>
    <row r="171" spans="2:4" ht="15">
      <c r="B171">
        <v>169</v>
      </c>
      <c r="C171" t="s">
        <v>3</v>
      </c>
      <c r="D171" t="s">
        <v>178</v>
      </c>
    </row>
    <row r="172" spans="2:4" ht="15">
      <c r="B172">
        <v>170</v>
      </c>
      <c r="C172" t="s">
        <v>4</v>
      </c>
      <c r="D172" t="s">
        <v>179</v>
      </c>
    </row>
    <row r="173" spans="2:4" ht="15">
      <c r="B173">
        <v>171</v>
      </c>
      <c r="C173" t="s">
        <v>299</v>
      </c>
      <c r="D173" t="s">
        <v>300</v>
      </c>
    </row>
    <row r="174" spans="2:4" ht="15">
      <c r="B174">
        <v>172</v>
      </c>
      <c r="C174" t="s">
        <v>165</v>
      </c>
      <c r="D174" t="s">
        <v>166</v>
      </c>
    </row>
    <row r="175" spans="2:4" ht="15">
      <c r="B175">
        <v>173</v>
      </c>
      <c r="C175" t="s">
        <v>415</v>
      </c>
      <c r="D175" s="182" t="s">
        <v>417</v>
      </c>
    </row>
    <row r="176" spans="2:4" ht="15">
      <c r="B176">
        <v>174</v>
      </c>
      <c r="C176" t="s">
        <v>416</v>
      </c>
      <c r="D176" s="182" t="s">
        <v>414</v>
      </c>
    </row>
    <row r="177" spans="2:4" ht="15">
      <c r="B177">
        <v>175</v>
      </c>
      <c r="C177" s="185" t="s">
        <v>26</v>
      </c>
      <c r="D177" t="s">
        <v>27</v>
      </c>
    </row>
    <row r="178" spans="2:4" ht="15">
      <c r="B178">
        <v>176</v>
      </c>
      <c r="C178" s="185" t="s">
        <v>301</v>
      </c>
      <c r="D178" s="41" t="s">
        <v>302</v>
      </c>
    </row>
    <row r="179" spans="2:4" ht="15">
      <c r="B179">
        <v>177</v>
      </c>
      <c r="C179" s="185" t="s">
        <v>303</v>
      </c>
      <c r="D179" t="s">
        <v>304</v>
      </c>
    </row>
    <row r="180" spans="2:4" ht="15">
      <c r="B180">
        <v>178</v>
      </c>
      <c r="C180" s="185" t="s">
        <v>305</v>
      </c>
      <c r="D180" t="s">
        <v>306</v>
      </c>
    </row>
    <row r="181" spans="2:4" ht="15">
      <c r="B181">
        <v>179</v>
      </c>
      <c r="C181" s="185" t="s">
        <v>307</v>
      </c>
      <c r="D181" t="s">
        <v>308</v>
      </c>
    </row>
    <row r="182" spans="2:4" ht="15">
      <c r="B182">
        <v>180</v>
      </c>
      <c r="C182" s="185" t="s">
        <v>309</v>
      </c>
      <c r="D182" t="s">
        <v>310</v>
      </c>
    </row>
    <row r="183" spans="2:4" ht="15">
      <c r="B183">
        <v>181</v>
      </c>
      <c r="C183" s="185" t="s">
        <v>6</v>
      </c>
      <c r="D183" t="s">
        <v>6</v>
      </c>
    </row>
    <row r="184" spans="2:4" ht="15">
      <c r="B184">
        <v>182</v>
      </c>
      <c r="C184" s="185" t="s">
        <v>8</v>
      </c>
      <c r="D184" t="s">
        <v>8</v>
      </c>
    </row>
    <row r="185" spans="2:4" ht="15">
      <c r="B185">
        <v>183</v>
      </c>
      <c r="C185" s="185" t="s">
        <v>9</v>
      </c>
      <c r="D185" t="s">
        <v>37</v>
      </c>
    </row>
    <row r="186" spans="2:4" ht="15">
      <c r="B186">
        <v>184</v>
      </c>
      <c r="C186" t="s">
        <v>311</v>
      </c>
      <c r="D186" t="s">
        <v>312</v>
      </c>
    </row>
    <row r="187" spans="2:4" ht="15">
      <c r="B187">
        <v>185</v>
      </c>
      <c r="C187" t="s">
        <v>313</v>
      </c>
      <c r="D187" t="s">
        <v>314</v>
      </c>
    </row>
    <row r="188" spans="2:4" ht="15">
      <c r="B188">
        <v>186</v>
      </c>
      <c r="C188" t="s">
        <v>315</v>
      </c>
      <c r="D188" t="s">
        <v>316</v>
      </c>
    </row>
    <row r="189" spans="2:4" ht="15">
      <c r="B189">
        <v>187</v>
      </c>
      <c r="C189" t="s">
        <v>317</v>
      </c>
      <c r="D189" t="s">
        <v>268</v>
      </c>
    </row>
    <row r="190" spans="2:3" ht="15">
      <c r="B190">
        <v>188</v>
      </c>
      <c r="C190" s="211" t="s">
        <v>318</v>
      </c>
    </row>
    <row r="191" spans="2:3" ht="15">
      <c r="B191">
        <v>189</v>
      </c>
      <c r="C191" s="211" t="s">
        <v>319</v>
      </c>
    </row>
    <row r="192" spans="2:3" ht="15">
      <c r="B192">
        <v>190</v>
      </c>
      <c r="C192" s="211" t="s">
        <v>320</v>
      </c>
    </row>
    <row r="193" spans="2:4" ht="15">
      <c r="B193">
        <v>191</v>
      </c>
      <c r="C193" s="211" t="s">
        <v>202</v>
      </c>
      <c r="D193" t="s">
        <v>203</v>
      </c>
    </row>
    <row r="194" spans="2:3" ht="15">
      <c r="B194">
        <v>192</v>
      </c>
      <c r="C194" s="211" t="s">
        <v>204</v>
      </c>
    </row>
    <row r="195" spans="2:3" ht="15">
      <c r="B195">
        <v>193</v>
      </c>
      <c r="C195" s="211" t="s">
        <v>10</v>
      </c>
    </row>
    <row r="196" spans="2:3" ht="15">
      <c r="B196">
        <v>194</v>
      </c>
      <c r="C196" s="213" t="s">
        <v>209</v>
      </c>
    </row>
    <row r="197" spans="2:3" ht="15">
      <c r="B197">
        <v>195</v>
      </c>
      <c r="C197" s="211" t="s">
        <v>321</v>
      </c>
    </row>
    <row r="198" spans="2:3" ht="15">
      <c r="B198">
        <v>196</v>
      </c>
      <c r="C198" s="211" t="s">
        <v>322</v>
      </c>
    </row>
    <row r="199" spans="2:3" ht="15">
      <c r="B199">
        <v>197</v>
      </c>
      <c r="C199" s="211" t="s">
        <v>206</v>
      </c>
    </row>
    <row r="200" spans="2:3" ht="15">
      <c r="B200">
        <v>198</v>
      </c>
      <c r="C200" s="211" t="s">
        <v>198</v>
      </c>
    </row>
    <row r="201" spans="2:3" ht="15">
      <c r="B201">
        <v>199</v>
      </c>
      <c r="C201" s="211" t="s">
        <v>323</v>
      </c>
    </row>
    <row r="202" spans="2:3" ht="15">
      <c r="B202">
        <v>200</v>
      </c>
      <c r="C202" s="211" t="s">
        <v>196</v>
      </c>
    </row>
    <row r="203" spans="2:3" ht="15">
      <c r="B203">
        <v>201</v>
      </c>
      <c r="C203" s="211" t="s">
        <v>324</v>
      </c>
    </row>
    <row r="204" spans="2:3" ht="15">
      <c r="B204">
        <v>202</v>
      </c>
      <c r="C204" s="213" t="s">
        <v>325</v>
      </c>
    </row>
    <row r="205" spans="2:4" ht="15">
      <c r="B205">
        <v>203</v>
      </c>
      <c r="C205" s="211" t="s">
        <v>326</v>
      </c>
      <c r="D205" t="s">
        <v>327</v>
      </c>
    </row>
    <row r="206" spans="2:4" ht="15">
      <c r="B206">
        <v>204</v>
      </c>
      <c r="C206" s="211" t="s">
        <v>328</v>
      </c>
      <c r="D206" t="s">
        <v>328</v>
      </c>
    </row>
    <row r="207" spans="2:4" ht="15">
      <c r="B207">
        <v>205</v>
      </c>
      <c r="C207" s="211" t="s">
        <v>329</v>
      </c>
      <c r="D207" s="211" t="s">
        <v>330</v>
      </c>
    </row>
    <row r="208" spans="2:4" ht="15">
      <c r="B208">
        <v>206</v>
      </c>
      <c r="C208" t="s">
        <v>522</v>
      </c>
      <c r="D208" t="s">
        <v>523</v>
      </c>
    </row>
    <row r="209" spans="2:4" ht="15">
      <c r="B209">
        <v>207</v>
      </c>
      <c r="C209" t="s">
        <v>331</v>
      </c>
      <c r="D209" t="s">
        <v>332</v>
      </c>
    </row>
    <row r="210" spans="2:4" ht="15">
      <c r="B210">
        <v>208</v>
      </c>
      <c r="C210" s="211" t="s">
        <v>333</v>
      </c>
      <c r="D210" t="s">
        <v>334</v>
      </c>
    </row>
    <row r="211" spans="2:4" ht="15">
      <c r="B211">
        <v>209</v>
      </c>
      <c r="C211" s="211" t="s">
        <v>196</v>
      </c>
      <c r="D211" t="s">
        <v>197</v>
      </c>
    </row>
    <row r="212" spans="2:4" ht="15">
      <c r="B212">
        <v>210</v>
      </c>
      <c r="C212" s="211" t="s">
        <v>335</v>
      </c>
      <c r="D212" t="s">
        <v>336</v>
      </c>
    </row>
    <row r="213" spans="2:4" ht="15">
      <c r="B213">
        <v>211</v>
      </c>
      <c r="C213" s="211" t="s">
        <v>337</v>
      </c>
      <c r="D213" t="s">
        <v>361</v>
      </c>
    </row>
    <row r="214" spans="2:4" ht="15">
      <c r="B214">
        <v>212</v>
      </c>
      <c r="C214" s="211" t="s">
        <v>338</v>
      </c>
      <c r="D214" t="s">
        <v>339</v>
      </c>
    </row>
    <row r="215" spans="2:4" ht="15">
      <c r="B215">
        <v>213</v>
      </c>
      <c r="C215" s="211" t="s">
        <v>340</v>
      </c>
      <c r="D215" t="s">
        <v>341</v>
      </c>
    </row>
    <row r="216" spans="2:4" ht="15">
      <c r="B216">
        <v>214</v>
      </c>
      <c r="C216" s="211" t="s">
        <v>202</v>
      </c>
      <c r="D216" t="s">
        <v>203</v>
      </c>
    </row>
    <row r="217" spans="2:4" ht="15">
      <c r="B217">
        <v>215</v>
      </c>
      <c r="C217" s="211" t="s">
        <v>10</v>
      </c>
      <c r="D217" t="s">
        <v>342</v>
      </c>
    </row>
    <row r="218" spans="2:4" ht="15">
      <c r="B218">
        <v>216</v>
      </c>
      <c r="C218" s="211" t="s">
        <v>324</v>
      </c>
      <c r="D218" t="s">
        <v>343</v>
      </c>
    </row>
    <row r="219" spans="2:4" ht="15">
      <c r="B219">
        <v>217</v>
      </c>
      <c r="C219" s="211" t="s">
        <v>344</v>
      </c>
      <c r="D219" t="s">
        <v>327</v>
      </c>
    </row>
    <row r="220" spans="2:8" ht="15" customHeight="1">
      <c r="B220">
        <v>218</v>
      </c>
      <c r="C220" s="211" t="s">
        <v>345</v>
      </c>
      <c r="D220" s="211" t="s">
        <v>346</v>
      </c>
      <c r="E220" s="211"/>
      <c r="F220" s="211"/>
      <c r="G220" s="211"/>
      <c r="H220" s="211"/>
    </row>
    <row r="221" spans="2:4" ht="15" customHeight="1">
      <c r="B221">
        <v>219</v>
      </c>
      <c r="C221" t="s">
        <v>393</v>
      </c>
      <c r="D221" t="s">
        <v>347</v>
      </c>
    </row>
    <row r="222" spans="2:4" ht="15">
      <c r="B222">
        <v>220</v>
      </c>
      <c r="C222" t="s">
        <v>348</v>
      </c>
      <c r="D222" t="s">
        <v>349</v>
      </c>
    </row>
    <row r="223" spans="2:4" ht="15">
      <c r="B223">
        <v>221</v>
      </c>
      <c r="C223" t="s">
        <v>350</v>
      </c>
      <c r="D223" t="s">
        <v>351</v>
      </c>
    </row>
    <row r="224" spans="2:4" ht="15">
      <c r="B224">
        <v>222</v>
      </c>
      <c r="C224" t="s">
        <v>358</v>
      </c>
      <c r="D224" t="s">
        <v>358</v>
      </c>
    </row>
    <row r="225" spans="2:4" ht="15">
      <c r="B225">
        <v>223</v>
      </c>
      <c r="C225" t="s">
        <v>356</v>
      </c>
      <c r="D225" t="s">
        <v>357</v>
      </c>
    </row>
    <row r="226" spans="2:4" ht="15">
      <c r="B226">
        <v>224</v>
      </c>
      <c r="C226" t="s">
        <v>359</v>
      </c>
      <c r="D226" t="s">
        <v>360</v>
      </c>
    </row>
    <row r="227" spans="2:4" ht="15">
      <c r="B227">
        <v>225</v>
      </c>
      <c r="C227" t="s">
        <v>352</v>
      </c>
      <c r="D227" t="s">
        <v>353</v>
      </c>
    </row>
    <row r="228" spans="2:4" ht="15">
      <c r="B228">
        <v>226</v>
      </c>
      <c r="C228" t="s">
        <v>362</v>
      </c>
      <c r="D228" t="s">
        <v>363</v>
      </c>
    </row>
    <row r="229" spans="2:4" ht="15">
      <c r="B229">
        <v>227</v>
      </c>
      <c r="C229" s="233" t="s">
        <v>354</v>
      </c>
      <c r="D229" t="s">
        <v>355</v>
      </c>
    </row>
    <row r="230" spans="2:4" ht="15">
      <c r="B230">
        <v>228</v>
      </c>
      <c r="C230" t="s">
        <v>392</v>
      </c>
      <c r="D230" t="s">
        <v>364</v>
      </c>
    </row>
    <row r="231" spans="2:4" ht="15">
      <c r="B231">
        <v>229</v>
      </c>
      <c r="C231" t="s">
        <v>365</v>
      </c>
      <c r="D231" t="s">
        <v>366</v>
      </c>
    </row>
    <row r="232" spans="2:4" ht="15">
      <c r="B232">
        <v>230</v>
      </c>
      <c r="C232" s="213" t="s">
        <v>15</v>
      </c>
      <c r="D232" t="s">
        <v>16</v>
      </c>
    </row>
    <row r="233" spans="2:4" ht="15">
      <c r="B233">
        <v>231</v>
      </c>
      <c r="C233" s="211" t="s">
        <v>367</v>
      </c>
      <c r="D233" t="s">
        <v>368</v>
      </c>
    </row>
    <row r="234" spans="2:4" ht="15">
      <c r="B234">
        <v>232</v>
      </c>
      <c r="C234" s="211" t="s">
        <v>24</v>
      </c>
      <c r="D234" t="s">
        <v>25</v>
      </c>
    </row>
    <row r="235" spans="2:4" ht="15">
      <c r="B235">
        <v>233</v>
      </c>
      <c r="C235" s="211" t="s">
        <v>369</v>
      </c>
      <c r="D235" t="s">
        <v>370</v>
      </c>
    </row>
    <row r="236" spans="2:4" ht="15">
      <c r="B236">
        <v>234</v>
      </c>
      <c r="C236" s="211" t="s">
        <v>371</v>
      </c>
      <c r="D236" t="s">
        <v>372</v>
      </c>
    </row>
    <row r="237" spans="2:4" ht="15">
      <c r="B237">
        <v>235</v>
      </c>
      <c r="C237" s="211" t="s">
        <v>30</v>
      </c>
      <c r="D237" t="s">
        <v>30</v>
      </c>
    </row>
    <row r="238" spans="2:4" ht="15">
      <c r="B238">
        <v>236</v>
      </c>
      <c r="C238" s="211" t="s">
        <v>373</v>
      </c>
      <c r="D238" t="s">
        <v>374</v>
      </c>
    </row>
    <row r="239" spans="2:4" ht="15">
      <c r="B239">
        <v>237</v>
      </c>
      <c r="C239" s="211" t="s">
        <v>32</v>
      </c>
      <c r="D239" t="s">
        <v>32</v>
      </c>
    </row>
    <row r="240" spans="2:4" ht="15">
      <c r="B240">
        <v>238</v>
      </c>
      <c r="C240" s="211" t="s">
        <v>375</v>
      </c>
      <c r="D240" t="s">
        <v>36</v>
      </c>
    </row>
    <row r="241" spans="2:4" ht="15">
      <c r="B241">
        <v>239</v>
      </c>
      <c r="C241" s="211" t="s">
        <v>376</v>
      </c>
      <c r="D241" t="s">
        <v>377</v>
      </c>
    </row>
    <row r="242" spans="2:4" ht="15">
      <c r="B242">
        <v>240</v>
      </c>
      <c r="C242" s="211" t="s">
        <v>378</v>
      </c>
      <c r="D242" t="s">
        <v>379</v>
      </c>
    </row>
    <row r="243" spans="2:4" ht="15">
      <c r="B243">
        <v>241</v>
      </c>
      <c r="C243" s="211" t="s">
        <v>380</v>
      </c>
      <c r="D243" t="s">
        <v>381</v>
      </c>
    </row>
    <row r="244" spans="2:4" ht="15">
      <c r="B244">
        <v>242</v>
      </c>
      <c r="C244" s="211" t="s">
        <v>382</v>
      </c>
      <c r="D244" t="s">
        <v>383</v>
      </c>
    </row>
    <row r="245" spans="2:4" ht="15">
      <c r="B245">
        <v>243</v>
      </c>
      <c r="C245" t="s">
        <v>384</v>
      </c>
      <c r="D245" t="s">
        <v>385</v>
      </c>
    </row>
    <row r="246" spans="2:4" ht="15">
      <c r="B246">
        <v>244</v>
      </c>
      <c r="C246" t="s">
        <v>386</v>
      </c>
      <c r="D246" t="s">
        <v>387</v>
      </c>
    </row>
    <row r="247" spans="2:4" ht="15.75">
      <c r="B247">
        <v>245</v>
      </c>
      <c r="C247" s="230" t="s">
        <v>388</v>
      </c>
      <c r="D247" s="230" t="s">
        <v>389</v>
      </c>
    </row>
    <row r="248" spans="2:4" ht="15">
      <c r="B248">
        <v>246</v>
      </c>
      <c r="C248" s="211" t="s">
        <v>390</v>
      </c>
      <c r="D248" t="s">
        <v>390</v>
      </c>
    </row>
    <row r="249" spans="2:4" ht="15">
      <c r="B249">
        <v>247</v>
      </c>
      <c r="C249" t="s">
        <v>394</v>
      </c>
      <c r="D249" t="s">
        <v>395</v>
      </c>
    </row>
    <row r="250" spans="2:4" ht="15">
      <c r="B250">
        <v>248</v>
      </c>
      <c r="C250" t="s">
        <v>396</v>
      </c>
      <c r="D250" t="s">
        <v>397</v>
      </c>
    </row>
    <row r="251" spans="2:4" ht="15">
      <c r="B251">
        <v>249</v>
      </c>
      <c r="C251" t="s">
        <v>398</v>
      </c>
      <c r="D251" t="s">
        <v>399</v>
      </c>
    </row>
    <row r="252" spans="2:4" ht="15">
      <c r="B252">
        <v>250</v>
      </c>
      <c r="C252" t="s">
        <v>400</v>
      </c>
      <c r="D252" t="s">
        <v>401</v>
      </c>
    </row>
    <row r="253" spans="2:4" ht="15">
      <c r="B253">
        <v>251</v>
      </c>
      <c r="C253" t="s">
        <v>402</v>
      </c>
      <c r="D253" t="s">
        <v>403</v>
      </c>
    </row>
    <row r="254" spans="2:4" ht="15">
      <c r="B254">
        <v>252</v>
      </c>
      <c r="C254" t="s">
        <v>404</v>
      </c>
      <c r="D254" t="s">
        <v>405</v>
      </c>
    </row>
    <row r="255" spans="2:4" ht="15">
      <c r="B255">
        <v>253</v>
      </c>
      <c r="C255" t="s">
        <v>406</v>
      </c>
      <c r="D255" t="s">
        <v>407</v>
      </c>
    </row>
    <row r="256" spans="2:4" ht="15">
      <c r="B256">
        <v>254</v>
      </c>
      <c r="C256" t="s">
        <v>408</v>
      </c>
      <c r="D256" t="s">
        <v>409</v>
      </c>
    </row>
    <row r="257" spans="2:4" ht="15">
      <c r="B257">
        <v>255</v>
      </c>
      <c r="C257" t="s">
        <v>422</v>
      </c>
      <c r="D257" t="s">
        <v>410</v>
      </c>
    </row>
    <row r="258" spans="2:4" ht="15">
      <c r="B258">
        <v>256</v>
      </c>
      <c r="C258" t="s">
        <v>548</v>
      </c>
      <c r="D258" t="s">
        <v>549</v>
      </c>
    </row>
    <row r="259" spans="2:4" ht="15">
      <c r="B259">
        <v>257</v>
      </c>
      <c r="C259" t="s">
        <v>421</v>
      </c>
      <c r="D259" t="s">
        <v>423</v>
      </c>
    </row>
    <row r="260" spans="2:4" ht="15">
      <c r="B260">
        <v>258</v>
      </c>
      <c r="C260" t="s">
        <v>418</v>
      </c>
      <c r="D260" t="s">
        <v>419</v>
      </c>
    </row>
    <row r="261" spans="2:4" ht="15">
      <c r="B261">
        <v>259</v>
      </c>
      <c r="C261" t="s">
        <v>424</v>
      </c>
      <c r="D261" t="s">
        <v>425</v>
      </c>
    </row>
    <row r="262" spans="2:4" ht="15">
      <c r="B262">
        <v>260</v>
      </c>
      <c r="C262" t="s">
        <v>426</v>
      </c>
      <c r="D262" t="s">
        <v>427</v>
      </c>
    </row>
    <row r="263" spans="2:4" ht="15">
      <c r="B263">
        <v>261</v>
      </c>
      <c r="C263" t="s">
        <v>428</v>
      </c>
      <c r="D263" t="s">
        <v>429</v>
      </c>
    </row>
    <row r="264" spans="2:4" ht="15">
      <c r="B264">
        <v>262</v>
      </c>
      <c r="C264" t="s">
        <v>430</v>
      </c>
      <c r="D264" t="s">
        <v>431</v>
      </c>
    </row>
    <row r="265" spans="2:4" ht="15">
      <c r="B265">
        <v>263</v>
      </c>
      <c r="C265" t="s">
        <v>432</v>
      </c>
      <c r="D265" t="s">
        <v>433</v>
      </c>
    </row>
    <row r="266" spans="2:4" ht="15">
      <c r="B266">
        <v>264</v>
      </c>
      <c r="C266" t="s">
        <v>445</v>
      </c>
      <c r="D266" t="s">
        <v>446</v>
      </c>
    </row>
    <row r="267" spans="2:4" ht="15" customHeight="1">
      <c r="B267">
        <v>265</v>
      </c>
      <c r="C267" t="s">
        <v>434</v>
      </c>
      <c r="D267" t="s">
        <v>435</v>
      </c>
    </row>
    <row r="268" spans="2:4" ht="15">
      <c r="B268">
        <v>266</v>
      </c>
      <c r="C268" t="s">
        <v>444</v>
      </c>
      <c r="D268" t="s">
        <v>443</v>
      </c>
    </row>
    <row r="269" spans="2:4" ht="15">
      <c r="B269">
        <v>267</v>
      </c>
      <c r="C269" t="s">
        <v>436</v>
      </c>
      <c r="D269" t="s">
        <v>437</v>
      </c>
    </row>
    <row r="270" spans="2:4" ht="15">
      <c r="B270">
        <v>268</v>
      </c>
      <c r="C270" t="s">
        <v>447</v>
      </c>
      <c r="D270" t="s">
        <v>438</v>
      </c>
    </row>
    <row r="271" spans="2:4" ht="15">
      <c r="B271">
        <v>269</v>
      </c>
      <c r="C271" t="s">
        <v>440</v>
      </c>
      <c r="D271" t="s">
        <v>439</v>
      </c>
    </row>
    <row r="272" spans="2:4" ht="15">
      <c r="B272">
        <v>270</v>
      </c>
      <c r="C272" t="s">
        <v>442</v>
      </c>
      <c r="D272" t="s">
        <v>441</v>
      </c>
    </row>
    <row r="273" spans="2:4" ht="15">
      <c r="B273">
        <v>271</v>
      </c>
      <c r="C273" t="s">
        <v>448</v>
      </c>
      <c r="D273" t="s">
        <v>449</v>
      </c>
    </row>
    <row r="274" spans="2:4" ht="15">
      <c r="B274">
        <v>272</v>
      </c>
      <c r="C274" t="s">
        <v>450</v>
      </c>
      <c r="D274" t="s">
        <v>451</v>
      </c>
    </row>
    <row r="275" spans="2:4" ht="15">
      <c r="B275">
        <v>273</v>
      </c>
      <c r="C275" s="276" t="s">
        <v>452</v>
      </c>
      <c r="D275" s="276" t="s">
        <v>453</v>
      </c>
    </row>
    <row r="276" spans="2:4" ht="15.75">
      <c r="B276">
        <v>274</v>
      </c>
      <c r="C276" s="277" t="s">
        <v>550</v>
      </c>
      <c r="D276" t="s">
        <v>454</v>
      </c>
    </row>
    <row r="277" spans="2:4" ht="15">
      <c r="B277">
        <v>275</v>
      </c>
      <c r="C277" s="277" t="s">
        <v>455</v>
      </c>
      <c r="D277" t="s">
        <v>456</v>
      </c>
    </row>
    <row r="278" spans="2:4" ht="15">
      <c r="B278">
        <v>276</v>
      </c>
      <c r="C278" s="277" t="s">
        <v>457</v>
      </c>
      <c r="D278" t="s">
        <v>458</v>
      </c>
    </row>
    <row r="279" spans="2:4" ht="15">
      <c r="B279">
        <v>277</v>
      </c>
      <c r="C279" s="277" t="s">
        <v>459</v>
      </c>
      <c r="D279" t="s">
        <v>460</v>
      </c>
    </row>
    <row r="280" spans="2:4" ht="15">
      <c r="B280">
        <v>278</v>
      </c>
      <c r="C280" s="277" t="s">
        <v>461</v>
      </c>
      <c r="D280" t="s">
        <v>462</v>
      </c>
    </row>
    <row r="281" spans="2:4" ht="15">
      <c r="B281">
        <v>279</v>
      </c>
      <c r="C281" s="277" t="s">
        <v>463</v>
      </c>
      <c r="D281" t="s">
        <v>464</v>
      </c>
    </row>
    <row r="282" spans="2:4" ht="15.75">
      <c r="B282">
        <v>280</v>
      </c>
      <c r="C282" s="230" t="s">
        <v>465</v>
      </c>
      <c r="D282" s="230" t="s">
        <v>465</v>
      </c>
    </row>
    <row r="283" spans="2:4" ht="15">
      <c r="B283">
        <v>281</v>
      </c>
      <c r="C283" s="277" t="s">
        <v>466</v>
      </c>
      <c r="D283" t="s">
        <v>467</v>
      </c>
    </row>
    <row r="284" spans="2:4" ht="15.75">
      <c r="B284">
        <v>282</v>
      </c>
      <c r="C284" s="230" t="s">
        <v>468</v>
      </c>
      <c r="D284" t="s">
        <v>469</v>
      </c>
    </row>
    <row r="285" spans="2:4" ht="15.75">
      <c r="B285">
        <v>283</v>
      </c>
      <c r="C285" s="230" t="s">
        <v>35</v>
      </c>
      <c r="D285" s="230" t="s">
        <v>524</v>
      </c>
    </row>
    <row r="286" spans="2:4" ht="15.75">
      <c r="B286">
        <v>284</v>
      </c>
      <c r="C286" s="230" t="s">
        <v>470</v>
      </c>
      <c r="D286" t="s">
        <v>471</v>
      </c>
    </row>
    <row r="287" spans="2:4" ht="15.75">
      <c r="B287">
        <v>285</v>
      </c>
      <c r="C287" s="230" t="s">
        <v>472</v>
      </c>
      <c r="D287" s="211" t="s">
        <v>473</v>
      </c>
    </row>
    <row r="288" spans="2:4" ht="15.75">
      <c r="B288">
        <v>286</v>
      </c>
      <c r="C288" s="230" t="s">
        <v>474</v>
      </c>
      <c r="D288" s="211" t="s">
        <v>475</v>
      </c>
    </row>
    <row r="289" spans="2:4" ht="15.75">
      <c r="B289">
        <v>287</v>
      </c>
      <c r="C289" s="230" t="s">
        <v>476</v>
      </c>
      <c r="D289" s="213" t="s">
        <v>477</v>
      </c>
    </row>
    <row r="290" spans="2:4" ht="15.75">
      <c r="B290">
        <v>288</v>
      </c>
      <c r="C290" s="230" t="s">
        <v>478</v>
      </c>
      <c r="D290" s="213" t="s">
        <v>479</v>
      </c>
    </row>
    <row r="291" spans="2:4" ht="15.75">
      <c r="B291">
        <v>289</v>
      </c>
      <c r="C291" s="230" t="s">
        <v>480</v>
      </c>
      <c r="D291" s="211" t="s">
        <v>481</v>
      </c>
    </row>
    <row r="292" spans="2:4" ht="15.75">
      <c r="B292">
        <v>290</v>
      </c>
      <c r="C292" s="230" t="s">
        <v>482</v>
      </c>
      <c r="D292" s="211" t="s">
        <v>483</v>
      </c>
    </row>
    <row r="293" spans="2:4" ht="15.75">
      <c r="B293">
        <v>291</v>
      </c>
      <c r="C293" s="230" t="s">
        <v>484</v>
      </c>
      <c r="D293" s="213" t="s">
        <v>485</v>
      </c>
    </row>
    <row r="294" spans="2:4" ht="15.75">
      <c r="B294">
        <v>292</v>
      </c>
      <c r="C294" s="230" t="s">
        <v>486</v>
      </c>
      <c r="D294" s="211" t="s">
        <v>487</v>
      </c>
    </row>
    <row r="295" spans="2:4" ht="15.75">
      <c r="B295">
        <v>293</v>
      </c>
      <c r="C295" s="230" t="s">
        <v>488</v>
      </c>
      <c r="D295" s="211" t="s">
        <v>489</v>
      </c>
    </row>
    <row r="296" spans="2:4" ht="15.75">
      <c r="B296">
        <v>294</v>
      </c>
      <c r="C296" s="230" t="s">
        <v>490</v>
      </c>
      <c r="D296" s="213" t="s">
        <v>491</v>
      </c>
    </row>
    <row r="297" spans="2:4" ht="15.75">
      <c r="B297">
        <v>295</v>
      </c>
      <c r="C297" s="230" t="s">
        <v>492</v>
      </c>
      <c r="D297" s="230" t="s">
        <v>493</v>
      </c>
    </row>
    <row r="298" spans="2:4" ht="15">
      <c r="B298">
        <v>296</v>
      </c>
      <c r="C298" s="211" t="s">
        <v>494</v>
      </c>
      <c r="D298" t="s">
        <v>495</v>
      </c>
    </row>
    <row r="299" spans="2:11" ht="15">
      <c r="B299">
        <v>297</v>
      </c>
      <c r="C299" t="s">
        <v>528</v>
      </c>
      <c r="D299" t="s">
        <v>529</v>
      </c>
      <c r="E299" s="278"/>
      <c r="F299" s="278"/>
      <c r="G299" s="278"/>
      <c r="H299" s="278"/>
      <c r="I299" s="278"/>
      <c r="J299" s="278"/>
      <c r="K299" s="278"/>
    </row>
    <row r="300" spans="2:4" ht="15">
      <c r="B300">
        <v>298</v>
      </c>
      <c r="C300" t="s">
        <v>502</v>
      </c>
      <c r="D300" t="s">
        <v>503</v>
      </c>
    </row>
    <row r="301" spans="2:4" ht="15.75">
      <c r="B301">
        <v>299</v>
      </c>
      <c r="C301" s="230" t="s">
        <v>496</v>
      </c>
      <c r="D301" t="s">
        <v>497</v>
      </c>
    </row>
    <row r="302" spans="2:4" ht="15.75">
      <c r="B302">
        <v>300</v>
      </c>
      <c r="C302" s="230" t="s">
        <v>498</v>
      </c>
      <c r="D302" s="230" t="s">
        <v>499</v>
      </c>
    </row>
    <row r="303" spans="2:4" ht="15">
      <c r="B303">
        <v>301</v>
      </c>
      <c r="C303" t="s">
        <v>500</v>
      </c>
      <c r="D303" t="s">
        <v>501</v>
      </c>
    </row>
    <row r="304" spans="2:4" ht="15">
      <c r="B304">
        <v>302</v>
      </c>
      <c r="C304" t="s">
        <v>504</v>
      </c>
      <c r="D304" t="s">
        <v>505</v>
      </c>
    </row>
    <row r="305" spans="2:4" ht="15.75">
      <c r="B305">
        <v>303</v>
      </c>
      <c r="C305" s="282" t="s">
        <v>506</v>
      </c>
      <c r="D305" s="282" t="s">
        <v>507</v>
      </c>
    </row>
    <row r="306" spans="2:4" ht="15.75">
      <c r="B306">
        <v>304</v>
      </c>
      <c r="C306" s="277" t="s">
        <v>551</v>
      </c>
      <c r="D306" t="s">
        <v>508</v>
      </c>
    </row>
    <row r="307" spans="2:4" ht="15">
      <c r="B307">
        <v>305</v>
      </c>
      <c r="C307" t="s">
        <v>509</v>
      </c>
      <c r="D307" t="s">
        <v>510</v>
      </c>
    </row>
    <row r="308" spans="2:4" ht="15">
      <c r="B308">
        <v>306</v>
      </c>
      <c r="C308" t="s">
        <v>511</v>
      </c>
      <c r="D308" t="s">
        <v>512</v>
      </c>
    </row>
    <row r="309" spans="2:4" ht="15">
      <c r="B309">
        <v>307</v>
      </c>
      <c r="C309" t="s">
        <v>513</v>
      </c>
      <c r="D309" t="s">
        <v>514</v>
      </c>
    </row>
    <row r="310" spans="2:4" ht="15">
      <c r="B310">
        <v>308</v>
      </c>
      <c r="C310" t="s">
        <v>515</v>
      </c>
      <c r="D310" t="s">
        <v>516</v>
      </c>
    </row>
    <row r="311" spans="2:4" ht="15.75">
      <c r="B311">
        <v>309</v>
      </c>
      <c r="C311" s="277" t="s">
        <v>552</v>
      </c>
      <c r="D311" t="s">
        <v>517</v>
      </c>
    </row>
    <row r="312" spans="2:4" ht="15.75">
      <c r="B312">
        <v>310</v>
      </c>
      <c r="C312" s="277" t="s">
        <v>553</v>
      </c>
      <c r="D312" t="s">
        <v>518</v>
      </c>
    </row>
    <row r="313" spans="2:4" ht="15">
      <c r="B313">
        <v>311</v>
      </c>
      <c r="C313" t="s">
        <v>530</v>
      </c>
      <c r="D313" t="s">
        <v>531</v>
      </c>
    </row>
    <row r="314" spans="2:4" ht="15">
      <c r="B314">
        <v>312</v>
      </c>
      <c r="C314" t="s">
        <v>525</v>
      </c>
      <c r="D314" t="s">
        <v>526</v>
      </c>
    </row>
    <row r="315" spans="2:4" ht="15">
      <c r="B315">
        <v>313</v>
      </c>
      <c r="C315" t="s">
        <v>532</v>
      </c>
      <c r="D315" t="s">
        <v>554</v>
      </c>
    </row>
    <row r="316" spans="2:4" ht="15">
      <c r="B316">
        <v>314</v>
      </c>
      <c r="C316" t="s">
        <v>533</v>
      </c>
      <c r="D316" t="s">
        <v>534</v>
      </c>
    </row>
    <row r="317" spans="2:4" ht="15">
      <c r="B317">
        <v>315</v>
      </c>
      <c r="C317" t="s">
        <v>535</v>
      </c>
      <c r="D317" t="s">
        <v>536</v>
      </c>
    </row>
    <row r="318" spans="2:4" ht="15">
      <c r="B318">
        <v>316</v>
      </c>
      <c r="C318" t="s">
        <v>537</v>
      </c>
      <c r="D318" t="s">
        <v>538</v>
      </c>
    </row>
    <row r="319" spans="2:4" ht="15">
      <c r="B319">
        <v>317</v>
      </c>
      <c r="C319" t="s">
        <v>539</v>
      </c>
      <c r="D319" t="s">
        <v>540</v>
      </c>
    </row>
    <row r="320" spans="2:4" ht="15">
      <c r="B320">
        <v>318</v>
      </c>
      <c r="C320" t="s">
        <v>519</v>
      </c>
      <c r="D320" t="s">
        <v>503</v>
      </c>
    </row>
    <row r="321" spans="2:4" ht="15">
      <c r="B321">
        <v>319</v>
      </c>
      <c r="C321" t="s">
        <v>541</v>
      </c>
      <c r="D321" t="s">
        <v>542</v>
      </c>
    </row>
    <row r="322" spans="2:4" ht="15">
      <c r="B322">
        <v>320</v>
      </c>
      <c r="C322" t="s">
        <v>543</v>
      </c>
      <c r="D322" t="s">
        <v>544</v>
      </c>
    </row>
    <row r="1000" ht="15">
      <c r="A1000" t="s">
        <v>391</v>
      </c>
    </row>
  </sheetData>
  <sheetProtection/>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O997"/>
  <sheetViews>
    <sheetView showGridLines="0" zoomScalePageLayoutView="0" workbookViewId="0" topLeftCell="A1">
      <selection activeCell="A1" sqref="A1"/>
    </sheetView>
  </sheetViews>
  <sheetFormatPr defaultColWidth="11.421875" defaultRowHeight="15"/>
  <cols>
    <col min="1" max="1" width="62.00390625" style="31" customWidth="1"/>
    <col min="2" max="2" width="12.8515625" style="31" customWidth="1"/>
    <col min="3" max="3" width="13.00390625" style="31" customWidth="1"/>
    <col min="4" max="16384" width="11.421875" style="31" customWidth="1"/>
  </cols>
  <sheetData>
    <row r="1" spans="1:9" ht="18">
      <c r="A1" s="29" t="str">
        <f>HLOOKUP(INDICE!$F$2,Nombres!$C$3:$D$636,15,FALSE)</f>
        <v>Chile</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1">
        <f>+España!B6</f>
        <v>2022</v>
      </c>
      <c r="C6" s="301"/>
      <c r="D6" s="301"/>
      <c r="E6" s="302"/>
      <c r="F6" s="301">
        <f>+España!F6</f>
        <v>2023</v>
      </c>
      <c r="G6" s="301"/>
      <c r="H6" s="301"/>
      <c r="I6" s="301"/>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50">
        <v>33.682</v>
      </c>
      <c r="C8" s="50">
        <v>33.482</v>
      </c>
      <c r="D8" s="50">
        <v>32.52799999999999</v>
      </c>
      <c r="E8" s="268">
        <v>28.72499999999999</v>
      </c>
      <c r="F8" s="50">
        <v>29.358</v>
      </c>
      <c r="G8" s="50">
        <v>31.427000000000003</v>
      </c>
      <c r="H8" s="50">
        <v>27.233</v>
      </c>
      <c r="I8" s="50">
        <v>28.963000000000015</v>
      </c>
    </row>
    <row r="9" spans="1:9" ht="15">
      <c r="A9" s="43" t="str">
        <f>HLOOKUP(INDICE!$F$2,Nombres!$C$3:$D$636,34,FALSE)</f>
        <v>Comisiones netas</v>
      </c>
      <c r="B9" s="44">
        <v>5</v>
      </c>
      <c r="C9" s="44">
        <v>3.191</v>
      </c>
      <c r="D9" s="44">
        <v>3.9139999999999993</v>
      </c>
      <c r="E9" s="45">
        <v>26.009999999999998</v>
      </c>
      <c r="F9" s="44">
        <v>9.203999999999999</v>
      </c>
      <c r="G9" s="44">
        <v>8.028000000000002</v>
      </c>
      <c r="H9" s="44">
        <v>8.94</v>
      </c>
      <c r="I9" s="44">
        <v>5.099999999999995</v>
      </c>
    </row>
    <row r="10" spans="1:9" ht="15">
      <c r="A10" s="43" t="str">
        <f>HLOOKUP(INDICE!$F$2,Nombres!$C$3:$D$636,35,FALSE)</f>
        <v>Resultados de operaciones financieras</v>
      </c>
      <c r="B10" s="44">
        <v>1.4220000000000002</v>
      </c>
      <c r="C10" s="44">
        <v>1.581</v>
      </c>
      <c r="D10" s="44">
        <v>1.4719999999999998</v>
      </c>
      <c r="E10" s="45">
        <v>1.2320000000000007</v>
      </c>
      <c r="F10" s="44">
        <v>1.8659999999999999</v>
      </c>
      <c r="G10" s="44">
        <v>2.353</v>
      </c>
      <c r="H10" s="44">
        <v>2.1589999999999994</v>
      </c>
      <c r="I10" s="44">
        <v>0.5320000000000007</v>
      </c>
    </row>
    <row r="11" spans="1:9" ht="15">
      <c r="A11" s="43" t="str">
        <f>HLOOKUP(INDICE!$F$2,Nombres!$C$3:$D$636,36,FALSE)</f>
        <v>Otros ingresos y cargas de explotación</v>
      </c>
      <c r="B11" s="44">
        <v>-0.11699999999999999</v>
      </c>
      <c r="C11" s="44">
        <v>-0.206</v>
      </c>
      <c r="D11" s="44">
        <v>-0.21999999999999997</v>
      </c>
      <c r="E11" s="45">
        <v>-0.44000000000000006</v>
      </c>
      <c r="F11" s="44">
        <v>-0.365</v>
      </c>
      <c r="G11" s="44">
        <v>-0.2789999999999999</v>
      </c>
      <c r="H11" s="44">
        <v>-0.2670000000000001</v>
      </c>
      <c r="I11" s="44">
        <v>-1.5799999999999996</v>
      </c>
    </row>
    <row r="12" spans="1:9" ht="15">
      <c r="A12" s="41" t="str">
        <f>HLOOKUP(INDICE!$F$2,Nombres!$C$3:$D$636,37,FALSE)</f>
        <v>Margen bruto</v>
      </c>
      <c r="B12" s="50">
        <f aca="true" t="shared" si="0" ref="B12:I12">+SUM(B8:B11)</f>
        <v>39.987</v>
      </c>
      <c r="C12" s="50">
        <f t="shared" si="0"/>
        <v>38.048</v>
      </c>
      <c r="D12" s="50">
        <f t="shared" si="0"/>
        <v>37.693999999999996</v>
      </c>
      <c r="E12" s="268">
        <f t="shared" si="0"/>
        <v>55.52699999999999</v>
      </c>
      <c r="F12" s="50">
        <f t="shared" si="0"/>
        <v>40.062999999999995</v>
      </c>
      <c r="G12" s="50">
        <f t="shared" si="0"/>
        <v>41.52900000000001</v>
      </c>
      <c r="H12" s="50">
        <f t="shared" si="0"/>
        <v>38.065</v>
      </c>
      <c r="I12" s="50">
        <f t="shared" si="0"/>
        <v>33.015000000000015</v>
      </c>
    </row>
    <row r="13" spans="1:9" ht="15">
      <c r="A13" s="43" t="str">
        <f>HLOOKUP(INDICE!$F$2,Nombres!$C$3:$D$636,38,FALSE)</f>
        <v>Gastos de explotación</v>
      </c>
      <c r="B13" s="44">
        <v>-12.910109000000002</v>
      </c>
      <c r="C13" s="44">
        <v>-13.933108</v>
      </c>
      <c r="D13" s="44">
        <v>-15.075778619999998</v>
      </c>
      <c r="E13" s="45">
        <v>-22.772778609999996</v>
      </c>
      <c r="F13" s="44">
        <v>-15.781002</v>
      </c>
      <c r="G13" s="44">
        <v>-15.614002000000001</v>
      </c>
      <c r="H13" s="44">
        <v>-14.780002</v>
      </c>
      <c r="I13" s="44">
        <v>-13.439002</v>
      </c>
    </row>
    <row r="14" spans="1:9" ht="15">
      <c r="A14" s="43" t="str">
        <f>HLOOKUP(INDICE!$F$2,Nombres!$C$3:$D$636,39,FALSE)</f>
        <v>  Gastos de administración</v>
      </c>
      <c r="B14" s="44">
        <v>-11.585109</v>
      </c>
      <c r="C14" s="44">
        <v>-12.615108</v>
      </c>
      <c r="D14" s="44">
        <v>-13.81577862</v>
      </c>
      <c r="E14" s="45">
        <v>-21.872778609999997</v>
      </c>
      <c r="F14" s="44">
        <v>-14.463002</v>
      </c>
      <c r="G14" s="44">
        <v>-14.244002</v>
      </c>
      <c r="H14" s="44">
        <v>-13.233001999999999</v>
      </c>
      <c r="I14" s="44">
        <v>-11.725001999999998</v>
      </c>
    </row>
    <row r="15" spans="1:9" ht="15">
      <c r="A15" s="46" t="str">
        <f>HLOOKUP(INDICE!$F$2,Nombres!$C$3:$D$636,40,FALSE)</f>
        <v>  Gastos de personal</v>
      </c>
      <c r="B15" s="44">
        <v>-5.876999999999999</v>
      </c>
      <c r="C15" s="44">
        <v>-5.970000000000001</v>
      </c>
      <c r="D15" s="44">
        <v>-6.629999999999999</v>
      </c>
      <c r="E15" s="45">
        <v>-6.361000000000001</v>
      </c>
      <c r="F15" s="44">
        <v>-6.842999999999999</v>
      </c>
      <c r="G15" s="44">
        <v>-7.021</v>
      </c>
      <c r="H15" s="44">
        <v>-6.975999999999999</v>
      </c>
      <c r="I15" s="44">
        <v>-6.484999999999999</v>
      </c>
    </row>
    <row r="16" spans="1:9" ht="15">
      <c r="A16" s="46" t="str">
        <f>HLOOKUP(INDICE!$F$2,Nombres!$C$3:$D$636,41,FALSE)</f>
        <v>  Otros gastos de administración</v>
      </c>
      <c r="B16" s="44">
        <v>-5.708109</v>
      </c>
      <c r="C16" s="44">
        <v>-6.645108</v>
      </c>
      <c r="D16" s="44">
        <v>-7.185778619999999</v>
      </c>
      <c r="E16" s="45">
        <v>-15.511778609999999</v>
      </c>
      <c r="F16" s="44">
        <v>-7.620002</v>
      </c>
      <c r="G16" s="44">
        <v>-7.223001999999999</v>
      </c>
      <c r="H16" s="44">
        <v>-6.257002</v>
      </c>
      <c r="I16" s="44">
        <v>-5.2400020000000005</v>
      </c>
    </row>
    <row r="17" spans="1:9" ht="15">
      <c r="A17" s="43" t="str">
        <f>HLOOKUP(INDICE!$F$2,Nombres!$C$3:$D$636,42,FALSE)</f>
        <v>  Amortización</v>
      </c>
      <c r="B17" s="44">
        <v>-1.3250000000000002</v>
      </c>
      <c r="C17" s="44">
        <v>-1.318</v>
      </c>
      <c r="D17" s="44">
        <v>-1.2600000000000002</v>
      </c>
      <c r="E17" s="45">
        <v>-0.9000000000000001</v>
      </c>
      <c r="F17" s="44">
        <v>-1.318</v>
      </c>
      <c r="G17" s="44">
        <v>-1.3699999999999999</v>
      </c>
      <c r="H17" s="44">
        <v>-1.5470000000000002</v>
      </c>
      <c r="I17" s="44">
        <v>-1.7140000000000004</v>
      </c>
    </row>
    <row r="18" spans="1:9" ht="15">
      <c r="A18" s="41" t="str">
        <f>HLOOKUP(INDICE!$F$2,Nombres!$C$3:$D$636,43,FALSE)</f>
        <v>Margen neto</v>
      </c>
      <c r="B18" s="50">
        <f aca="true" t="shared" si="1" ref="B18:I18">+B12+B13</f>
        <v>27.076891</v>
      </c>
      <c r="C18" s="50">
        <f t="shared" si="1"/>
        <v>24.114892</v>
      </c>
      <c r="D18" s="50">
        <f t="shared" si="1"/>
        <v>22.618221379999998</v>
      </c>
      <c r="E18" s="268">
        <f t="shared" si="1"/>
        <v>32.75422138999999</v>
      </c>
      <c r="F18" s="50">
        <f t="shared" si="1"/>
        <v>24.281997999999994</v>
      </c>
      <c r="G18" s="50">
        <f t="shared" si="1"/>
        <v>25.91499800000001</v>
      </c>
      <c r="H18" s="50">
        <f t="shared" si="1"/>
        <v>23.284997999999998</v>
      </c>
      <c r="I18" s="50">
        <f t="shared" si="1"/>
        <v>19.575998000000013</v>
      </c>
    </row>
    <row r="19" spans="1:9" ht="15">
      <c r="A19" s="43" t="str">
        <f>HLOOKUP(INDICE!$F$2,Nombres!$C$3:$D$636,44,FALSE)</f>
        <v>Deterioro de activos financieros no valorados a valor razonable con cambios en resultados</v>
      </c>
      <c r="B19" s="44">
        <v>-3.9930000000000003</v>
      </c>
      <c r="C19" s="44">
        <v>-10.717000000000002</v>
      </c>
      <c r="D19" s="44">
        <v>-7.6979999999999995</v>
      </c>
      <c r="E19" s="45">
        <v>-34.122</v>
      </c>
      <c r="F19" s="44">
        <v>-21.72</v>
      </c>
      <c r="G19" s="44">
        <v>-18.352</v>
      </c>
      <c r="H19" s="44">
        <v>-18.263999999999996</v>
      </c>
      <c r="I19" s="44">
        <v>-11.182000000000006</v>
      </c>
    </row>
    <row r="20" spans="1:9" ht="15">
      <c r="A20" s="43" t="str">
        <f>HLOOKUP(INDICE!$F$2,Nombres!$C$3:$D$636,45,FALSE)</f>
        <v>Provisiones o reversión de provisiones y otros resultados</v>
      </c>
      <c r="B20" s="44">
        <v>0.132</v>
      </c>
      <c r="C20" s="44">
        <v>0.02599999999999998</v>
      </c>
      <c r="D20" s="44">
        <v>-0.11199999999999999</v>
      </c>
      <c r="E20" s="45">
        <v>-0.653</v>
      </c>
      <c r="F20" s="44">
        <v>-0.41200000000000003</v>
      </c>
      <c r="G20" s="44">
        <v>-0.22799999999999998</v>
      </c>
      <c r="H20" s="44">
        <v>-0.4700000000000001</v>
      </c>
      <c r="I20" s="44">
        <v>-0.10299999999999987</v>
      </c>
    </row>
    <row r="21" spans="1:9" ht="15">
      <c r="A21" s="41" t="str">
        <f>HLOOKUP(INDICE!$F$2,Nombres!$C$3:$D$636,46,FALSE)</f>
        <v>Resultado antes de impuestos</v>
      </c>
      <c r="B21" s="50">
        <f aca="true" t="shared" si="2" ref="B21:I21">+B18+B19+B20</f>
        <v>23.215891000000003</v>
      </c>
      <c r="C21" s="50">
        <f t="shared" si="2"/>
        <v>13.423891999999999</v>
      </c>
      <c r="D21" s="50">
        <f t="shared" si="2"/>
        <v>14.808221379999997</v>
      </c>
      <c r="E21" s="268">
        <f t="shared" si="2"/>
        <v>-2.020778610000009</v>
      </c>
      <c r="F21" s="50">
        <f t="shared" si="2"/>
        <v>2.1499979999999956</v>
      </c>
      <c r="G21" s="50">
        <f t="shared" si="2"/>
        <v>7.334998000000011</v>
      </c>
      <c r="H21" s="50">
        <f t="shared" si="2"/>
        <v>4.5509980000000025</v>
      </c>
      <c r="I21" s="50">
        <f t="shared" si="2"/>
        <v>8.290998000000007</v>
      </c>
    </row>
    <row r="22" spans="1:9" ht="15">
      <c r="A22" s="43" t="str">
        <f>HLOOKUP(INDICE!$F$2,Nombres!$C$3:$D$636,47,FALSE)</f>
        <v>Impuesto sobre beneficios</v>
      </c>
      <c r="B22" s="44">
        <v>-4.7428673</v>
      </c>
      <c r="C22" s="44">
        <v>-0.041867600000000005</v>
      </c>
      <c r="D22" s="44">
        <v>-1.1706664200000003</v>
      </c>
      <c r="E22" s="45">
        <v>-0.10166640999999998</v>
      </c>
      <c r="F22" s="44">
        <v>0.039700599999999864</v>
      </c>
      <c r="G22" s="44">
        <v>-0.6892994000000001</v>
      </c>
      <c r="H22" s="44">
        <v>-1.1162994</v>
      </c>
      <c r="I22" s="44">
        <v>-0.6522994</v>
      </c>
    </row>
    <row r="23" spans="1:9" ht="15">
      <c r="A23" s="41" t="str">
        <f>HLOOKUP(INDICE!$F$2,Nombres!$C$3:$D$636,48,FALSE)</f>
        <v>Resultado del ejercicio</v>
      </c>
      <c r="B23" s="50">
        <f aca="true" t="shared" si="3" ref="B23:I23">+B21+B22</f>
        <v>18.473023700000002</v>
      </c>
      <c r="C23" s="50">
        <f t="shared" si="3"/>
        <v>13.382024399999999</v>
      </c>
      <c r="D23" s="50">
        <f t="shared" si="3"/>
        <v>13.637554959999997</v>
      </c>
      <c r="E23" s="268">
        <f t="shared" si="3"/>
        <v>-2.122445020000009</v>
      </c>
      <c r="F23" s="50">
        <f t="shared" si="3"/>
        <v>2.1896985999999954</v>
      </c>
      <c r="G23" s="50">
        <f t="shared" si="3"/>
        <v>6.645698600000011</v>
      </c>
      <c r="H23" s="50">
        <f t="shared" si="3"/>
        <v>3.4346986000000026</v>
      </c>
      <c r="I23" s="50">
        <f t="shared" si="3"/>
        <v>7.638698600000007</v>
      </c>
    </row>
    <row r="24" spans="1:9" ht="15">
      <c r="A24" s="43" t="str">
        <f>HLOOKUP(INDICE!$F$2,Nombres!$C$3:$D$636,49,FALSE)</f>
        <v>Minoritarios</v>
      </c>
      <c r="B24" s="44">
        <v>0</v>
      </c>
      <c r="C24" s="44">
        <v>0</v>
      </c>
      <c r="D24" s="44">
        <v>0</v>
      </c>
      <c r="E24" s="45">
        <v>0</v>
      </c>
      <c r="F24" s="44">
        <v>0</v>
      </c>
      <c r="G24" s="44">
        <v>0</v>
      </c>
      <c r="H24" s="44">
        <v>0</v>
      </c>
      <c r="I24" s="44">
        <v>0</v>
      </c>
    </row>
    <row r="25" spans="1:9" ht="15">
      <c r="A25" s="47" t="str">
        <f>HLOOKUP(INDICE!$F$2,Nombres!$C$3:$D$636,50,FALSE)</f>
        <v>Resultado atribuido</v>
      </c>
      <c r="B25" s="51">
        <f aca="true" t="shared" si="4" ref="B25:I25">+B23+B24</f>
        <v>18.473023700000002</v>
      </c>
      <c r="C25" s="51">
        <f t="shared" si="4"/>
        <v>13.382024399999999</v>
      </c>
      <c r="D25" s="51">
        <f t="shared" si="4"/>
        <v>13.637554959999997</v>
      </c>
      <c r="E25" s="79">
        <f t="shared" si="4"/>
        <v>-2.122445020000009</v>
      </c>
      <c r="F25" s="51">
        <f t="shared" si="4"/>
        <v>2.1896985999999954</v>
      </c>
      <c r="G25" s="51">
        <f t="shared" si="4"/>
        <v>6.645698600000011</v>
      </c>
      <c r="H25" s="51">
        <f t="shared" si="4"/>
        <v>3.4346986000000026</v>
      </c>
      <c r="I25" s="51">
        <f t="shared" si="4"/>
        <v>7.638698600000007</v>
      </c>
    </row>
    <row r="26" spans="1:9" ht="15">
      <c r="A26" s="267"/>
      <c r="B26" s="63">
        <v>0</v>
      </c>
      <c r="C26" s="63">
        <v>0</v>
      </c>
      <c r="D26" s="63">
        <v>0</v>
      </c>
      <c r="E26" s="63">
        <v>-3.9968028886505635E-15</v>
      </c>
      <c r="F26" s="63">
        <v>-5.773159728050814E-15</v>
      </c>
      <c r="G26" s="63">
        <v>7.105427357601002E-15</v>
      </c>
      <c r="H26" s="63">
        <v>0</v>
      </c>
      <c r="I26" s="63">
        <v>0</v>
      </c>
    </row>
    <row r="27" spans="1:13" s="274" customFormat="1" ht="15">
      <c r="A27" s="41"/>
      <c r="B27" s="41"/>
      <c r="C27" s="41"/>
      <c r="D27" s="41"/>
      <c r="E27" s="41"/>
      <c r="F27" s="41"/>
      <c r="G27" s="41"/>
      <c r="H27" s="41"/>
      <c r="I27" s="41"/>
      <c r="J27" s="31"/>
      <c r="K27" s="31"/>
      <c r="L27" s="31"/>
      <c r="M27" s="31"/>
    </row>
    <row r="28" spans="1:13" s="274" customFormat="1" ht="18">
      <c r="A28" s="33" t="str">
        <f>HLOOKUP(INDICE!$F$2,Nombres!$C$3:$D$636,51,FALSE)</f>
        <v>Balances</v>
      </c>
      <c r="B28" s="34"/>
      <c r="C28" s="34"/>
      <c r="D28" s="34"/>
      <c r="E28" s="34"/>
      <c r="F28" s="34"/>
      <c r="G28" s="34"/>
      <c r="H28" s="34"/>
      <c r="I28" s="34"/>
      <c r="J28" s="31"/>
      <c r="K28" s="31"/>
      <c r="L28" s="31"/>
      <c r="M28" s="31"/>
    </row>
    <row r="29" spans="1:9" ht="15">
      <c r="A29" s="35"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9" ht="15">
      <c r="A31" s="43" t="str">
        <f>HLOOKUP(INDICE!$F$2,Nombres!$C$3:$D$636,52,FALSE)</f>
        <v>Efectivo, saldos en efectivo en bancos centrales y otros depósitos a la vista</v>
      </c>
      <c r="B31" s="44">
        <v>21.08</v>
      </c>
      <c r="C31" s="44">
        <v>25.774</v>
      </c>
      <c r="D31" s="44">
        <v>37.84</v>
      </c>
      <c r="E31" s="45">
        <v>56.359</v>
      </c>
      <c r="F31" s="44">
        <v>30.622</v>
      </c>
      <c r="G31" s="44">
        <v>34.832</v>
      </c>
      <c r="H31" s="44">
        <v>58.745</v>
      </c>
      <c r="I31" s="44">
        <v>27.008000000000003</v>
      </c>
    </row>
    <row r="32" spans="1:9" ht="15">
      <c r="A32" s="43" t="str">
        <f>HLOOKUP(INDICE!$F$2,Nombres!$C$3:$D$636,53,FALSE)</f>
        <v>Activos financieros a valor razonable</v>
      </c>
      <c r="B32" s="58">
        <v>0</v>
      </c>
      <c r="C32" s="58">
        <v>0</v>
      </c>
      <c r="D32" s="58">
        <v>0</v>
      </c>
      <c r="E32" s="64">
        <v>0</v>
      </c>
      <c r="F32" s="44">
        <v>0</v>
      </c>
      <c r="G32" s="44">
        <v>0</v>
      </c>
      <c r="H32" s="44">
        <v>0</v>
      </c>
      <c r="I32" s="44">
        <v>0</v>
      </c>
    </row>
    <row r="33" spans="1:9" ht="15">
      <c r="A33" s="43" t="str">
        <f>HLOOKUP(INDICE!$F$2,Nombres!$C$3:$D$636,54,FALSE)</f>
        <v>Activos financieros a coste amortizado</v>
      </c>
      <c r="B33" s="44">
        <v>1755.8490000000002</v>
      </c>
      <c r="C33" s="44">
        <v>1642.141</v>
      </c>
      <c r="D33" s="44">
        <v>1852.37</v>
      </c>
      <c r="E33" s="45">
        <v>2012.4479999999999</v>
      </c>
      <c r="F33" s="44">
        <v>2210.672</v>
      </c>
      <c r="G33" s="44">
        <v>2201.4</v>
      </c>
      <c r="H33" s="44">
        <v>1998.2869999999998</v>
      </c>
      <c r="I33" s="44">
        <v>2003.0230000000001</v>
      </c>
    </row>
    <row r="34" spans="1:9" ht="15">
      <c r="A34" s="43" t="str">
        <f>HLOOKUP(INDICE!$F$2,Nombres!$C$3:$D$636,55,FALSE)</f>
        <v>    de los que préstamos y anticipos a la clientela</v>
      </c>
      <c r="B34" s="44">
        <v>1639.6470000000002</v>
      </c>
      <c r="C34" s="44">
        <v>1616.2820000000002</v>
      </c>
      <c r="D34" s="44">
        <v>1809.839</v>
      </c>
      <c r="E34" s="45">
        <v>1979.9630000000002</v>
      </c>
      <c r="F34" s="44">
        <v>2173.498</v>
      </c>
      <c r="G34" s="44">
        <v>2156.4220000000005</v>
      </c>
      <c r="H34" s="44">
        <v>1988.867</v>
      </c>
      <c r="I34" s="44">
        <v>1998.634</v>
      </c>
    </row>
    <row r="35" spans="1:9" ht="15" customHeight="1" hidden="1">
      <c r="A35" s="43"/>
      <c r="B35" s="44"/>
      <c r="C35" s="44"/>
      <c r="D35" s="44"/>
      <c r="E35" s="45"/>
      <c r="F35" s="44"/>
      <c r="G35" s="44"/>
      <c r="H35" s="44"/>
      <c r="I35" s="44"/>
    </row>
    <row r="36" spans="1:9" ht="15">
      <c r="A36" s="43" t="str">
        <f>HLOOKUP(INDICE!$F$2,Nombres!$C$3:$D$636,56,FALSE)</f>
        <v>Activos tangibles</v>
      </c>
      <c r="B36" s="44">
        <v>7.614999999999999</v>
      </c>
      <c r="C36" s="44">
        <v>6.5440000000000005</v>
      </c>
      <c r="D36" s="44">
        <v>6.225</v>
      </c>
      <c r="E36" s="45">
        <v>4.19</v>
      </c>
      <c r="F36" s="44">
        <v>4.164000000000001</v>
      </c>
      <c r="G36" s="44">
        <v>3.794</v>
      </c>
      <c r="H36" s="44">
        <v>3.24</v>
      </c>
      <c r="I36" s="44">
        <v>6.463</v>
      </c>
    </row>
    <row r="37" spans="1:9" ht="15">
      <c r="A37" s="43" t="str">
        <f>HLOOKUP(INDICE!$F$2,Nombres!$C$3:$D$636,57,FALSE)</f>
        <v>Otros activos</v>
      </c>
      <c r="B37" s="58">
        <f>+B38-B36-B33-B32-B31</f>
        <v>233.48189099999962</v>
      </c>
      <c r="C37" s="58">
        <f aca="true" t="shared" si="5" ref="C37:I37">+C38-C36-C33-C32-C31</f>
        <v>274.05478300000016</v>
      </c>
      <c r="D37" s="58">
        <f t="shared" si="5"/>
        <v>308.26200611000024</v>
      </c>
      <c r="E37" s="64">
        <f t="shared" si="5"/>
        <v>308.41722109000006</v>
      </c>
      <c r="F37" s="44">
        <f t="shared" si="5"/>
        <v>332.37399799999986</v>
      </c>
      <c r="G37" s="44">
        <f t="shared" si="5"/>
        <v>295.2969959999999</v>
      </c>
      <c r="H37" s="44">
        <f t="shared" si="5"/>
        <v>284.25399367000034</v>
      </c>
      <c r="I37" s="44">
        <f t="shared" si="5"/>
        <v>279.07398197000003</v>
      </c>
    </row>
    <row r="38" spans="1:9" ht="15">
      <c r="A38" s="47" t="str">
        <f>HLOOKUP(INDICE!$F$2,Nombres!$C$3:$D$636,58,FALSE)</f>
        <v>Total activo / pasivo</v>
      </c>
      <c r="B38" s="47">
        <v>2018.0258909999998</v>
      </c>
      <c r="C38" s="47">
        <v>1948.5137830000003</v>
      </c>
      <c r="D38" s="47">
        <v>2204.69700611</v>
      </c>
      <c r="E38" s="47">
        <v>2381.41422109</v>
      </c>
      <c r="F38" s="51">
        <v>2577.831998</v>
      </c>
      <c r="G38" s="51">
        <v>2535.322996</v>
      </c>
      <c r="H38" s="51">
        <v>2344.52599367</v>
      </c>
      <c r="I38" s="51">
        <v>2315.5679819700003</v>
      </c>
    </row>
    <row r="39" spans="1:9" ht="15">
      <c r="A39" s="43" t="str">
        <f>HLOOKUP(INDICE!$F$2,Nombres!$C$3:$D$636,59,FALSE)</f>
        <v>Pasivos financieros mantenidos para negociar y designados a valor razonable con cambios en resultados</v>
      </c>
      <c r="B39" s="58">
        <v>0</v>
      </c>
      <c r="C39" s="58">
        <v>0</v>
      </c>
      <c r="D39" s="58">
        <v>0</v>
      </c>
      <c r="E39" s="64">
        <v>0</v>
      </c>
      <c r="F39" s="44">
        <v>0</v>
      </c>
      <c r="G39" s="44">
        <v>0</v>
      </c>
      <c r="H39" s="44">
        <v>0</v>
      </c>
      <c r="I39" s="44">
        <v>0</v>
      </c>
    </row>
    <row r="40" spans="1:9" ht="15.75" customHeight="1">
      <c r="A40" s="43" t="str">
        <f>HLOOKUP(INDICE!$F$2,Nombres!$C$3:$D$636,60,FALSE)</f>
        <v>Depósitos de bancos centrales y entidades de crédito</v>
      </c>
      <c r="B40" s="58">
        <v>648.445</v>
      </c>
      <c r="C40" s="58">
        <v>545.695</v>
      </c>
      <c r="D40" s="58">
        <v>824.321</v>
      </c>
      <c r="E40" s="64">
        <v>1006.534</v>
      </c>
      <c r="F40" s="44">
        <v>1025.394</v>
      </c>
      <c r="G40" s="44">
        <v>1040.586</v>
      </c>
      <c r="H40" s="44">
        <v>971.043</v>
      </c>
      <c r="I40" s="44">
        <v>1055.839</v>
      </c>
    </row>
    <row r="41" spans="1:9" ht="15">
      <c r="A41" s="43" t="str">
        <f>HLOOKUP(INDICE!$F$2,Nombres!$C$3:$D$636,61,FALSE)</f>
        <v>Depósitos de la clientela</v>
      </c>
      <c r="B41" s="58">
        <v>15.479</v>
      </c>
      <c r="C41" s="58">
        <v>10.869</v>
      </c>
      <c r="D41" s="58">
        <v>8.888</v>
      </c>
      <c r="E41" s="64">
        <v>6.672</v>
      </c>
      <c r="F41" s="44">
        <v>8.370000000000001</v>
      </c>
      <c r="G41" s="44">
        <v>5.597</v>
      </c>
      <c r="H41" s="44">
        <v>6.291</v>
      </c>
      <c r="I41" s="44">
        <v>6.653</v>
      </c>
    </row>
    <row r="42" spans="1:9" ht="15">
      <c r="A42" s="43" t="str">
        <f>HLOOKUP(INDICE!$F$2,Nombres!$C$3:$D$636,62,FALSE)</f>
        <v>Valores representativos de deuda emitidos</v>
      </c>
      <c r="B42" s="44">
        <v>815.6228544</v>
      </c>
      <c r="C42" s="44">
        <v>875.4264959999999</v>
      </c>
      <c r="D42" s="44">
        <v>818.595208</v>
      </c>
      <c r="E42" s="45">
        <v>779.6658239999999</v>
      </c>
      <c r="F42" s="44">
        <v>906.0023487999999</v>
      </c>
      <c r="G42" s="44">
        <v>855.9247359999999</v>
      </c>
      <c r="H42" s="44">
        <v>813.8609071999999</v>
      </c>
      <c r="I42" s="44">
        <v>662.0529408</v>
      </c>
    </row>
    <row r="43" spans="1:9" ht="15" customHeight="1" hidden="1">
      <c r="A43" s="43"/>
      <c r="B43" s="44"/>
      <c r="C43" s="44"/>
      <c r="D43" s="44"/>
      <c r="E43" s="45"/>
      <c r="F43" s="44"/>
      <c r="G43" s="44"/>
      <c r="H43" s="44"/>
      <c r="I43" s="44"/>
    </row>
    <row r="44" spans="1:9" ht="15">
      <c r="A44" s="43" t="str">
        <f>HLOOKUP(INDICE!$F$2,Nombres!$C$3:$D$636,63,FALSE)</f>
        <v>Otros pasivos</v>
      </c>
      <c r="B44" s="58">
        <f>+B38-B39-B40-B41-B42-B45</f>
        <v>296.1469800799995</v>
      </c>
      <c r="C44" s="58">
        <f aca="true" t="shared" si="6" ref="C44:I44">+C38-C39-C40-C41-C42-C45</f>
        <v>255.59508700000032</v>
      </c>
      <c r="D44" s="58">
        <f t="shared" si="6"/>
        <v>259.0761981100003</v>
      </c>
      <c r="E44" s="64">
        <f t="shared" si="6"/>
        <v>312.5800603999999</v>
      </c>
      <c r="F44" s="44">
        <f t="shared" si="6"/>
        <v>336.75419528000026</v>
      </c>
      <c r="G44" s="44">
        <f t="shared" si="6"/>
        <v>321.55212055999993</v>
      </c>
      <c r="H44" s="44">
        <f t="shared" si="6"/>
        <v>271.65481689999996</v>
      </c>
      <c r="I44" s="44">
        <f t="shared" si="6"/>
        <v>309.2835343400004</v>
      </c>
    </row>
    <row r="45" spans="1:9" ht="15">
      <c r="A45" s="43" t="str">
        <f>HLOOKUP(INDICE!$F$2,Nombres!$C$3:$D$636,282,FALSE)</f>
        <v>Dotación de capital regulatorio</v>
      </c>
      <c r="B45" s="58">
        <v>242.33205652</v>
      </c>
      <c r="C45" s="58">
        <v>260.9282</v>
      </c>
      <c r="D45" s="58">
        <v>293.8166</v>
      </c>
      <c r="E45" s="64">
        <v>275.96233669</v>
      </c>
      <c r="F45" s="44">
        <v>301.31145392</v>
      </c>
      <c r="G45" s="44">
        <v>311.66313944</v>
      </c>
      <c r="H45" s="44">
        <v>281.67626957</v>
      </c>
      <c r="I45" s="44">
        <v>281.73950683</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Indicadores relevantes y de gestión</v>
      </c>
      <c r="B48" s="34"/>
      <c r="C48" s="34"/>
      <c r="D48" s="34"/>
      <c r="E48" s="34"/>
      <c r="F48" s="68"/>
      <c r="G48" s="68"/>
      <c r="H48" s="68"/>
      <c r="I48" s="68"/>
    </row>
    <row r="49" spans="1:9" ht="15">
      <c r="A49" s="35" t="str">
        <f>HLOOKUP(INDICE!$F$2,Nombres!$C$3:$D$636,32,FALSE)</f>
        <v>(Millones de euros)</v>
      </c>
      <c r="B49" s="30"/>
      <c r="C49" s="30"/>
      <c r="D49" s="30"/>
      <c r="E49" s="30"/>
      <c r="F49" s="69"/>
      <c r="G49" s="44"/>
      <c r="H49" s="44"/>
      <c r="I49" s="44"/>
    </row>
    <row r="50" spans="1:9" ht="15.75">
      <c r="A50" s="30"/>
      <c r="B50" s="53">
        <f aca="true" t="shared" si="7" ref="B50:I50">+B$30</f>
        <v>44651</v>
      </c>
      <c r="C50" s="53">
        <f t="shared" si="7"/>
        <v>44742</v>
      </c>
      <c r="D50" s="53">
        <f t="shared" si="7"/>
        <v>44834</v>
      </c>
      <c r="E50" s="67">
        <f t="shared" si="7"/>
        <v>44926</v>
      </c>
      <c r="F50" s="53">
        <f t="shared" si="7"/>
        <v>45016</v>
      </c>
      <c r="G50" s="53">
        <f t="shared" si="7"/>
        <v>45107</v>
      </c>
      <c r="H50" s="53">
        <f t="shared" si="7"/>
        <v>45199</v>
      </c>
      <c r="I50" s="53">
        <f t="shared" si="7"/>
        <v>45291</v>
      </c>
    </row>
    <row r="51" spans="1:9" ht="15">
      <c r="A51" s="43" t="str">
        <f>HLOOKUP(INDICE!$F$2,Nombres!$C$3:$D$636,66,FALSE)</f>
        <v>Préstamos y anticipos a la clientela bruto (*)</v>
      </c>
      <c r="B51" s="44">
        <v>1700.6260000000002</v>
      </c>
      <c r="C51" s="44">
        <v>1680.019</v>
      </c>
      <c r="D51" s="44">
        <v>1878.508</v>
      </c>
      <c r="E51" s="45">
        <v>2078.6980000000003</v>
      </c>
      <c r="F51" s="44">
        <v>2290.9970000000003</v>
      </c>
      <c r="G51" s="44">
        <v>2277.762</v>
      </c>
      <c r="H51" s="44">
        <v>2100.966</v>
      </c>
      <c r="I51" s="44">
        <v>2103.6730000000002</v>
      </c>
    </row>
    <row r="52" spans="1:9" ht="15">
      <c r="A52" s="43" t="str">
        <f>HLOOKUP(INDICE!$F$2,Nombres!$C$3:$D$636,67,FALSE)</f>
        <v>Depósitos de clientes en gestión (**)</v>
      </c>
      <c r="B52" s="44">
        <v>15.479</v>
      </c>
      <c r="C52" s="44">
        <v>10.869</v>
      </c>
      <c r="D52" s="44">
        <v>8.888</v>
      </c>
      <c r="E52" s="45">
        <v>6.672</v>
      </c>
      <c r="F52" s="44">
        <v>8.370000000000001</v>
      </c>
      <c r="G52" s="44">
        <v>5.597</v>
      </c>
      <c r="H52" s="44">
        <v>6.291</v>
      </c>
      <c r="I52" s="44">
        <v>6.653</v>
      </c>
    </row>
    <row r="53" spans="1:9" ht="15">
      <c r="A53" s="43" t="str">
        <f>HLOOKUP(INDICE!$F$2,Nombres!$C$3:$D$636,68,FALSE)</f>
        <v>Fondos de inversión y carteras gestionadas</v>
      </c>
      <c r="B53" s="44">
        <v>0</v>
      </c>
      <c r="C53" s="44">
        <v>0</v>
      </c>
      <c r="D53" s="44">
        <v>0</v>
      </c>
      <c r="E53" s="45">
        <v>0</v>
      </c>
      <c r="F53" s="44">
        <v>0</v>
      </c>
      <c r="G53" s="44">
        <v>0</v>
      </c>
      <c r="H53" s="44">
        <v>0</v>
      </c>
      <c r="I53" s="44">
        <v>0</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1">
        <f>+B$6</f>
        <v>2022</v>
      </c>
      <c r="C62" s="301"/>
      <c r="D62" s="301"/>
      <c r="E62" s="302"/>
      <c r="F62" s="301">
        <f>+F$6</f>
        <v>2023</v>
      </c>
      <c r="G62" s="301"/>
      <c r="H62" s="301"/>
      <c r="I62" s="301"/>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50">
        <v>33.65951973119565</v>
      </c>
      <c r="C64" s="50">
        <v>33.06987151136855</v>
      </c>
      <c r="D64" s="50">
        <v>33.40430603444013</v>
      </c>
      <c r="E64" s="268">
        <v>29.60440134437906</v>
      </c>
      <c r="F64" s="50">
        <v>28.164793680499695</v>
      </c>
      <c r="G64" s="50">
        <v>30.169170972359563</v>
      </c>
      <c r="H64" s="50">
        <v>27.90719930136967</v>
      </c>
      <c r="I64" s="50">
        <v>30.7398360457711</v>
      </c>
    </row>
    <row r="65" spans="1:9" ht="15">
      <c r="A65" s="43" t="str">
        <f>HLOOKUP(INDICE!$F$2,Nombres!$C$3:$D$636,34,FALSE)</f>
        <v>Comisiones netas</v>
      </c>
      <c r="B65" s="44">
        <v>4.996662866099942</v>
      </c>
      <c r="C65" s="44">
        <v>3.141334329836023</v>
      </c>
      <c r="D65" s="44">
        <v>4.020635447988694</v>
      </c>
      <c r="E65" s="45">
        <v>26.34847801084867</v>
      </c>
      <c r="F65" s="44">
        <v>8.829918967072661</v>
      </c>
      <c r="G65" s="44">
        <v>7.707234588871579</v>
      </c>
      <c r="H65" s="44">
        <v>9.106507320354691</v>
      </c>
      <c r="I65" s="44">
        <v>5.628339123701067</v>
      </c>
    </row>
    <row r="66" spans="1:9" ht="15">
      <c r="A66" s="43" t="str">
        <f>HLOOKUP(INDICE!$F$2,Nombres!$C$3:$D$636,35,FALSE)</f>
        <v>Resultados de operaciones financieras</v>
      </c>
      <c r="B66" s="44">
        <v>1.4210509191188234</v>
      </c>
      <c r="C66" s="44">
        <v>1.5625170920392413</v>
      </c>
      <c r="D66" s="44">
        <v>1.511259009210614</v>
      </c>
      <c r="E66" s="45">
        <v>1.2708841302752008</v>
      </c>
      <c r="F66" s="44">
        <v>1.7901595819814844</v>
      </c>
      <c r="G66" s="44">
        <v>2.2587175566285866</v>
      </c>
      <c r="H66" s="44">
        <v>2.200368966732836</v>
      </c>
      <c r="I66" s="44">
        <v>0.660753894657093</v>
      </c>
    </row>
    <row r="67" spans="1:9" ht="15">
      <c r="A67" s="43" t="str">
        <f>HLOOKUP(INDICE!$F$2,Nombres!$C$3:$D$636,36,FALSE)</f>
        <v>Otros ingresos y cargas de explotación</v>
      </c>
      <c r="B67" s="44">
        <v>-0.11692191106673866</v>
      </c>
      <c r="C67" s="44">
        <v>-0.2039880015553243</v>
      </c>
      <c r="D67" s="44">
        <v>-0.22449591353663934</v>
      </c>
      <c r="E67" s="45">
        <v>-0.44770685319698955</v>
      </c>
      <c r="F67" s="44">
        <v>-0.3501651915451457</v>
      </c>
      <c r="G67" s="44">
        <v>-0.2678667774676264</v>
      </c>
      <c r="H67" s="44">
        <v>-0.27457750134900116</v>
      </c>
      <c r="I67" s="44">
        <v>-1.5983905296382268</v>
      </c>
    </row>
    <row r="68" spans="1:9" ht="15">
      <c r="A68" s="41" t="str">
        <f>HLOOKUP(INDICE!$F$2,Nombres!$C$3:$D$636,37,FALSE)</f>
        <v>Margen bruto</v>
      </c>
      <c r="B68" s="50">
        <f>+SUM(B64:B67)</f>
        <v>39.96031160534768</v>
      </c>
      <c r="C68" s="50">
        <f>+SUM(C64:C67)</f>
        <v>37.56973493168849</v>
      </c>
      <c r="D68" s="50">
        <f aca="true" t="shared" si="9" ref="D68:I68">+SUM(D64:D67)</f>
        <v>38.7117045781028</v>
      </c>
      <c r="E68" s="268">
        <f t="shared" si="9"/>
        <v>56.77605663230594</v>
      </c>
      <c r="F68" s="50">
        <f t="shared" si="9"/>
        <v>38.434707038008696</v>
      </c>
      <c r="G68" s="50">
        <f t="shared" si="9"/>
        <v>39.8672563403921</v>
      </c>
      <c r="H68" s="50">
        <f t="shared" si="9"/>
        <v>38.9394980871082</v>
      </c>
      <c r="I68" s="50">
        <f t="shared" si="9"/>
        <v>35.430538534491035</v>
      </c>
    </row>
    <row r="69" spans="1:9" ht="15">
      <c r="A69" s="43" t="str">
        <f>HLOOKUP(INDICE!$F$2,Nombres!$C$3:$D$636,38,FALSE)</f>
        <v>Gastos de explotación</v>
      </c>
      <c r="B69" s="44">
        <v>-12.90149244752053</v>
      </c>
      <c r="C69" s="44">
        <v>-13.768025886736666</v>
      </c>
      <c r="D69" s="44">
        <v>-15.435204387417063</v>
      </c>
      <c r="E69" s="45">
        <v>-23.25257253552695</v>
      </c>
      <c r="F69" s="44">
        <v>-15.139609830422817</v>
      </c>
      <c r="G69" s="44">
        <v>-14.989452497657709</v>
      </c>
      <c r="H69" s="44">
        <v>-15.113800075444935</v>
      </c>
      <c r="I69" s="44">
        <v>-14.371145596474541</v>
      </c>
    </row>
    <row r="70" spans="1:9" ht="15">
      <c r="A70" s="43" t="str">
        <f>HLOOKUP(INDICE!$F$2,Nombres!$C$3:$D$636,39,FALSE)</f>
        <v>  Gastos de administración</v>
      </c>
      <c r="B70" s="44">
        <v>-11.577376788004047</v>
      </c>
      <c r="C70" s="44">
        <v>-12.466244025943205</v>
      </c>
      <c r="D70" s="44">
        <v>-14.140809201470258</v>
      </c>
      <c r="E70" s="45">
        <v>-22.320454052622573</v>
      </c>
      <c r="F70" s="44">
        <v>-13.875177714103632</v>
      </c>
      <c r="G70" s="44">
        <v>-13.674272917227931</v>
      </c>
      <c r="H70" s="44">
        <v>-13.543904519743721</v>
      </c>
      <c r="I70" s="44">
        <v>-12.571652848924714</v>
      </c>
    </row>
    <row r="71" spans="1:9" ht="15">
      <c r="A71" s="46" t="str">
        <f>HLOOKUP(INDICE!$F$2,Nombres!$C$3:$D$636,40,FALSE)</f>
        <v>  Gastos de personal</v>
      </c>
      <c r="B71" s="44">
        <v>-5.8730775328138725</v>
      </c>
      <c r="C71" s="44">
        <v>-5.897262203513</v>
      </c>
      <c r="D71" s="44">
        <v>-6.788524812355156</v>
      </c>
      <c r="E71" s="45">
        <v>-6.534658065597391</v>
      </c>
      <c r="F71" s="44">
        <v>-6.564877823954609</v>
      </c>
      <c r="G71" s="44">
        <v>-6.740083695289295</v>
      </c>
      <c r="H71" s="44">
        <v>-7.11433745149084</v>
      </c>
      <c r="I71" s="44">
        <v>-6.905701029265257</v>
      </c>
    </row>
    <row r="72" spans="1:9" ht="15">
      <c r="A72" s="46" t="str">
        <f>HLOOKUP(INDICE!$F$2,Nombres!$C$3:$D$636,41,FALSE)</f>
        <v>  Otros gastos de administración</v>
      </c>
      <c r="B72" s="44">
        <v>-5.704299255190174</v>
      </c>
      <c r="C72" s="44">
        <v>-6.568981822430204</v>
      </c>
      <c r="D72" s="44">
        <v>-7.3522843891151</v>
      </c>
      <c r="E72" s="45">
        <v>-15.785795987025182</v>
      </c>
      <c r="F72" s="44">
        <v>-7.3102998901490235</v>
      </c>
      <c r="G72" s="44">
        <v>-6.934189221938636</v>
      </c>
      <c r="H72" s="44">
        <v>-6.429567068252881</v>
      </c>
      <c r="I72" s="44">
        <v>-5.665951819659458</v>
      </c>
    </row>
    <row r="73" spans="1:9" ht="15">
      <c r="A73" s="43" t="str">
        <f>HLOOKUP(INDICE!$F$2,Nombres!$C$3:$D$636,42,FALSE)</f>
        <v>  Amortización</v>
      </c>
      <c r="B73" s="44">
        <v>-1.3241156595164845</v>
      </c>
      <c r="C73" s="44">
        <v>-1.3017818607934608</v>
      </c>
      <c r="D73" s="44">
        <v>-1.294395185946804</v>
      </c>
      <c r="E73" s="45">
        <v>-0.9321184829043772</v>
      </c>
      <c r="F73" s="44">
        <v>-1.2644321163191836</v>
      </c>
      <c r="G73" s="44">
        <v>-1.3151795804297781</v>
      </c>
      <c r="H73" s="44">
        <v>-1.5698955557012129</v>
      </c>
      <c r="I73" s="44">
        <v>-1.7994927475498257</v>
      </c>
    </row>
    <row r="74" spans="1:9" ht="15">
      <c r="A74" s="41" t="str">
        <f>HLOOKUP(INDICE!$F$2,Nombres!$C$3:$D$636,43,FALSE)</f>
        <v>Margen neto</v>
      </c>
      <c r="B74" s="50">
        <f aca="true" t="shared" si="10" ref="B74:I74">+B68+B69</f>
        <v>27.058819157827145</v>
      </c>
      <c r="C74" s="50">
        <f t="shared" si="10"/>
        <v>23.80170904495182</v>
      </c>
      <c r="D74" s="50">
        <f t="shared" si="10"/>
        <v>23.276500190685734</v>
      </c>
      <c r="E74" s="268">
        <f t="shared" si="10"/>
        <v>33.523484096778986</v>
      </c>
      <c r="F74" s="50">
        <f t="shared" si="10"/>
        <v>23.29509720758588</v>
      </c>
      <c r="G74" s="50">
        <f t="shared" si="10"/>
        <v>24.877803842734394</v>
      </c>
      <c r="H74" s="50">
        <f t="shared" si="10"/>
        <v>23.825698011663263</v>
      </c>
      <c r="I74" s="50">
        <f t="shared" si="10"/>
        <v>21.059392938016494</v>
      </c>
    </row>
    <row r="75" spans="1:9" ht="15">
      <c r="A75" s="43" t="str">
        <f>HLOOKUP(INDICE!$F$2,Nombres!$C$3:$D$636,44,FALSE)</f>
        <v>Deterioro de activos financieros no valorados a valor razonable con cambios en resultados</v>
      </c>
      <c r="B75" s="44">
        <v>-3.990334964867414</v>
      </c>
      <c r="C75" s="44">
        <v>-10.624478702843255</v>
      </c>
      <c r="D75" s="44">
        <v>-7.892467644562262</v>
      </c>
      <c r="E75" s="45">
        <v>-34.60427490743943</v>
      </c>
      <c r="F75" s="44">
        <v>-20.83722728865908</v>
      </c>
      <c r="G75" s="44">
        <v>-17.618948273887202</v>
      </c>
      <c r="H75" s="44">
        <v>-18.702184550543056</v>
      </c>
      <c r="I75" s="44">
        <v>-12.359639886910665</v>
      </c>
    </row>
    <row r="76" spans="1:9" ht="15">
      <c r="A76" s="43" t="str">
        <f>HLOOKUP(INDICE!$F$2,Nombres!$C$3:$D$636,45,FALSE)</f>
        <v>Provisiones o reversión de provisiones y otros resultados</v>
      </c>
      <c r="B76" s="44">
        <v>0.13191189966503847</v>
      </c>
      <c r="C76" s="44">
        <v>0.025065704651636257</v>
      </c>
      <c r="D76" s="44">
        <v>-0.11077379583914193</v>
      </c>
      <c r="E76" s="45">
        <v>-0.6594483622607524</v>
      </c>
      <c r="F76" s="44">
        <v>-0.39525495593589055</v>
      </c>
      <c r="G76" s="44">
        <v>-0.21893830519481466</v>
      </c>
      <c r="H76" s="44">
        <v>-0.47339895851975394</v>
      </c>
      <c r="I76" s="44">
        <v>-0.12540778034954084</v>
      </c>
    </row>
    <row r="77" spans="1:9" ht="15">
      <c r="A77" s="41" t="str">
        <f>HLOOKUP(INDICE!$F$2,Nombres!$C$3:$D$636,46,FALSE)</f>
        <v>Resultado antes de impuestos</v>
      </c>
      <c r="B77" s="50">
        <f aca="true" t="shared" si="11" ref="B77:I77">+B74+B75+B76</f>
        <v>23.200396092624768</v>
      </c>
      <c r="C77" s="50">
        <f t="shared" si="11"/>
        <v>13.202296046760202</v>
      </c>
      <c r="D77" s="50">
        <f t="shared" si="11"/>
        <v>15.273258750284329</v>
      </c>
      <c r="E77" s="268">
        <f t="shared" si="11"/>
        <v>-1.7402391729211981</v>
      </c>
      <c r="F77" s="50">
        <f t="shared" si="11"/>
        <v>2.0626149629909096</v>
      </c>
      <c r="G77" s="50">
        <f t="shared" si="11"/>
        <v>7.039917263652377</v>
      </c>
      <c r="H77" s="50">
        <f t="shared" si="11"/>
        <v>4.650114502600454</v>
      </c>
      <c r="I77" s="50">
        <f t="shared" si="11"/>
        <v>8.574345270756288</v>
      </c>
    </row>
    <row r="78" spans="1:9" ht="15">
      <c r="A78" s="43" t="str">
        <f>HLOOKUP(INDICE!$F$2,Nombres!$C$3:$D$636,47,FALSE)</f>
        <v>Impuesto sobre beneficios</v>
      </c>
      <c r="B78" s="44">
        <v>-4.739701783349938</v>
      </c>
      <c r="C78" s="44">
        <v>-0.01407177293097489</v>
      </c>
      <c r="D78" s="44">
        <v>-1.228013878417478</v>
      </c>
      <c r="E78" s="45">
        <v>-0.1375927915266315</v>
      </c>
      <c r="F78" s="44">
        <v>0.03808703617385534</v>
      </c>
      <c r="G78" s="44">
        <v>-0.661492044609157</v>
      </c>
      <c r="H78" s="44">
        <v>-1.1068446699563652</v>
      </c>
      <c r="I78" s="44">
        <v>-0.6879479216083333</v>
      </c>
    </row>
    <row r="79" spans="1:9" ht="15">
      <c r="A79" s="41" t="str">
        <f>HLOOKUP(INDICE!$F$2,Nombres!$C$3:$D$636,48,FALSE)</f>
        <v>Resultado del ejercicio</v>
      </c>
      <c r="B79" s="50">
        <f aca="true" t="shared" si="12" ref="B79:I79">+B77+B78</f>
        <v>18.460694309274828</v>
      </c>
      <c r="C79" s="50">
        <f t="shared" si="12"/>
        <v>13.188224273829226</v>
      </c>
      <c r="D79" s="50">
        <f t="shared" si="12"/>
        <v>14.045244871866851</v>
      </c>
      <c r="E79" s="268">
        <f t="shared" si="12"/>
        <v>-1.8778319644478296</v>
      </c>
      <c r="F79" s="50">
        <f t="shared" si="12"/>
        <v>2.100701999164765</v>
      </c>
      <c r="G79" s="50">
        <f t="shared" si="12"/>
        <v>6.37842521904322</v>
      </c>
      <c r="H79" s="50">
        <f t="shared" si="12"/>
        <v>3.543269832644089</v>
      </c>
      <c r="I79" s="50">
        <f t="shared" si="12"/>
        <v>7.886397349147955</v>
      </c>
    </row>
    <row r="80" spans="1:9" ht="15">
      <c r="A80" s="43" t="str">
        <f>HLOOKUP(INDICE!$F$2,Nombres!$C$3:$D$636,49,FALSE)</f>
        <v>Minoritarios</v>
      </c>
      <c r="B80" s="44">
        <v>0</v>
      </c>
      <c r="C80" s="44">
        <v>0</v>
      </c>
      <c r="D80" s="44">
        <v>0</v>
      </c>
      <c r="E80" s="45">
        <v>0</v>
      </c>
      <c r="F80" s="44">
        <v>0</v>
      </c>
      <c r="G80" s="44">
        <v>0</v>
      </c>
      <c r="H80" s="44">
        <v>0</v>
      </c>
      <c r="I80" s="44">
        <v>0</v>
      </c>
    </row>
    <row r="81" spans="1:9" ht="15">
      <c r="A81" s="47" t="str">
        <f>HLOOKUP(INDICE!$F$2,Nombres!$C$3:$D$636,50,FALSE)</f>
        <v>Resultado atribuido</v>
      </c>
      <c r="B81" s="51">
        <f aca="true" t="shared" si="13" ref="B81:I81">+B79+B80</f>
        <v>18.460694309274828</v>
      </c>
      <c r="C81" s="51">
        <f t="shared" si="13"/>
        <v>13.188224273829226</v>
      </c>
      <c r="D81" s="51">
        <f t="shared" si="13"/>
        <v>14.045244871866851</v>
      </c>
      <c r="E81" s="79">
        <f t="shared" si="13"/>
        <v>-1.8778319644478296</v>
      </c>
      <c r="F81" s="51">
        <f t="shared" si="13"/>
        <v>2.100701999164765</v>
      </c>
      <c r="G81" s="51">
        <f t="shared" si="13"/>
        <v>6.37842521904322</v>
      </c>
      <c r="H81" s="51">
        <f t="shared" si="13"/>
        <v>3.543269832644089</v>
      </c>
      <c r="I81" s="51">
        <f t="shared" si="13"/>
        <v>7.886397349147955</v>
      </c>
    </row>
    <row r="82" spans="1:9" ht="15">
      <c r="A82" s="267"/>
      <c r="B82" s="63">
        <v>0</v>
      </c>
      <c r="C82" s="63">
        <v>0</v>
      </c>
      <c r="D82" s="63">
        <v>0</v>
      </c>
      <c r="E82" s="63">
        <v>-8.881784197001252E-15</v>
      </c>
      <c r="F82" s="63">
        <v>3.9968028886505635E-15</v>
      </c>
      <c r="G82" s="63">
        <v>0</v>
      </c>
      <c r="H82" s="63">
        <v>4.440892098500626E-15</v>
      </c>
      <c r="I82" s="63">
        <v>7.105427357601002E-15</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44651</v>
      </c>
      <c r="C86" s="53">
        <f t="shared" si="14"/>
        <v>44742</v>
      </c>
      <c r="D86" s="53">
        <f t="shared" si="14"/>
        <v>44834</v>
      </c>
      <c r="E86" s="67">
        <f t="shared" si="14"/>
        <v>44926</v>
      </c>
      <c r="F86" s="53">
        <f t="shared" si="14"/>
        <v>45016</v>
      </c>
      <c r="G86" s="53">
        <f t="shared" si="14"/>
        <v>45107</v>
      </c>
      <c r="H86" s="53">
        <f t="shared" si="14"/>
        <v>45199</v>
      </c>
      <c r="I86" s="53">
        <f t="shared" si="14"/>
        <v>45291</v>
      </c>
    </row>
    <row r="87" spans="1:9" ht="15">
      <c r="A87" s="43" t="str">
        <f>HLOOKUP(INDICE!$F$2,Nombres!$C$3:$D$636,52,FALSE)</f>
        <v>Efectivo, saldos en efectivo en bancos centrales y otros depósitos a la vista</v>
      </c>
      <c r="B87" s="44">
        <v>18.844795232115608</v>
      </c>
      <c r="C87" s="44">
        <v>25.19656379756877</v>
      </c>
      <c r="D87" s="44">
        <v>36.4535200307304</v>
      </c>
      <c r="E87" s="45">
        <v>52.85809273338185</v>
      </c>
      <c r="F87" s="44">
        <v>26.891289095120392</v>
      </c>
      <c r="G87" s="44">
        <v>31.080375050587037</v>
      </c>
      <c r="H87" s="44">
        <v>57.737402451635994</v>
      </c>
      <c r="I87" s="44">
        <v>27.008000000000003</v>
      </c>
    </row>
    <row r="88" spans="1:9" ht="15">
      <c r="A88" s="43" t="str">
        <f>HLOOKUP(INDICE!$F$2,Nombres!$C$3:$D$636,53,FALSE)</f>
        <v>Activos financieros a valor razonable</v>
      </c>
      <c r="B88" s="58">
        <v>0</v>
      </c>
      <c r="C88" s="58">
        <v>0</v>
      </c>
      <c r="D88" s="58">
        <v>0</v>
      </c>
      <c r="E88" s="64">
        <v>0</v>
      </c>
      <c r="F88" s="44">
        <v>0</v>
      </c>
      <c r="G88" s="44">
        <v>0</v>
      </c>
      <c r="H88" s="44">
        <v>0</v>
      </c>
      <c r="I88" s="44">
        <v>0</v>
      </c>
    </row>
    <row r="89" spans="1:9" ht="15">
      <c r="A89" s="43" t="str">
        <f>HLOOKUP(INDICE!$F$2,Nombres!$C$3:$D$636,54,FALSE)</f>
        <v>Activos financieros a coste amortizado</v>
      </c>
      <c r="B89" s="44">
        <v>1569.6686367891346</v>
      </c>
      <c r="C89" s="44">
        <v>1605.3507593351203</v>
      </c>
      <c r="D89" s="44">
        <v>1784.4980681639556</v>
      </c>
      <c r="E89" s="45">
        <v>1887.4387942495225</v>
      </c>
      <c r="F89" s="44">
        <v>1941.3434735317085</v>
      </c>
      <c r="G89" s="44">
        <v>1964.2954075666717</v>
      </c>
      <c r="H89" s="44">
        <v>1964.0122688377287</v>
      </c>
      <c r="I89" s="44">
        <v>2003.0230000000001</v>
      </c>
    </row>
    <row r="90" spans="1:9" ht="15">
      <c r="A90" s="43" t="str">
        <f>HLOOKUP(INDICE!$F$2,Nombres!$C$3:$D$636,55,FALSE)</f>
        <v>    de los que préstamos y anticipos a la clientela</v>
      </c>
      <c r="B90" s="44">
        <v>1465.7880440205245</v>
      </c>
      <c r="C90" s="44">
        <v>1580.0710998627321</v>
      </c>
      <c r="D90" s="44">
        <v>1743.5254291463284</v>
      </c>
      <c r="E90" s="45">
        <v>1856.971696848151</v>
      </c>
      <c r="F90" s="44">
        <v>1908.6984215814111</v>
      </c>
      <c r="G90" s="44">
        <v>1924.161820376005</v>
      </c>
      <c r="H90" s="44">
        <v>1954.7538412082383</v>
      </c>
      <c r="I90" s="44">
        <v>1998.634</v>
      </c>
    </row>
    <row r="91" spans="1:9" ht="15" customHeight="1" hidden="1">
      <c r="A91" s="43"/>
      <c r="B91" s="44"/>
      <c r="C91" s="44"/>
      <c r="D91" s="44"/>
      <c r="E91" s="45"/>
      <c r="F91" s="44"/>
      <c r="G91" s="44"/>
      <c r="H91" s="44"/>
      <c r="I91" s="44"/>
    </row>
    <row r="92" spans="1:9" ht="15">
      <c r="A92" s="43" t="str">
        <f>HLOOKUP(INDICE!$F$2,Nombres!$C$3:$D$636,56,FALSE)</f>
        <v>Activos tangibles</v>
      </c>
      <c r="B92" s="44">
        <v>6.807548182759029</v>
      </c>
      <c r="C92" s="44">
        <v>6.397389364913869</v>
      </c>
      <c r="D92" s="44">
        <v>5.996912320065982</v>
      </c>
      <c r="E92" s="45">
        <v>3.929725661435973</v>
      </c>
      <c r="F92" s="44">
        <v>3.656695440927481</v>
      </c>
      <c r="G92" s="44">
        <v>3.385362394979537</v>
      </c>
      <c r="H92" s="44">
        <v>3.1844273375317163</v>
      </c>
      <c r="I92" s="44">
        <v>6.463</v>
      </c>
    </row>
    <row r="93" spans="1:9" ht="15">
      <c r="A93" s="43" t="str">
        <f>HLOOKUP(INDICE!$F$2,Nombres!$C$3:$D$636,57,FALSE)</f>
        <v>Otros activos</v>
      </c>
      <c r="B93" s="58">
        <f>+B94-B92-B89-B88-B87</f>
        <v>208.7247830314108</v>
      </c>
      <c r="C93" s="58">
        <f aca="true" t="shared" si="15" ref="C93:I93">+C94-C92-C89-C88-C87</f>
        <v>267.91490742175716</v>
      </c>
      <c r="D93" s="58">
        <f t="shared" si="15"/>
        <v>296.96710397579307</v>
      </c>
      <c r="E93" s="64">
        <f t="shared" si="15"/>
        <v>289.25896614466484</v>
      </c>
      <c r="F93" s="44">
        <f t="shared" si="15"/>
        <v>291.8805194931405</v>
      </c>
      <c r="G93" s="44">
        <f t="shared" si="15"/>
        <v>263.4916567234641</v>
      </c>
      <c r="H93" s="44">
        <f t="shared" si="15"/>
        <v>279.3784531621347</v>
      </c>
      <c r="I93" s="44">
        <f t="shared" si="15"/>
        <v>279.07398197000003</v>
      </c>
    </row>
    <row r="94" spans="1:9" ht="15">
      <c r="A94" s="47" t="str">
        <f>HLOOKUP(INDICE!$F$2,Nombres!$C$3:$D$636,58,FALSE)</f>
        <v>Total activo / pasivo</v>
      </c>
      <c r="B94" s="47">
        <v>1804.04576323542</v>
      </c>
      <c r="C94" s="47">
        <v>1904.85961991936</v>
      </c>
      <c r="D94" s="47">
        <v>2123.915604490545</v>
      </c>
      <c r="E94" s="47">
        <v>2233.485578789005</v>
      </c>
      <c r="F94" s="51">
        <v>2263.771977560897</v>
      </c>
      <c r="G94" s="51">
        <v>2262.252801735702</v>
      </c>
      <c r="H94" s="51">
        <v>2304.312551789031</v>
      </c>
      <c r="I94" s="51">
        <v>2315.5679819700003</v>
      </c>
    </row>
    <row r="95" spans="1:9" ht="15">
      <c r="A95" s="43" t="str">
        <f>HLOOKUP(INDICE!$F$2,Nombres!$C$3:$D$636,59,FALSE)</f>
        <v>Pasivos financieros mantenidos para negociar y designados a valor razonable con cambios en resultados</v>
      </c>
      <c r="B95" s="58">
        <v>0</v>
      </c>
      <c r="C95" s="58">
        <v>0</v>
      </c>
      <c r="D95" s="58">
        <v>0</v>
      </c>
      <c r="E95" s="64">
        <v>0</v>
      </c>
      <c r="F95" s="44">
        <v>0</v>
      </c>
      <c r="G95" s="44">
        <v>0</v>
      </c>
      <c r="H95" s="44">
        <v>0</v>
      </c>
      <c r="I95" s="44">
        <v>0</v>
      </c>
    </row>
    <row r="96" spans="1:9" ht="15">
      <c r="A96" s="43" t="str">
        <f>HLOOKUP(INDICE!$F$2,Nombres!$C$3:$D$636,60,FALSE)</f>
        <v>Depósitos de bancos centrales y entidades de crédito</v>
      </c>
      <c r="B96" s="58">
        <v>579.687535307837</v>
      </c>
      <c r="C96" s="58">
        <v>533.4693443592106</v>
      </c>
      <c r="D96" s="58">
        <v>794.1173912592948</v>
      </c>
      <c r="E96" s="64">
        <v>944.0101405507866</v>
      </c>
      <c r="F96" s="44">
        <v>900.4691558487975</v>
      </c>
      <c r="G96" s="44">
        <v>928.5083587617755</v>
      </c>
      <c r="H96" s="44">
        <v>954.3876157774106</v>
      </c>
      <c r="I96" s="44">
        <v>1055.839</v>
      </c>
    </row>
    <row r="97" spans="1:9" ht="15">
      <c r="A97" s="43" t="str">
        <f>HLOOKUP(INDICE!$F$2,Nombres!$C$3:$D$636,61,FALSE)</f>
        <v>Depósitos de la clientela</v>
      </c>
      <c r="B97" s="58">
        <v>13.83769380445529</v>
      </c>
      <c r="C97" s="58">
        <v>10.625492818956118</v>
      </c>
      <c r="D97" s="58">
        <v>8.562338425822723</v>
      </c>
      <c r="E97" s="64">
        <v>6.25754883367561</v>
      </c>
      <c r="F97" s="44">
        <v>7.350273977080455</v>
      </c>
      <c r="G97" s="44">
        <v>4.994167982261589</v>
      </c>
      <c r="H97" s="44">
        <v>6.183096413707415</v>
      </c>
      <c r="I97" s="44">
        <v>6.653</v>
      </c>
    </row>
    <row r="98" spans="1:9" ht="15">
      <c r="A98" s="43" t="str">
        <f>HLOOKUP(INDICE!$F$2,Nombres!$C$3:$D$636,62,FALSE)</f>
        <v>Valores representativos de deuda emitidos</v>
      </c>
      <c r="B98" s="44">
        <v>729.1387892695276</v>
      </c>
      <c r="C98" s="44">
        <v>855.8135934098738</v>
      </c>
      <c r="D98" s="44">
        <v>788.601395663</v>
      </c>
      <c r="E98" s="45">
        <v>731.2345574981915</v>
      </c>
      <c r="F98" s="44">
        <v>795.6231167931194</v>
      </c>
      <c r="G98" s="44">
        <v>763.736271530624</v>
      </c>
      <c r="H98" s="44">
        <v>799.9015190851984</v>
      </c>
      <c r="I98" s="44">
        <v>662.0529408</v>
      </c>
    </row>
    <row r="99" spans="1:9" ht="15" customHeight="1" hidden="1">
      <c r="A99" s="43"/>
      <c r="B99" s="44"/>
      <c r="C99" s="44"/>
      <c r="D99" s="44"/>
      <c r="E99" s="45"/>
      <c r="F99" s="44"/>
      <c r="G99" s="44"/>
      <c r="H99" s="44"/>
      <c r="I99" s="44"/>
    </row>
    <row r="100" spans="1:9" ht="15">
      <c r="A100" s="43" t="str">
        <f>HLOOKUP(INDICE!$F$2,Nombres!$C$3:$D$636,63,FALSE)</f>
        <v>Otros pasivos</v>
      </c>
      <c r="B100" s="58">
        <f>+B94-B95-B96-B97-B98-B101</f>
        <v>264.7452181317373</v>
      </c>
      <c r="C100" s="58">
        <f aca="true" t="shared" si="16" ref="C100:I100">+C94-C95-C96-C97-C98-C101</f>
        <v>249.8687792325848</v>
      </c>
      <c r="D100" s="58">
        <f t="shared" si="16"/>
        <v>249.58349305730314</v>
      </c>
      <c r="E100" s="64">
        <f t="shared" si="16"/>
        <v>293.1632182833139</v>
      </c>
      <c r="F100" s="44">
        <f t="shared" si="16"/>
        <v>295.7270726689664</v>
      </c>
      <c r="G100" s="44">
        <f t="shared" si="16"/>
        <v>286.91893963356614</v>
      </c>
      <c r="H100" s="44">
        <f t="shared" si="16"/>
        <v>266.99537818164634</v>
      </c>
      <c r="I100" s="44">
        <f t="shared" si="16"/>
        <v>309.2835343400004</v>
      </c>
    </row>
    <row r="101" spans="1:9" ht="15">
      <c r="A101" s="43" t="str">
        <f>HLOOKUP(INDICE!$F$2,Nombres!$C$3:$D$636,282,FALSE)</f>
        <v>Dotación de capital regulatorio</v>
      </c>
      <c r="B101" s="58">
        <v>216.6365267218627</v>
      </c>
      <c r="C101" s="58">
        <v>255.08241009873456</v>
      </c>
      <c r="D101" s="58">
        <v>283.05098608512424</v>
      </c>
      <c r="E101" s="64">
        <v>258.8201136230374</v>
      </c>
      <c r="F101" s="44">
        <v>264.6023582729334</v>
      </c>
      <c r="G101" s="44">
        <v>278.0950638274749</v>
      </c>
      <c r="H101" s="44">
        <v>276.84494233106824</v>
      </c>
      <c r="I101" s="44">
        <v>281.73950683</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44651</v>
      </c>
      <c r="C106" s="53">
        <f t="shared" si="17"/>
        <v>44742</v>
      </c>
      <c r="D106" s="53">
        <f t="shared" si="17"/>
        <v>44834</v>
      </c>
      <c r="E106" s="67">
        <f t="shared" si="17"/>
        <v>44926</v>
      </c>
      <c r="F106" s="53">
        <f t="shared" si="17"/>
        <v>45016</v>
      </c>
      <c r="G106" s="53">
        <f t="shared" si="17"/>
        <v>45107</v>
      </c>
      <c r="H106" s="53">
        <f t="shared" si="17"/>
        <v>45199</v>
      </c>
      <c r="I106" s="53">
        <f t="shared" si="17"/>
        <v>45291</v>
      </c>
    </row>
    <row r="107" spans="1:9" ht="15">
      <c r="A107" s="43" t="str">
        <f>HLOOKUP(INDICE!$F$2,Nombres!$C$3:$D$636,66,FALSE)</f>
        <v>Préstamos y anticipos a la clientela bruto (*)</v>
      </c>
      <c r="B107" s="44">
        <v>1520.3011734540719</v>
      </c>
      <c r="C107" s="44">
        <v>1642.3801472269613</v>
      </c>
      <c r="D107" s="44">
        <v>1809.6783563923705</v>
      </c>
      <c r="E107" s="45">
        <v>1949.573478037144</v>
      </c>
      <c r="F107" s="44">
        <v>2011.8823931504646</v>
      </c>
      <c r="G107" s="44">
        <v>2032.4327410420083</v>
      </c>
      <c r="H107" s="44">
        <v>2064.930112847117</v>
      </c>
      <c r="I107" s="44">
        <v>2103.6730000000002</v>
      </c>
    </row>
    <row r="108" spans="1:9" ht="15">
      <c r="A108" s="43" t="str">
        <f>HLOOKUP(INDICE!$F$2,Nombres!$C$3:$D$636,67,FALSE)</f>
        <v>Depósitos de clientes en gestión (**)</v>
      </c>
      <c r="B108" s="44">
        <v>13.83769380445529</v>
      </c>
      <c r="C108" s="44">
        <v>10.625492818956118</v>
      </c>
      <c r="D108" s="44">
        <v>8.562338425822723</v>
      </c>
      <c r="E108" s="45">
        <v>6.25754883367561</v>
      </c>
      <c r="F108" s="44">
        <v>7.350273977080455</v>
      </c>
      <c r="G108" s="44">
        <v>4.9941679822615885</v>
      </c>
      <c r="H108" s="44">
        <v>6.183096413707415</v>
      </c>
      <c r="I108" s="44">
        <v>6.653</v>
      </c>
    </row>
    <row r="109" spans="1:9" ht="15">
      <c r="A109" s="43" t="str">
        <f>HLOOKUP(INDICE!$F$2,Nombres!$C$3:$D$636,68,FALSE)</f>
        <v>Fondos de inversión y carteras gestionadas</v>
      </c>
      <c r="B109" s="44">
        <v>0</v>
      </c>
      <c r="C109" s="44">
        <v>0</v>
      </c>
      <c r="D109" s="44">
        <v>0</v>
      </c>
      <c r="E109" s="45">
        <v>0</v>
      </c>
      <c r="F109" s="44">
        <v>0</v>
      </c>
      <c r="G109" s="44">
        <v>0</v>
      </c>
      <c r="H109" s="44">
        <v>0</v>
      </c>
      <c r="I109" s="44">
        <v>0</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HLOOKUP(INDICE!$F$2,Nombres!$C$3:$D$636,81,FALSE)</f>
        <v>(Millones de pesos chilenos)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1">
        <f>+B$6</f>
        <v>2022</v>
      </c>
      <c r="C118" s="301"/>
      <c r="D118" s="301"/>
      <c r="E118" s="302"/>
      <c r="F118" s="301">
        <f>+F$6</f>
        <v>2023</v>
      </c>
      <c r="G118" s="301"/>
      <c r="H118" s="301"/>
      <c r="I118" s="301"/>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50">
        <v>30574.584234627124</v>
      </c>
      <c r="C120" s="50">
        <v>30038.977983858385</v>
      </c>
      <c r="D120" s="50">
        <v>30342.761180359048</v>
      </c>
      <c r="E120" s="268">
        <v>26891.12232877582</v>
      </c>
      <c r="F120" s="50">
        <v>25583.45644002873</v>
      </c>
      <c r="G120" s="50">
        <v>27404.13014058501</v>
      </c>
      <c r="H120" s="50">
        <v>25349.47089579121</v>
      </c>
      <c r="I120" s="50">
        <v>27922.493073155627</v>
      </c>
    </row>
    <row r="121" spans="1:9" ht="15">
      <c r="A121" s="43" t="str">
        <f>HLOOKUP(INDICE!$F$2,Nombres!$C$3:$D$636,34,FALSE)</f>
        <v>Comisiones netas</v>
      </c>
      <c r="B121" s="44">
        <v>4538.712700348422</v>
      </c>
      <c r="C121" s="44">
        <v>2853.4272575399523</v>
      </c>
      <c r="D121" s="44">
        <v>3652.13936987126</v>
      </c>
      <c r="E121" s="45">
        <v>23933.60828765149</v>
      </c>
      <c r="F121" s="44">
        <v>8020.646265890879</v>
      </c>
      <c r="G121" s="44">
        <v>7000.857262235074</v>
      </c>
      <c r="H121" s="44">
        <v>8271.884963687886</v>
      </c>
      <c r="I121" s="44">
        <v>5112.495068643476</v>
      </c>
    </row>
    <row r="122" spans="1:9" ht="15">
      <c r="A122" s="43" t="str">
        <f>HLOOKUP(INDICE!$F$2,Nombres!$C$3:$D$636,35,FALSE)</f>
        <v>Resultados de operaciones financieras</v>
      </c>
      <c r="B122" s="44">
        <v>1290.8098919790918</v>
      </c>
      <c r="C122" s="44">
        <v>1419.3105198801186</v>
      </c>
      <c r="D122" s="44">
        <v>1372.7503020378872</v>
      </c>
      <c r="E122" s="45">
        <v>1154.4060700764385</v>
      </c>
      <c r="F122" s="44">
        <v>1626.0893016245523</v>
      </c>
      <c r="G122" s="44">
        <v>2051.703373930426</v>
      </c>
      <c r="H122" s="44">
        <v>1998.7025025280354</v>
      </c>
      <c r="I122" s="44">
        <v>600.195004916477</v>
      </c>
    </row>
    <row r="123" spans="1:9" ht="15">
      <c r="A123" s="43" t="str">
        <f>HLOOKUP(INDICE!$F$2,Nombres!$C$3:$D$636,36,FALSE)</f>
        <v>Otros ingresos y cargas de explotación</v>
      </c>
      <c r="B123" s="44">
        <v>-106.20587718815311</v>
      </c>
      <c r="C123" s="44">
        <v>-185.29225568914458</v>
      </c>
      <c r="D123" s="44">
        <v>-203.92059285367972</v>
      </c>
      <c r="E123" s="45">
        <v>-406.67398123344975</v>
      </c>
      <c r="F123" s="44">
        <v>-318.0721302748991</v>
      </c>
      <c r="G123" s="44">
        <v>-243.31646490343843</v>
      </c>
      <c r="H123" s="44">
        <v>-249.41214286393696</v>
      </c>
      <c r="I123" s="44">
        <v>-1451.896113745241</v>
      </c>
    </row>
    <row r="124" spans="1:9" ht="15">
      <c r="A124" s="41" t="str">
        <f>HLOOKUP(INDICE!$F$2,Nombres!$C$3:$D$636,37,FALSE)</f>
        <v>Margen bruto</v>
      </c>
      <c r="B124" s="50">
        <f aca="true" t="shared" si="19" ref="B124:I124">+SUM(B120:B123)</f>
        <v>36297.90094976648</v>
      </c>
      <c r="C124" s="50">
        <f t="shared" si="19"/>
        <v>34126.423505589315</v>
      </c>
      <c r="D124" s="50">
        <f t="shared" si="19"/>
        <v>35163.73025941451</v>
      </c>
      <c r="E124" s="268">
        <f t="shared" si="19"/>
        <v>51572.46270527029</v>
      </c>
      <c r="F124" s="50">
        <f t="shared" si="19"/>
        <v>34912.11987726926</v>
      </c>
      <c r="G124" s="50">
        <f t="shared" si="19"/>
        <v>36213.374311847074</v>
      </c>
      <c r="H124" s="50">
        <f t="shared" si="19"/>
        <v>35370.6462191432</v>
      </c>
      <c r="I124" s="50">
        <f t="shared" si="19"/>
        <v>32183.287032970344</v>
      </c>
    </row>
    <row r="125" spans="1:9" ht="15">
      <c r="A125" s="43" t="str">
        <f>HLOOKUP(INDICE!$F$2,Nombres!$C$3:$D$636,38,FALSE)</f>
        <v>Gastos de explotación</v>
      </c>
      <c r="B125" s="44">
        <v>-11719.055136236497</v>
      </c>
      <c r="C125" s="44">
        <v>-12506.169742773212</v>
      </c>
      <c r="D125" s="44">
        <v>-14020.549327220167</v>
      </c>
      <c r="E125" s="45">
        <v>-21121.446275430615</v>
      </c>
      <c r="F125" s="44">
        <v>-13752.046367157378</v>
      </c>
      <c r="G125" s="44">
        <v>-13615.651134672265</v>
      </c>
      <c r="H125" s="44">
        <v>-13728.602107288309</v>
      </c>
      <c r="I125" s="44">
        <v>-13054.01280518786</v>
      </c>
    </row>
    <row r="126" spans="1:9" ht="15">
      <c r="A126" s="43" t="str">
        <f>HLOOKUP(INDICE!$F$2,Nombres!$C$3:$D$636,39,FALSE)</f>
        <v>  Gastos de administración</v>
      </c>
      <c r="B126" s="44">
        <v>-10516.296270644165</v>
      </c>
      <c r="C126" s="44">
        <v>-11323.697756369576</v>
      </c>
      <c r="D126" s="44">
        <v>-12844.787018022756</v>
      </c>
      <c r="E126" s="45">
        <v>-20274.75757339903</v>
      </c>
      <c r="F126" s="44">
        <v>-12603.500976192125</v>
      </c>
      <c r="G126" s="44">
        <v>-12421.009345762715</v>
      </c>
      <c r="H126" s="44">
        <v>-12302.58936882169</v>
      </c>
      <c r="I126" s="44">
        <v>-11419.445733852874</v>
      </c>
    </row>
    <row r="127" spans="1:9" ht="15">
      <c r="A127" s="46" t="str">
        <f>HLOOKUP(INDICE!$F$2,Nombres!$C$3:$D$636,40,FALSE)</f>
        <v>  Gastos de personal</v>
      </c>
      <c r="B127" s="44">
        <v>-5334.802907989537</v>
      </c>
      <c r="C127" s="44">
        <v>-5356.771024509985</v>
      </c>
      <c r="D127" s="44">
        <v>-6166.348342512024</v>
      </c>
      <c r="E127" s="45">
        <v>-5935.748788653194</v>
      </c>
      <c r="F127" s="44">
        <v>-5963.19886978393</v>
      </c>
      <c r="G127" s="44">
        <v>-6122.346912129848</v>
      </c>
      <c r="H127" s="44">
        <v>-6462.299861116959</v>
      </c>
      <c r="I127" s="44">
        <v>-6272.7852181069065</v>
      </c>
    </row>
    <row r="128" spans="1:9" ht="15">
      <c r="A128" s="46" t="str">
        <f>HLOOKUP(INDICE!$F$2,Nombres!$C$3:$D$636,41,FALSE)</f>
        <v>  Otros gastos de administración</v>
      </c>
      <c r="B128" s="44">
        <v>-5181.493362654628</v>
      </c>
      <c r="C128" s="44">
        <v>-5966.92673185959</v>
      </c>
      <c r="D128" s="44">
        <v>-6678.438675510733</v>
      </c>
      <c r="E128" s="45">
        <v>-14339.008784745834</v>
      </c>
      <c r="F128" s="44">
        <v>-6640.302106408195</v>
      </c>
      <c r="G128" s="44">
        <v>-6298.66243363287</v>
      </c>
      <c r="H128" s="44">
        <v>-5840.289507704729</v>
      </c>
      <c r="I128" s="44">
        <v>-5146.660515745967</v>
      </c>
    </row>
    <row r="129" spans="1:9" ht="15">
      <c r="A129" s="43" t="str">
        <f>HLOOKUP(INDICE!$F$2,Nombres!$C$3:$D$636,42,FALSE)</f>
        <v>  Amortización</v>
      </c>
      <c r="B129" s="44">
        <v>-1202.7588655923323</v>
      </c>
      <c r="C129" s="44">
        <v>-1182.471986403636</v>
      </c>
      <c r="D129" s="44">
        <v>-1175.7623091974106</v>
      </c>
      <c r="E129" s="45">
        <v>-846.6887020315886</v>
      </c>
      <c r="F129" s="44">
        <v>-1148.545390965252</v>
      </c>
      <c r="G129" s="44">
        <v>-1194.6417889095483</v>
      </c>
      <c r="H129" s="44">
        <v>-1426.0127384666184</v>
      </c>
      <c r="I129" s="44">
        <v>-1634.5670713349882</v>
      </c>
    </row>
    <row r="130" spans="1:9" ht="15">
      <c r="A130" s="41" t="str">
        <f>HLOOKUP(INDICE!$F$2,Nombres!$C$3:$D$636,43,FALSE)</f>
        <v>Margen neto</v>
      </c>
      <c r="B130" s="50">
        <f aca="true" t="shared" si="20" ref="B130:I130">+B124+B125</f>
        <v>24578.845813529984</v>
      </c>
      <c r="C130" s="50">
        <f t="shared" si="20"/>
        <v>21620.2537628161</v>
      </c>
      <c r="D130" s="50">
        <f t="shared" si="20"/>
        <v>21143.18093219434</v>
      </c>
      <c r="E130" s="268">
        <f t="shared" si="20"/>
        <v>30451.016429839678</v>
      </c>
      <c r="F130" s="50">
        <f t="shared" si="20"/>
        <v>21160.07351011188</v>
      </c>
      <c r="G130" s="50">
        <f t="shared" si="20"/>
        <v>22597.72317717481</v>
      </c>
      <c r="H130" s="50">
        <f t="shared" si="20"/>
        <v>21642.04411185489</v>
      </c>
      <c r="I130" s="50">
        <f t="shared" si="20"/>
        <v>19129.274227782484</v>
      </c>
    </row>
    <row r="131" spans="1:9" ht="15">
      <c r="A131" s="43" t="str">
        <f>HLOOKUP(INDICE!$F$2,Nombres!$C$3:$D$636,44,FALSE)</f>
        <v>Deterioro de activos financieros no valorados a valor razonable con cambios en resultados</v>
      </c>
      <c r="B131" s="44">
        <v>-3624.61596249825</v>
      </c>
      <c r="C131" s="44">
        <v>-9650.732441913668</v>
      </c>
      <c r="D131" s="44">
        <v>-7169.1134854218635</v>
      </c>
      <c r="E131" s="45">
        <v>-31432.751461843804</v>
      </c>
      <c r="F131" s="44">
        <v>-18927.470327591254</v>
      </c>
      <c r="G131" s="44">
        <v>-16004.150458101833</v>
      </c>
      <c r="H131" s="44">
        <v>-16988.10682619947</v>
      </c>
      <c r="I131" s="44">
        <v>-11226.864014990038</v>
      </c>
    </row>
    <row r="132" spans="1:9" ht="15">
      <c r="A132" s="43" t="str">
        <f>HLOOKUP(INDICE!$F$2,Nombres!$C$3:$D$636,45,FALSE)</f>
        <v>Provisiones o reversión de provisiones y otros resultados</v>
      </c>
      <c r="B132" s="44">
        <v>119.82201528919839</v>
      </c>
      <c r="C132" s="44">
        <v>22.76840265078002</v>
      </c>
      <c r="D132" s="44">
        <v>-100.62124412114791</v>
      </c>
      <c r="E132" s="45">
        <v>-599.0091261356232</v>
      </c>
      <c r="F132" s="44">
        <v>-359.0293634883792</v>
      </c>
      <c r="G132" s="44">
        <v>-198.8723460056209</v>
      </c>
      <c r="H132" s="44">
        <v>-430.0113741799017</v>
      </c>
      <c r="I132" s="44">
        <v>-113.91400633744138</v>
      </c>
    </row>
    <row r="133" spans="1:9" ht="15">
      <c r="A133" s="41" t="str">
        <f>HLOOKUP(INDICE!$F$2,Nombres!$C$3:$D$636,46,FALSE)</f>
        <v>Resultado antes de impuestos</v>
      </c>
      <c r="B133" s="50">
        <f aca="true" t="shared" si="21" ref="B133:I133">+B130+B131+B132</f>
        <v>21074.051866320933</v>
      </c>
      <c r="C133" s="50">
        <f t="shared" si="21"/>
        <v>11992.289723553213</v>
      </c>
      <c r="D133" s="50">
        <f t="shared" si="21"/>
        <v>13873.446202651328</v>
      </c>
      <c r="E133" s="268">
        <f t="shared" si="21"/>
        <v>-1580.7441581397493</v>
      </c>
      <c r="F133" s="50">
        <f t="shared" si="21"/>
        <v>1873.5738190322472</v>
      </c>
      <c r="G133" s="50">
        <f t="shared" si="21"/>
        <v>6394.700373067355</v>
      </c>
      <c r="H133" s="50">
        <f t="shared" si="21"/>
        <v>4223.9259114755205</v>
      </c>
      <c r="I133" s="50">
        <f t="shared" si="21"/>
        <v>7788.496206455004</v>
      </c>
    </row>
    <row r="134" spans="1:9" ht="15">
      <c r="A134" s="43" t="str">
        <f>HLOOKUP(INDICE!$F$2,Nombres!$C$3:$D$636,47,FALSE)</f>
        <v>Impuesto sobre beneficios</v>
      </c>
      <c r="B134" s="44">
        <v>-4305.302410115448</v>
      </c>
      <c r="C134" s="44">
        <v>-12.782078004810785</v>
      </c>
      <c r="D134" s="44">
        <v>-1115.4649284008854</v>
      </c>
      <c r="E134" s="45">
        <v>-124.98224657405171</v>
      </c>
      <c r="F134" s="44">
        <v>34.5963134662785</v>
      </c>
      <c r="G134" s="44">
        <v>-600.8655025369836</v>
      </c>
      <c r="H134" s="44">
        <v>-1005.4010237366758</v>
      </c>
      <c r="I134" s="44">
        <v>-624.896666566415</v>
      </c>
    </row>
    <row r="135" spans="1:9" ht="15">
      <c r="A135" s="41" t="str">
        <f>HLOOKUP(INDICE!$F$2,Nombres!$C$3:$D$636,48,FALSE)</f>
        <v>Resultado del ejercicio</v>
      </c>
      <c r="B135" s="50">
        <f aca="true" t="shared" si="22" ref="B135:I135">+B133+B134</f>
        <v>16768.749456205485</v>
      </c>
      <c r="C135" s="50">
        <f t="shared" si="22"/>
        <v>11979.507645548401</v>
      </c>
      <c r="D135" s="50">
        <f t="shared" si="22"/>
        <v>12757.981274250444</v>
      </c>
      <c r="E135" s="268">
        <f t="shared" si="22"/>
        <v>-1705.726404713801</v>
      </c>
      <c r="F135" s="50">
        <f t="shared" si="22"/>
        <v>1908.1701324985256</v>
      </c>
      <c r="G135" s="50">
        <f t="shared" si="22"/>
        <v>5793.8348705303715</v>
      </c>
      <c r="H135" s="50">
        <f t="shared" si="22"/>
        <v>3218.524887738845</v>
      </c>
      <c r="I135" s="50">
        <f t="shared" si="22"/>
        <v>7163.599539888589</v>
      </c>
    </row>
    <row r="136" spans="1:9" ht="15">
      <c r="A136" s="43" t="str">
        <f>HLOOKUP(INDICE!$F$2,Nombres!$C$3:$D$636,49,FALSE)</f>
        <v>Minoritarios</v>
      </c>
      <c r="B136" s="44">
        <v>0</v>
      </c>
      <c r="C136" s="44">
        <v>0</v>
      </c>
      <c r="D136" s="44">
        <v>0</v>
      </c>
      <c r="E136" s="45">
        <v>0</v>
      </c>
      <c r="F136" s="44">
        <v>0</v>
      </c>
      <c r="G136" s="44">
        <v>0</v>
      </c>
      <c r="H136" s="44">
        <v>0</v>
      </c>
      <c r="I136" s="44">
        <v>0</v>
      </c>
    </row>
    <row r="137" spans="1:9" ht="15">
      <c r="A137" s="47" t="str">
        <f>HLOOKUP(INDICE!$F$2,Nombres!$C$3:$D$636,50,FALSE)</f>
        <v>Resultado atribuido</v>
      </c>
      <c r="B137" s="51">
        <f aca="true" t="shared" si="23" ref="B137:I137">+B135+B136</f>
        <v>16768.749456205485</v>
      </c>
      <c r="C137" s="51">
        <f t="shared" si="23"/>
        <v>11979.507645548401</v>
      </c>
      <c r="D137" s="51">
        <f t="shared" si="23"/>
        <v>12757.981274250444</v>
      </c>
      <c r="E137" s="79">
        <f t="shared" si="23"/>
        <v>-1705.726404713801</v>
      </c>
      <c r="F137" s="51">
        <f t="shared" si="23"/>
        <v>1908.1701324985256</v>
      </c>
      <c r="G137" s="51">
        <f t="shared" si="23"/>
        <v>5793.8348705303715</v>
      </c>
      <c r="H137" s="51">
        <f t="shared" si="23"/>
        <v>3218.524887738845</v>
      </c>
      <c r="I137" s="51">
        <f t="shared" si="23"/>
        <v>7163.599539888589</v>
      </c>
    </row>
    <row r="138" spans="1:9" ht="15">
      <c r="A138" s="267"/>
      <c r="B138" s="63">
        <v>0</v>
      </c>
      <c r="C138" s="63">
        <v>0</v>
      </c>
      <c r="D138" s="63">
        <v>0</v>
      </c>
      <c r="E138" s="63">
        <v>-3.183231456205249E-12</v>
      </c>
      <c r="F138" s="63">
        <v>-1.0459189070388675E-11</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HLOOKUP(INDICE!$F$2,Nombres!$C$3:$D$636,81,FALSE)</f>
        <v>(Millones de pesos chilenos)</v>
      </c>
      <c r="B141" s="30"/>
      <c r="C141" s="52"/>
      <c r="D141" s="52"/>
      <c r="E141" s="52"/>
      <c r="F141" s="69"/>
      <c r="G141" s="44"/>
      <c r="H141" s="44"/>
      <c r="I141" s="44"/>
    </row>
    <row r="142" spans="1:9" ht="15.75">
      <c r="A142" s="30"/>
      <c r="B142" s="53">
        <f aca="true" t="shared" si="24" ref="B142:I142">+B$30</f>
        <v>44651</v>
      </c>
      <c r="C142" s="53">
        <f t="shared" si="24"/>
        <v>44742</v>
      </c>
      <c r="D142" s="53">
        <f t="shared" si="24"/>
        <v>44834</v>
      </c>
      <c r="E142" s="67">
        <f t="shared" si="24"/>
        <v>44926</v>
      </c>
      <c r="F142" s="53">
        <f t="shared" si="24"/>
        <v>45016</v>
      </c>
      <c r="G142" s="53">
        <f t="shared" si="24"/>
        <v>45107</v>
      </c>
      <c r="H142" s="53">
        <f t="shared" si="24"/>
        <v>45199</v>
      </c>
      <c r="I142" s="53">
        <f t="shared" si="24"/>
        <v>45291</v>
      </c>
    </row>
    <row r="143" spans="1:9" ht="15">
      <c r="A143" s="43" t="str">
        <f>HLOOKUP(INDICE!$F$2,Nombres!$C$3:$D$636,52,FALSE)</f>
        <v>Efectivo, saldos en efectivo en bancos centrales y otros depósitos a la vista</v>
      </c>
      <c r="B143" s="44">
        <v>18420.258739675042</v>
      </c>
      <c r="C143" s="44">
        <v>24628.934344214726</v>
      </c>
      <c r="D143" s="44">
        <v>35632.293302589365</v>
      </c>
      <c r="E143" s="45">
        <v>51667.30296837103</v>
      </c>
      <c r="F143" s="44">
        <v>26285.480785238004</v>
      </c>
      <c r="G143" s="44">
        <v>30380.194802131657</v>
      </c>
      <c r="H143" s="44">
        <v>56436.69135249528</v>
      </c>
      <c r="I143" s="44">
        <v>26399.56242099705</v>
      </c>
    </row>
    <row r="144" spans="1:9" ht="15">
      <c r="A144" s="43" t="str">
        <f>HLOOKUP(INDICE!$F$2,Nombres!$C$3:$D$636,53,FALSE)</f>
        <v>Activos financieros a valor razonable</v>
      </c>
      <c r="B144" s="58">
        <v>0</v>
      </c>
      <c r="C144" s="58">
        <v>0</v>
      </c>
      <c r="D144" s="58">
        <v>0</v>
      </c>
      <c r="E144" s="64">
        <v>0</v>
      </c>
      <c r="F144" s="44">
        <v>0</v>
      </c>
      <c r="G144" s="44">
        <v>0</v>
      </c>
      <c r="H144" s="44">
        <v>0</v>
      </c>
      <c r="I144" s="44">
        <v>0</v>
      </c>
    </row>
    <row r="145" spans="1:9" ht="15">
      <c r="A145" s="43" t="str">
        <f>HLOOKUP(INDICE!$F$2,Nombres!$C$3:$D$636,54,FALSE)</f>
        <v>Activos financieros a coste amortizado</v>
      </c>
      <c r="B145" s="44">
        <v>1534307.0629885998</v>
      </c>
      <c r="C145" s="44">
        <v>1569185.3368876826</v>
      </c>
      <c r="D145" s="44">
        <v>1744296.8061553242</v>
      </c>
      <c r="E145" s="45">
        <v>1844918.4783990555</v>
      </c>
      <c r="F145" s="44">
        <v>1897608.7903619516</v>
      </c>
      <c r="G145" s="44">
        <v>1920043.662075466</v>
      </c>
      <c r="H145" s="44">
        <v>1919766.901910014</v>
      </c>
      <c r="I145" s="44">
        <v>1957898.7973634766</v>
      </c>
    </row>
    <row r="146" spans="1:9" ht="15">
      <c r="A146" s="43" t="str">
        <f>HLOOKUP(INDICE!$F$2,Nombres!$C$3:$D$636,55,FALSE)</f>
        <v>    de los que préstamos y anticipos a la clientela</v>
      </c>
      <c r="B146" s="44">
        <v>1432766.697425615</v>
      </c>
      <c r="C146" s="44">
        <v>1544475.1788521793</v>
      </c>
      <c r="D146" s="44">
        <v>1704247.2008051013</v>
      </c>
      <c r="E146" s="45">
        <v>1815137.7452964894</v>
      </c>
      <c r="F146" s="44">
        <v>1865699.1677798068</v>
      </c>
      <c r="G146" s="44">
        <v>1880814.2063505498</v>
      </c>
      <c r="H146" s="44">
        <v>1910717.0486026597</v>
      </c>
      <c r="I146" s="44">
        <v>1953608.6729756745</v>
      </c>
    </row>
    <row r="147" spans="1:9" ht="15" customHeight="1" hidden="1">
      <c r="A147" s="43"/>
      <c r="B147" s="44"/>
      <c r="C147" s="44"/>
      <c r="D147" s="44"/>
      <c r="E147" s="45"/>
      <c r="F147" s="44"/>
      <c r="G147" s="44"/>
      <c r="H147" s="44"/>
      <c r="I147" s="44"/>
    </row>
    <row r="148" spans="1:9" ht="15">
      <c r="A148" s="43" t="str">
        <f>HLOOKUP(INDICE!$F$2,Nombres!$C$3:$D$636,56,FALSE)</f>
        <v>Activos tangibles</v>
      </c>
      <c r="B148" s="44">
        <v>6654.18739576022</v>
      </c>
      <c r="C148" s="44">
        <v>6253.26865634132</v>
      </c>
      <c r="D148" s="44">
        <v>5861.813578451871</v>
      </c>
      <c r="E148" s="45">
        <v>3841.19660457912</v>
      </c>
      <c r="F148" s="44">
        <v>3574.317222576287</v>
      </c>
      <c r="G148" s="44">
        <v>3309.0967811003534</v>
      </c>
      <c r="H148" s="44">
        <v>3112.688398707716</v>
      </c>
      <c r="I148" s="44">
        <v>6317.401211748516</v>
      </c>
    </row>
    <row r="149" spans="1:9" ht="15">
      <c r="A149" s="43" t="str">
        <f>HLOOKUP(INDICE!$F$2,Nombres!$C$3:$D$636,57,FALSE)</f>
        <v>Otros activos</v>
      </c>
      <c r="B149" s="58">
        <f>+B150-B148-B145-B144-B143</f>
        <v>204022.6206474671</v>
      </c>
      <c r="C149" s="58">
        <f aca="true" t="shared" si="25" ref="C149:I149">+C150-C148-C145-C144-C143</f>
        <v>261879.3069459534</v>
      </c>
      <c r="D149" s="58">
        <f t="shared" si="25"/>
        <v>290277.0141584593</v>
      </c>
      <c r="E149" s="64">
        <f t="shared" si="25"/>
        <v>282742.52564311045</v>
      </c>
      <c r="F149" s="44">
        <f t="shared" si="25"/>
        <v>285305.0205062289</v>
      </c>
      <c r="G149" s="44">
        <f t="shared" si="25"/>
        <v>257555.70346130835</v>
      </c>
      <c r="H149" s="44">
        <f t="shared" si="25"/>
        <v>273084.60135276074</v>
      </c>
      <c r="I149" s="44">
        <f t="shared" si="25"/>
        <v>272786.9893029183</v>
      </c>
    </row>
    <row r="150" spans="1:9" ht="15">
      <c r="A150" s="47" t="str">
        <f>HLOOKUP(INDICE!$F$2,Nombres!$C$3:$D$636,58,FALSE)</f>
        <v>Total activo / pasivo</v>
      </c>
      <c r="B150" s="47">
        <v>1763404.1297715022</v>
      </c>
      <c r="C150" s="47">
        <v>1861946.846834192</v>
      </c>
      <c r="D150" s="47">
        <v>2076067.927194825</v>
      </c>
      <c r="E150" s="47">
        <v>2183169.5036151162</v>
      </c>
      <c r="F150" s="51">
        <v>2212773.6088759946</v>
      </c>
      <c r="G150" s="51">
        <v>2211288.657120006</v>
      </c>
      <c r="H150" s="51">
        <v>2252400.8830139777</v>
      </c>
      <c r="I150" s="51">
        <v>2263402.7502991403</v>
      </c>
    </row>
    <row r="151" spans="1:9" ht="15">
      <c r="A151" s="43" t="str">
        <f>HLOOKUP(INDICE!$F$2,Nombres!$C$3:$D$636,59,FALSE)</f>
        <v>Pasivos financieros mantenidos para negociar y designados a valor razonable con cambios en resultados</v>
      </c>
      <c r="B151" s="58">
        <v>0</v>
      </c>
      <c r="C151" s="58">
        <v>0</v>
      </c>
      <c r="D151" s="58">
        <v>0</v>
      </c>
      <c r="E151" s="64">
        <v>0</v>
      </c>
      <c r="F151" s="44">
        <v>0</v>
      </c>
      <c r="G151" s="44">
        <v>0</v>
      </c>
      <c r="H151" s="44">
        <v>0</v>
      </c>
      <c r="I151" s="44">
        <v>0</v>
      </c>
    </row>
    <row r="152" spans="1:9" ht="15">
      <c r="A152" s="43" t="str">
        <f>HLOOKUP(INDICE!$F$2,Nombres!$C$3:$D$636,60,FALSE)</f>
        <v>Depósitos de bancos centrales y entidades de crédito</v>
      </c>
      <c r="B152" s="58">
        <v>566628.3054292497</v>
      </c>
      <c r="C152" s="58">
        <v>521451.32020510035</v>
      </c>
      <c r="D152" s="58">
        <v>776227.4748277952</v>
      </c>
      <c r="E152" s="64">
        <v>922743.4327430645</v>
      </c>
      <c r="F152" s="44">
        <v>880183.341528912</v>
      </c>
      <c r="G152" s="44">
        <v>907590.8758719274</v>
      </c>
      <c r="H152" s="44">
        <v>932887.1236871408</v>
      </c>
      <c r="I152" s="44">
        <v>1032053.0060361042</v>
      </c>
    </row>
    <row r="153" spans="1:9" ht="15">
      <c r="A153" s="43" t="str">
        <f>HLOOKUP(INDICE!$F$2,Nombres!$C$3:$D$636,61,FALSE)</f>
        <v>Depósitos de la clientela</v>
      </c>
      <c r="B153" s="58">
        <v>13525.957544185481</v>
      </c>
      <c r="C153" s="58">
        <v>10386.12118364514</v>
      </c>
      <c r="D153" s="58">
        <v>8369.445636189594</v>
      </c>
      <c r="E153" s="64">
        <v>6116.578459606656</v>
      </c>
      <c r="F153" s="44">
        <v>7184.686636158387</v>
      </c>
      <c r="G153" s="44">
        <v>4881.659115397649</v>
      </c>
      <c r="H153" s="44">
        <v>6043.803307490814</v>
      </c>
      <c r="I153" s="44">
        <v>6503.120882216134</v>
      </c>
    </row>
    <row r="154" spans="1:9" ht="15">
      <c r="A154" s="43" t="str">
        <f>HLOOKUP(INDICE!$F$2,Nombres!$C$3:$D$636,62,FALSE)</f>
        <v>Valores representativos de deuda emitidos</v>
      </c>
      <c r="B154" s="44">
        <v>712712.7140436578</v>
      </c>
      <c r="C154" s="44">
        <v>836533.7818410009</v>
      </c>
      <c r="D154" s="44">
        <v>770835.7438570334</v>
      </c>
      <c r="E154" s="45">
        <v>714761.2687005207</v>
      </c>
      <c r="F154" s="44">
        <v>777699.2793012508</v>
      </c>
      <c r="G154" s="44">
        <v>746530.7824886056</v>
      </c>
      <c r="H154" s="44">
        <v>781881.2975318446</v>
      </c>
      <c r="I154" s="44">
        <v>647138.1789341775</v>
      </c>
    </row>
    <row r="155" spans="1:9" ht="15" customHeight="1" hidden="1">
      <c r="A155" s="43"/>
      <c r="B155" s="44"/>
      <c r="C155" s="44"/>
      <c r="D155" s="44"/>
      <c r="E155" s="45"/>
      <c r="F155" s="44"/>
      <c r="G155" s="44"/>
      <c r="H155" s="44"/>
      <c r="I155" s="44"/>
    </row>
    <row r="156" spans="1:9" ht="15.75" customHeight="1">
      <c r="A156" s="43" t="str">
        <f>HLOOKUP(INDICE!$F$2,Nombres!$C$3:$D$636,63,FALSE)</f>
        <v>Otros pasivos</v>
      </c>
      <c r="B156" s="58">
        <f>+B150-B151-B152-B153-B154-B157</f>
        <v>258781.02457528442</v>
      </c>
      <c r="C156" s="58">
        <f aca="true" t="shared" si="26" ref="C156:I156">+C150-C151-C152-C153-C154-C157</f>
        <v>244239.7228380093</v>
      </c>
      <c r="D156" s="58">
        <f t="shared" si="26"/>
        <v>243960.86360399745</v>
      </c>
      <c r="E156" s="64">
        <f t="shared" si="26"/>
        <v>286558.8225937027</v>
      </c>
      <c r="F156" s="44">
        <f t="shared" si="26"/>
        <v>289064.9183391263</v>
      </c>
      <c r="G156" s="44">
        <f t="shared" si="26"/>
        <v>280455.2153666547</v>
      </c>
      <c r="H156" s="44">
        <f t="shared" si="26"/>
        <v>260980.4929066972</v>
      </c>
      <c r="I156" s="44">
        <f t="shared" si="26"/>
        <v>302315.97936150077</v>
      </c>
    </row>
    <row r="157" spans="1:9" ht="15.75" customHeight="1">
      <c r="A157" s="43" t="str">
        <f>HLOOKUP(INDICE!$F$2,Nombres!$C$3:$D$636,282,FALSE)</f>
        <v>Dotación de capital regulatorio</v>
      </c>
      <c r="B157" s="58">
        <v>211756.12817912505</v>
      </c>
      <c r="C157" s="58">
        <v>249335.9007664363</v>
      </c>
      <c r="D157" s="58">
        <v>276674.3992698092</v>
      </c>
      <c r="E157" s="64">
        <v>252989.40111822146</v>
      </c>
      <c r="F157" s="44">
        <v>258641.3830705469</v>
      </c>
      <c r="G157" s="44">
        <v>271830.1242774208</v>
      </c>
      <c r="H157" s="44">
        <v>270608.16558080434</v>
      </c>
      <c r="I157" s="44">
        <v>275392.46508514177</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8"/>
      <c r="G160" s="68"/>
      <c r="H160" s="68"/>
      <c r="I160" s="68"/>
    </row>
    <row r="161" spans="1:9" ht="15">
      <c r="A161" s="35" t="str">
        <f>HLOOKUP(INDICE!$F$2,Nombres!$C$3:$D$636,81,FALSE)</f>
        <v>(Millones de pesos chilenos)</v>
      </c>
      <c r="B161" s="30"/>
      <c r="C161" s="30"/>
      <c r="D161" s="30"/>
      <c r="E161" s="30"/>
      <c r="F161" s="69"/>
      <c r="G161" s="44"/>
      <c r="H161" s="44"/>
      <c r="I161" s="44"/>
    </row>
    <row r="162" spans="1:9" ht="15.75">
      <c r="A162" s="30"/>
      <c r="B162" s="53">
        <f aca="true" t="shared" si="27" ref="B162:I162">+B$30</f>
        <v>44651</v>
      </c>
      <c r="C162" s="53">
        <f t="shared" si="27"/>
        <v>44742</v>
      </c>
      <c r="D162" s="53">
        <f t="shared" si="27"/>
        <v>44834</v>
      </c>
      <c r="E162" s="67">
        <f t="shared" si="27"/>
        <v>44926</v>
      </c>
      <c r="F162" s="53">
        <f t="shared" si="27"/>
        <v>45016</v>
      </c>
      <c r="G162" s="53">
        <f t="shared" si="27"/>
        <v>45107</v>
      </c>
      <c r="H162" s="53">
        <f t="shared" si="27"/>
        <v>45199</v>
      </c>
      <c r="I162" s="53">
        <f t="shared" si="27"/>
        <v>45291</v>
      </c>
    </row>
    <row r="163" spans="1:9" ht="15">
      <c r="A163" s="43" t="str">
        <f>HLOOKUP(INDICE!$F$2,Nombres!$C$3:$D$636,66,FALSE)</f>
        <v>Préstamos y anticipos a la clientela bruto (*)</v>
      </c>
      <c r="B163" s="44">
        <v>1486051.7523443364</v>
      </c>
      <c r="C163" s="44">
        <v>1605380.5248713156</v>
      </c>
      <c r="D163" s="44">
        <v>1768909.8315872238</v>
      </c>
      <c r="E163" s="45">
        <v>1905653.3889129856</v>
      </c>
      <c r="F163" s="44">
        <v>1966558.6056605682</v>
      </c>
      <c r="G163" s="44">
        <v>1986645.994283791</v>
      </c>
      <c r="H163" s="44">
        <v>2018411.263666467</v>
      </c>
      <c r="I163" s="44">
        <v>2056281.349113823</v>
      </c>
    </row>
    <row r="164" spans="1:9" ht="15">
      <c r="A164" s="43" t="str">
        <f>HLOOKUP(INDICE!$F$2,Nombres!$C$3:$D$636,67,FALSE)</f>
        <v>Depósitos de clientes en gestión (**)</v>
      </c>
      <c r="B164" s="44">
        <v>13525.957544185481</v>
      </c>
      <c r="C164" s="44">
        <v>10386.12118364514</v>
      </c>
      <c r="D164" s="44">
        <v>8369.445636189594</v>
      </c>
      <c r="E164" s="45">
        <v>6116.578459606656</v>
      </c>
      <c r="F164" s="44">
        <v>7184.686636158387</v>
      </c>
      <c r="G164" s="44">
        <v>4881.659115397649</v>
      </c>
      <c r="H164" s="44">
        <v>6043.803307490814</v>
      </c>
      <c r="I164" s="44">
        <v>6503.120882216134</v>
      </c>
    </row>
    <row r="165" spans="1:9" ht="15">
      <c r="A165" s="43" t="str">
        <f>HLOOKUP(INDICE!$F$2,Nombres!$C$3:$D$636,68,FALSE)</f>
        <v>Fondos de inversión y carteras gestionadas</v>
      </c>
      <c r="B165" s="44">
        <v>0</v>
      </c>
      <c r="C165" s="44">
        <v>0</v>
      </c>
      <c r="D165" s="44">
        <v>0</v>
      </c>
      <c r="E165" s="45">
        <v>0</v>
      </c>
      <c r="F165" s="44">
        <v>0</v>
      </c>
      <c r="G165" s="44">
        <v>0</v>
      </c>
      <c r="H165" s="44">
        <v>0</v>
      </c>
      <c r="I165" s="44">
        <v>0</v>
      </c>
    </row>
    <row r="166" spans="1:9" ht="15">
      <c r="A166" s="43" t="str">
        <f>HLOOKUP(INDICE!$F$2,Nombres!$C$3:$D$636,69,FALSE)</f>
        <v>Fondos de pensiones</v>
      </c>
      <c r="B166" s="44">
        <v>0</v>
      </c>
      <c r="C166" s="44">
        <v>0</v>
      </c>
      <c r="D166" s="44">
        <v>0</v>
      </c>
      <c r="E166" s="45">
        <v>0</v>
      </c>
      <c r="F166" s="44">
        <v>0</v>
      </c>
      <c r="G166" s="44">
        <v>0</v>
      </c>
      <c r="H166" s="44">
        <v>0</v>
      </c>
      <c r="I166" s="44">
        <v>0</v>
      </c>
    </row>
    <row r="167" spans="1:9" ht="15">
      <c r="A167" s="43" t="str">
        <f>HLOOKUP(INDICE!$F$2,Nombres!$C$3:$D$636,70,FALSE)</f>
        <v>Otros recursos fuera de balance</v>
      </c>
      <c r="B167" s="44">
        <v>0</v>
      </c>
      <c r="C167" s="44">
        <v>0</v>
      </c>
      <c r="D167" s="44">
        <v>0</v>
      </c>
      <c r="E167" s="45">
        <v>0</v>
      </c>
      <c r="F167" s="44">
        <v>0</v>
      </c>
      <c r="G167" s="44">
        <v>0</v>
      </c>
      <c r="H167" s="44">
        <v>0</v>
      </c>
      <c r="I167" s="44">
        <v>0</v>
      </c>
    </row>
    <row r="168" spans="1:9" ht="15">
      <c r="A168" s="62" t="str">
        <f>HLOOKUP(INDICE!$F$2,Nombres!$C$3:$D$636,71,FALSE)</f>
        <v>(*) No incluye las adquisiciones temporales de activos.</v>
      </c>
      <c r="B168" s="44"/>
      <c r="C168" s="58"/>
      <c r="D168" s="58"/>
      <c r="E168" s="58"/>
      <c r="F168" s="44"/>
      <c r="G168" s="44"/>
      <c r="H168" s="44"/>
      <c r="I168" s="44"/>
    </row>
    <row r="169" spans="1:9" ht="15">
      <c r="A169" s="62" t="str">
        <f>HLOOKUP(INDICE!$F$2,Nombres!$C$3:$D$636,72,FALSE)</f>
        <v>(**) No incluye las cesiones temporales de activos.</v>
      </c>
      <c r="B169" s="30"/>
      <c r="C169" s="30"/>
      <c r="D169" s="30"/>
      <c r="E169" s="30"/>
      <c r="F169" s="30"/>
      <c r="G169" s="30"/>
      <c r="H169" s="30"/>
      <c r="I169" s="30"/>
    </row>
    <row r="170" spans="1:9" ht="15">
      <c r="A170" s="30"/>
      <c r="B170" s="30"/>
      <c r="C170" s="30"/>
      <c r="D170" s="30"/>
      <c r="E170" s="30"/>
      <c r="F170" s="30"/>
      <c r="G170" s="30"/>
      <c r="H170" s="30"/>
      <c r="I170" s="30"/>
    </row>
    <row r="171" spans="1:9" ht="15">
      <c r="A171" s="30"/>
      <c r="B171" s="30"/>
      <c r="C171" s="30"/>
      <c r="D171" s="30"/>
      <c r="E171" s="30"/>
      <c r="F171" s="30"/>
      <c r="G171" s="30"/>
      <c r="H171" s="30"/>
      <c r="I171" s="30"/>
    </row>
    <row r="172" spans="1:9" ht="15">
      <c r="A172" s="72"/>
      <c r="B172" s="73"/>
      <c r="C172" s="74"/>
      <c r="D172" s="74"/>
      <c r="E172" s="74"/>
      <c r="F172" s="73"/>
      <c r="G172" s="73"/>
      <c r="H172" s="73"/>
      <c r="I172" s="73"/>
    </row>
    <row r="173" spans="1:13" ht="15">
      <c r="A173" s="72"/>
      <c r="B173" s="73"/>
      <c r="C173" s="74"/>
      <c r="D173" s="74"/>
      <c r="E173" s="74"/>
      <c r="F173" s="73"/>
      <c r="G173" s="73"/>
      <c r="H173" s="73"/>
      <c r="I173" s="73"/>
      <c r="J173" s="73"/>
      <c r="K173" s="73"/>
      <c r="L173" s="73"/>
      <c r="M173" s="73"/>
    </row>
    <row r="174" spans="1:13" ht="15">
      <c r="A174" s="73"/>
      <c r="B174" s="73"/>
      <c r="C174" s="73"/>
      <c r="D174" s="73"/>
      <c r="E174" s="73"/>
      <c r="F174" s="73"/>
      <c r="G174" s="73"/>
      <c r="H174" s="73"/>
      <c r="I174" s="73"/>
      <c r="J174" s="73"/>
      <c r="K174" s="73"/>
      <c r="L174" s="73"/>
      <c r="M174" s="73"/>
    </row>
    <row r="175" spans="1:13" ht="15">
      <c r="A175" s="73"/>
      <c r="B175" s="73"/>
      <c r="C175" s="73"/>
      <c r="D175" s="73"/>
      <c r="E175" s="73"/>
      <c r="F175" s="73"/>
      <c r="G175" s="73"/>
      <c r="H175" s="73"/>
      <c r="I175" s="73"/>
      <c r="J175" s="73"/>
      <c r="K175" s="73"/>
      <c r="L175" s="73"/>
      <c r="M175" s="73"/>
    </row>
    <row r="176" spans="1:15" ht="15">
      <c r="A176" s="73"/>
      <c r="B176" s="73"/>
      <c r="C176" s="73"/>
      <c r="D176" s="73"/>
      <c r="E176" s="73"/>
      <c r="F176" s="73"/>
      <c r="G176" s="73"/>
      <c r="H176" s="73"/>
      <c r="I176" s="73"/>
      <c r="J176" s="73"/>
      <c r="K176" s="73"/>
      <c r="L176" s="73"/>
      <c r="M176" s="73"/>
      <c r="N176" s="73"/>
      <c r="O176" s="73"/>
    </row>
    <row r="177" spans="1:15" ht="15">
      <c r="A177" s="73"/>
      <c r="B177" s="73"/>
      <c r="C177" s="73"/>
      <c r="D177" s="73"/>
      <c r="E177" s="73"/>
      <c r="F177" s="73"/>
      <c r="G177" s="73"/>
      <c r="H177" s="73"/>
      <c r="I177" s="73"/>
      <c r="J177" s="73"/>
      <c r="K177" s="73"/>
      <c r="L177" s="73"/>
      <c r="M177" s="73"/>
      <c r="N177" s="73"/>
      <c r="O177" s="73"/>
    </row>
    <row r="178" spans="1:15" ht="15">
      <c r="A178" s="73"/>
      <c r="B178" s="73"/>
      <c r="C178" s="73"/>
      <c r="D178" s="73"/>
      <c r="E178" s="73"/>
      <c r="F178" s="73"/>
      <c r="G178" s="73"/>
      <c r="H178" s="73"/>
      <c r="I178" s="73"/>
      <c r="J178" s="73"/>
      <c r="K178" s="73"/>
      <c r="L178" s="73"/>
      <c r="M178" s="73"/>
      <c r="N178" s="73"/>
      <c r="O178" s="73"/>
    </row>
    <row r="179" spans="1:15" ht="15">
      <c r="A179" s="73"/>
      <c r="B179" s="73"/>
      <c r="C179" s="73"/>
      <c r="D179" s="73"/>
      <c r="E179" s="73"/>
      <c r="F179" s="73"/>
      <c r="G179" s="73"/>
      <c r="H179" s="73"/>
      <c r="I179" s="73"/>
      <c r="J179" s="73"/>
      <c r="K179" s="73"/>
      <c r="L179" s="73"/>
      <c r="M179" s="73"/>
      <c r="N179" s="73"/>
      <c r="O179" s="73"/>
    </row>
    <row r="180" spans="1:15" ht="15">
      <c r="A180" s="73"/>
      <c r="B180" s="73"/>
      <c r="C180" s="73"/>
      <c r="D180" s="73"/>
      <c r="E180" s="73"/>
      <c r="F180" s="73"/>
      <c r="G180" s="73"/>
      <c r="H180" s="73"/>
      <c r="I180" s="73"/>
      <c r="J180" s="73"/>
      <c r="K180" s="73"/>
      <c r="L180" s="73"/>
      <c r="M180" s="73"/>
      <c r="N180" s="73"/>
      <c r="O180" s="73"/>
    </row>
    <row r="181" spans="14:15" ht="15">
      <c r="N181" s="73"/>
      <c r="O181" s="73"/>
    </row>
    <row r="182" spans="14:15" ht="15">
      <c r="N182" s="73"/>
      <c r="O182" s="73"/>
    </row>
    <row r="183" spans="14:15" ht="15">
      <c r="N183" s="73"/>
      <c r="O183" s="73"/>
    </row>
    <row r="997" ht="15">
      <c r="A997" s="31" t="s">
        <v>391</v>
      </c>
    </row>
  </sheetData>
  <sheetProtection/>
  <mergeCells count="6">
    <mergeCell ref="B6:E6"/>
    <mergeCell ref="F6:I6"/>
    <mergeCell ref="B62:E62"/>
    <mergeCell ref="F62:I62"/>
    <mergeCell ref="B118:E118"/>
    <mergeCell ref="F118:I118"/>
  </mergeCells>
  <conditionalFormatting sqref="G26:I26">
    <cfRule type="cellIs" priority="18" dxfId="132" operator="notBetween">
      <formula>0.5</formula>
      <formula>-0.5</formula>
    </cfRule>
  </conditionalFormatting>
  <conditionalFormatting sqref="C26">
    <cfRule type="cellIs" priority="17" dxfId="132" operator="notBetween">
      <formula>0.5</formula>
      <formula>-0.5</formula>
    </cfRule>
  </conditionalFormatting>
  <conditionalFormatting sqref="D26">
    <cfRule type="cellIs" priority="16" dxfId="132" operator="notBetween">
      <formula>0.5</formula>
      <formula>-0.5</formula>
    </cfRule>
  </conditionalFormatting>
  <conditionalFormatting sqref="E26">
    <cfRule type="cellIs" priority="15" dxfId="132" operator="notBetween">
      <formula>0.5</formula>
      <formula>-0.5</formula>
    </cfRule>
  </conditionalFormatting>
  <conditionalFormatting sqref="F26:I26">
    <cfRule type="cellIs" priority="14" dxfId="132" operator="notBetween">
      <formula>0.5</formula>
      <formula>-0.5</formula>
    </cfRule>
  </conditionalFormatting>
  <conditionalFormatting sqref="G82:I82">
    <cfRule type="cellIs" priority="13" dxfId="132" operator="notBetween">
      <formula>0.5</formula>
      <formula>-0.5</formula>
    </cfRule>
  </conditionalFormatting>
  <conditionalFormatting sqref="C82">
    <cfRule type="cellIs" priority="12" dxfId="132" operator="notBetween">
      <formula>0.5</formula>
      <formula>-0.5</formula>
    </cfRule>
  </conditionalFormatting>
  <conditionalFormatting sqref="D82">
    <cfRule type="cellIs" priority="11" dxfId="132" operator="notBetween">
      <formula>0.5</formula>
      <formula>-0.5</formula>
    </cfRule>
  </conditionalFormatting>
  <conditionalFormatting sqref="E82">
    <cfRule type="cellIs" priority="10" dxfId="132" operator="notBetween">
      <formula>0.5</formula>
      <formula>-0.5</formula>
    </cfRule>
  </conditionalFormatting>
  <conditionalFormatting sqref="F82:I82">
    <cfRule type="cellIs" priority="9" dxfId="132" operator="notBetween">
      <formula>0.5</formula>
      <formula>-0.5</formula>
    </cfRule>
  </conditionalFormatting>
  <conditionalFormatting sqref="G138:I138">
    <cfRule type="cellIs" priority="8" dxfId="132" operator="notBetween">
      <formula>0.5</formula>
      <formula>-0.5</formula>
    </cfRule>
  </conditionalFormatting>
  <conditionalFormatting sqref="C138">
    <cfRule type="cellIs" priority="7" dxfId="132" operator="notBetween">
      <formula>0.5</formula>
      <formula>-0.5</formula>
    </cfRule>
  </conditionalFormatting>
  <conditionalFormatting sqref="D138">
    <cfRule type="cellIs" priority="6" dxfId="132" operator="notBetween">
      <formula>0.5</formula>
      <formula>-0.5</formula>
    </cfRule>
  </conditionalFormatting>
  <conditionalFormatting sqref="E138">
    <cfRule type="cellIs" priority="5" dxfId="132" operator="notBetween">
      <formula>0.5</formula>
      <formula>-0.5</formula>
    </cfRule>
  </conditionalFormatting>
  <conditionalFormatting sqref="F138:I138">
    <cfRule type="cellIs" priority="4" dxfId="132" operator="notBetween">
      <formula>0.5</formula>
      <formula>-0.5</formula>
    </cfRule>
  </conditionalFormatting>
  <conditionalFormatting sqref="B26:I26">
    <cfRule type="cellIs" priority="3" dxfId="132" operator="notBetween">
      <formula>0.5</formula>
      <formula>-0.5</formula>
    </cfRule>
  </conditionalFormatting>
  <conditionalFormatting sqref="B82:I82">
    <cfRule type="cellIs" priority="2" dxfId="132" operator="notBetween">
      <formula>0.5</formula>
      <formula>-0.5</formula>
    </cfRule>
  </conditionalFormatting>
  <conditionalFormatting sqref="B138:I138">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O1006"/>
  <sheetViews>
    <sheetView showGridLines="0" zoomScalePageLayoutView="0" workbookViewId="0" topLeftCell="A143">
      <selection activeCell="A1" sqref="A1"/>
    </sheetView>
  </sheetViews>
  <sheetFormatPr defaultColWidth="11.421875" defaultRowHeight="15"/>
  <cols>
    <col min="1" max="1" width="62.00390625" style="31" customWidth="1"/>
    <col min="2" max="9" width="12.28125" style="31" customWidth="1"/>
    <col min="10" max="16384" width="11.421875" style="31" customWidth="1"/>
  </cols>
  <sheetData>
    <row r="1" spans="1:9" ht="18">
      <c r="A1" s="29" t="str">
        <f>HLOOKUP(INDICE!$F$2,Nombres!$C$3:$D$636,16,FALSE)</f>
        <v>Colombia</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1">
        <f>+España!B6</f>
        <v>2022</v>
      </c>
      <c r="C6" s="301"/>
      <c r="D6" s="301"/>
      <c r="E6" s="302"/>
      <c r="F6" s="301">
        <f>+España!F6</f>
        <v>2023</v>
      </c>
      <c r="G6" s="301"/>
      <c r="H6" s="301"/>
      <c r="I6" s="301"/>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212.54699999999997</v>
      </c>
      <c r="C8" s="41">
        <v>229.45900000000003</v>
      </c>
      <c r="D8" s="41">
        <v>209.984</v>
      </c>
      <c r="E8" s="42">
        <v>193.77900000000008</v>
      </c>
      <c r="F8" s="50">
        <v>171.144</v>
      </c>
      <c r="G8" s="50">
        <v>178.34699999000009</v>
      </c>
      <c r="H8" s="50">
        <v>202.81800000999988</v>
      </c>
      <c r="I8" s="50">
        <v>216.02000000000012</v>
      </c>
    </row>
    <row r="9" spans="1:9" ht="15">
      <c r="A9" s="43" t="str">
        <f>HLOOKUP(INDICE!$F$2,Nombres!$C$3:$D$636,34,FALSE)</f>
        <v>Comisiones netas</v>
      </c>
      <c r="B9" s="44">
        <v>25.100369349999994</v>
      </c>
      <c r="C9" s="44">
        <v>26.831253310000008</v>
      </c>
      <c r="D9" s="44">
        <v>26.33378805</v>
      </c>
      <c r="E9" s="45">
        <v>22.687322599999987</v>
      </c>
      <c r="F9" s="44">
        <v>24.067286929999998</v>
      </c>
      <c r="G9" s="44">
        <v>30.902546139999988</v>
      </c>
      <c r="H9" s="44">
        <v>27.955507710000003</v>
      </c>
      <c r="I9" s="44">
        <v>31.167153990000003</v>
      </c>
    </row>
    <row r="10" spans="1:9" ht="15">
      <c r="A10" s="43" t="str">
        <f>HLOOKUP(INDICE!$F$2,Nombres!$C$3:$D$636,35,FALSE)</f>
        <v>Resultados de operaciones financieras</v>
      </c>
      <c r="B10" s="44">
        <v>24.080761770000006</v>
      </c>
      <c r="C10" s="44">
        <v>27.27963604999998</v>
      </c>
      <c r="D10" s="44">
        <v>28.283706319999975</v>
      </c>
      <c r="E10" s="45">
        <v>23.58645037000004</v>
      </c>
      <c r="F10" s="44">
        <v>32.770545580000004</v>
      </c>
      <c r="G10" s="44">
        <v>26.71192002</v>
      </c>
      <c r="H10" s="44">
        <v>-0.2682127399999956</v>
      </c>
      <c r="I10" s="44">
        <v>33.23502980000003</v>
      </c>
    </row>
    <row r="11" spans="1:9" ht="15">
      <c r="A11" s="43" t="str">
        <f>HLOOKUP(INDICE!$F$2,Nombres!$C$3:$D$636,36,FALSE)</f>
        <v>Otros ingresos y cargas de explotación</v>
      </c>
      <c r="B11" s="44">
        <v>0.31099999999999905</v>
      </c>
      <c r="C11" s="44">
        <v>-1.3639999999999968</v>
      </c>
      <c r="D11" s="44">
        <v>2.675000000000015</v>
      </c>
      <c r="E11" s="45">
        <v>-27.341998350000004</v>
      </c>
      <c r="F11" s="44">
        <v>1.6949999999999985</v>
      </c>
      <c r="G11" s="44">
        <v>-2.910000000000002</v>
      </c>
      <c r="H11" s="44">
        <v>-8.806999999999995</v>
      </c>
      <c r="I11" s="44">
        <v>-3.272999999999999</v>
      </c>
    </row>
    <row r="12" spans="1:9" ht="15">
      <c r="A12" s="41" t="str">
        <f>HLOOKUP(INDICE!$F$2,Nombres!$C$3:$D$636,37,FALSE)</f>
        <v>Margen bruto</v>
      </c>
      <c r="B12" s="41">
        <f>+SUM(B8:B11)</f>
        <v>262.0391311199999</v>
      </c>
      <c r="C12" s="41">
        <f aca="true" t="shared" si="0" ref="C12:I12">+SUM(C8:C11)</f>
        <v>282.20588936</v>
      </c>
      <c r="D12" s="41">
        <f t="shared" si="0"/>
        <v>267.27649437</v>
      </c>
      <c r="E12" s="42">
        <f t="shared" si="0"/>
        <v>212.7107746200001</v>
      </c>
      <c r="F12" s="50">
        <f t="shared" si="0"/>
        <v>229.67683251</v>
      </c>
      <c r="G12" s="50">
        <f t="shared" si="0"/>
        <v>233.0514661500001</v>
      </c>
      <c r="H12" s="50">
        <f t="shared" si="0"/>
        <v>221.6982949799999</v>
      </c>
      <c r="I12" s="50">
        <f t="shared" si="0"/>
        <v>277.1491837900001</v>
      </c>
    </row>
    <row r="13" spans="1:9" ht="15">
      <c r="A13" s="43" t="str">
        <f>HLOOKUP(INDICE!$F$2,Nombres!$C$3:$D$636,38,FALSE)</f>
        <v>Gastos de explotación</v>
      </c>
      <c r="B13" s="44">
        <v>-88.62772147999999</v>
      </c>
      <c r="C13" s="44">
        <v>-98.70291742</v>
      </c>
      <c r="D13" s="44">
        <v>-102.64975664999999</v>
      </c>
      <c r="E13" s="45">
        <v>-123.77646802999999</v>
      </c>
      <c r="F13" s="44">
        <v>-106.38950137</v>
      </c>
      <c r="G13" s="44">
        <v>-102.05187433</v>
      </c>
      <c r="H13" s="44">
        <v>-119.89901354</v>
      </c>
      <c r="I13" s="44">
        <v>-124.22073481999999</v>
      </c>
    </row>
    <row r="14" spans="1:9" ht="15">
      <c r="A14" s="43" t="str">
        <f>HLOOKUP(INDICE!$F$2,Nombres!$C$3:$D$636,39,FALSE)</f>
        <v>  Gastos de administración</v>
      </c>
      <c r="B14" s="44">
        <v>-81.40572148</v>
      </c>
      <c r="C14" s="44">
        <v>-91.13791742000001</v>
      </c>
      <c r="D14" s="44">
        <v>-95.46175664999998</v>
      </c>
      <c r="E14" s="45">
        <v>-117.02546803</v>
      </c>
      <c r="F14" s="44">
        <v>-99.58850136999999</v>
      </c>
      <c r="G14" s="44">
        <v>-95.08087433</v>
      </c>
      <c r="H14" s="44">
        <v>-111.09901354</v>
      </c>
      <c r="I14" s="44">
        <v>-115.91273482</v>
      </c>
    </row>
    <row r="15" spans="1:9" ht="15">
      <c r="A15" s="46" t="str">
        <f>HLOOKUP(INDICE!$F$2,Nombres!$C$3:$D$636,40,FALSE)</f>
        <v>  Gastos de personal</v>
      </c>
      <c r="B15" s="44">
        <v>-41.048</v>
      </c>
      <c r="C15" s="44">
        <v>-45.84</v>
      </c>
      <c r="D15" s="44">
        <v>-44.34999999</v>
      </c>
      <c r="E15" s="45">
        <v>-60.28000001</v>
      </c>
      <c r="F15" s="44">
        <v>-46.429</v>
      </c>
      <c r="G15" s="44">
        <v>-41.916</v>
      </c>
      <c r="H15" s="44">
        <v>-52.26100001</v>
      </c>
      <c r="I15" s="44">
        <v>-52.71599999</v>
      </c>
    </row>
    <row r="16" spans="1:9" ht="15">
      <c r="A16" s="46" t="str">
        <f>HLOOKUP(INDICE!$F$2,Nombres!$C$3:$D$636,41,FALSE)</f>
        <v>  Otros gastos de administración</v>
      </c>
      <c r="B16" s="44">
        <v>-40.357721479999995</v>
      </c>
      <c r="C16" s="44">
        <v>-45.29791742000001</v>
      </c>
      <c r="D16" s="44">
        <v>-51.11175665999999</v>
      </c>
      <c r="E16" s="45">
        <v>-56.745468020000004</v>
      </c>
      <c r="F16" s="44">
        <v>-53.15950137</v>
      </c>
      <c r="G16" s="44">
        <v>-53.16487433</v>
      </c>
      <c r="H16" s="44">
        <v>-58.838013530000005</v>
      </c>
      <c r="I16" s="44">
        <v>-63.19673483</v>
      </c>
    </row>
    <row r="17" spans="1:9" ht="15">
      <c r="A17" s="43" t="str">
        <f>HLOOKUP(INDICE!$F$2,Nombres!$C$3:$D$636,42,FALSE)</f>
        <v>  Amortización</v>
      </c>
      <c r="B17" s="44">
        <v>-7.2219999999999995</v>
      </c>
      <c r="C17" s="44">
        <v>-7.565000000000001</v>
      </c>
      <c r="D17" s="44">
        <v>-7.188000000000001</v>
      </c>
      <c r="E17" s="45">
        <v>-6.750999999999998</v>
      </c>
      <c r="F17" s="44">
        <v>-6.801</v>
      </c>
      <c r="G17" s="44">
        <v>-6.970999999999999</v>
      </c>
      <c r="H17" s="44">
        <v>-8.8</v>
      </c>
      <c r="I17" s="44">
        <v>-8.308</v>
      </c>
    </row>
    <row r="18" spans="1:9" ht="15">
      <c r="A18" s="41" t="str">
        <f>HLOOKUP(INDICE!$F$2,Nombres!$C$3:$D$636,43,FALSE)</f>
        <v>Margen neto</v>
      </c>
      <c r="B18" s="41">
        <f>+B12+B13</f>
        <v>173.41140963999993</v>
      </c>
      <c r="C18" s="41">
        <f aca="true" t="shared" si="1" ref="C18:I18">+C12+C13</f>
        <v>183.50297194</v>
      </c>
      <c r="D18" s="41">
        <f t="shared" si="1"/>
        <v>164.62673772000005</v>
      </c>
      <c r="E18" s="42">
        <f t="shared" si="1"/>
        <v>88.93430659000012</v>
      </c>
      <c r="F18" s="50">
        <f t="shared" si="1"/>
        <v>123.28733113999999</v>
      </c>
      <c r="G18" s="50">
        <f t="shared" si="1"/>
        <v>130.9995918200001</v>
      </c>
      <c r="H18" s="50">
        <f t="shared" si="1"/>
        <v>101.7992814399999</v>
      </c>
      <c r="I18" s="50">
        <f t="shared" si="1"/>
        <v>152.92844897000012</v>
      </c>
    </row>
    <row r="19" spans="1:9" ht="15">
      <c r="A19" s="43" t="str">
        <f>HLOOKUP(INDICE!$F$2,Nombres!$C$3:$D$636,44,FALSE)</f>
        <v>Deterioro de activos financieros no valorados a valor razonable con cambios en resultados</v>
      </c>
      <c r="B19" s="44">
        <v>-55.44199999999999</v>
      </c>
      <c r="C19" s="44">
        <v>-54.81699999999999</v>
      </c>
      <c r="D19" s="44">
        <v>-55.49100000000003</v>
      </c>
      <c r="E19" s="45">
        <v>-62.05699999999999</v>
      </c>
      <c r="F19" s="44">
        <v>-60.41399999999999</v>
      </c>
      <c r="G19" s="44">
        <v>-74.864</v>
      </c>
      <c r="H19" s="44">
        <v>-91.304</v>
      </c>
      <c r="I19" s="44">
        <v>-111.57399999999997</v>
      </c>
    </row>
    <row r="20" spans="1:9" ht="15">
      <c r="A20" s="43" t="str">
        <f>HLOOKUP(INDICE!$F$2,Nombres!$C$3:$D$636,45,FALSE)</f>
        <v>Provisiones o reversión de provisiones y otros resultados</v>
      </c>
      <c r="B20" s="44">
        <v>-1.6279999999999997</v>
      </c>
      <c r="C20" s="44">
        <v>-3.37</v>
      </c>
      <c r="D20" s="44">
        <v>-5.473000000000001</v>
      </c>
      <c r="E20" s="45">
        <v>3.0570000000000004</v>
      </c>
      <c r="F20" s="44">
        <v>-1.4060000000000004</v>
      </c>
      <c r="G20" s="44">
        <v>8.016</v>
      </c>
      <c r="H20" s="44">
        <v>0.015999999999999348</v>
      </c>
      <c r="I20" s="44">
        <v>-16.539</v>
      </c>
    </row>
    <row r="21" spans="1:9" ht="15">
      <c r="A21" s="41" t="str">
        <f>HLOOKUP(INDICE!$F$2,Nombres!$C$3:$D$636,46,FALSE)</f>
        <v>Resultado antes de impuestos</v>
      </c>
      <c r="B21" s="41">
        <f>+B18+B19+B20</f>
        <v>116.34140963999994</v>
      </c>
      <c r="C21" s="41">
        <f aca="true" t="shared" si="2" ref="C21:I21">+C18+C19+C20</f>
        <v>125.31597194</v>
      </c>
      <c r="D21" s="41">
        <f t="shared" si="2"/>
        <v>103.66273772000002</v>
      </c>
      <c r="E21" s="42">
        <f t="shared" si="2"/>
        <v>29.934306590000133</v>
      </c>
      <c r="F21" s="50">
        <f t="shared" si="2"/>
        <v>61.467331140000006</v>
      </c>
      <c r="G21" s="50">
        <f t="shared" si="2"/>
        <v>64.15159182000009</v>
      </c>
      <c r="H21" s="50">
        <f t="shared" si="2"/>
        <v>10.5112814399999</v>
      </c>
      <c r="I21" s="50">
        <f t="shared" si="2"/>
        <v>24.815448970000148</v>
      </c>
    </row>
    <row r="22" spans="1:9" ht="15">
      <c r="A22" s="43" t="str">
        <f>HLOOKUP(INDICE!$F$2,Nombres!$C$3:$D$636,47,FALSE)</f>
        <v>Impuesto sobre beneficios</v>
      </c>
      <c r="B22" s="44">
        <v>-42.08407676</v>
      </c>
      <c r="C22" s="44">
        <v>-41.46281466000001</v>
      </c>
      <c r="D22" s="44">
        <v>-36.82232474</v>
      </c>
      <c r="E22" s="45">
        <v>-7.558536770000011</v>
      </c>
      <c r="F22" s="44">
        <v>-22.12338491</v>
      </c>
      <c r="G22" s="44">
        <v>-11.20591887</v>
      </c>
      <c r="H22" s="44">
        <v>5.820088999999994</v>
      </c>
      <c r="I22" s="44">
        <v>5.5008347200000545</v>
      </c>
    </row>
    <row r="23" spans="1:9" ht="15">
      <c r="A23" s="41" t="str">
        <f>HLOOKUP(INDICE!$F$2,Nombres!$C$3:$D$636,48,FALSE)</f>
        <v>Resultado del ejercicio</v>
      </c>
      <c r="B23" s="41">
        <f>+B21+B22</f>
        <v>74.25733287999994</v>
      </c>
      <c r="C23" s="41">
        <f aca="true" t="shared" si="3" ref="C23:I23">+C21+C22</f>
        <v>83.85315727999999</v>
      </c>
      <c r="D23" s="41">
        <f t="shared" si="3"/>
        <v>66.84041298000002</v>
      </c>
      <c r="E23" s="42">
        <f t="shared" si="3"/>
        <v>22.375769820000123</v>
      </c>
      <c r="F23" s="50">
        <f t="shared" si="3"/>
        <v>39.34394623000001</v>
      </c>
      <c r="G23" s="50">
        <f t="shared" si="3"/>
        <v>52.945672950000095</v>
      </c>
      <c r="H23" s="50">
        <f t="shared" si="3"/>
        <v>16.331370439999894</v>
      </c>
      <c r="I23" s="50">
        <f t="shared" si="3"/>
        <v>30.3162836900002</v>
      </c>
    </row>
    <row r="24" spans="1:9" ht="15">
      <c r="A24" s="43" t="str">
        <f>HLOOKUP(INDICE!$F$2,Nombres!$C$3:$D$636,49,FALSE)</f>
        <v>Minoritarios</v>
      </c>
      <c r="B24" s="44">
        <v>-2.63367044</v>
      </c>
      <c r="C24" s="44">
        <v>-2.4684990100000004</v>
      </c>
      <c r="D24" s="44">
        <v>-1.764356</v>
      </c>
      <c r="E24" s="45">
        <v>0.6529529999999997</v>
      </c>
      <c r="F24" s="44">
        <v>1.2979088799999998</v>
      </c>
      <c r="G24" s="44">
        <v>1.681142</v>
      </c>
      <c r="H24" s="44">
        <v>3.003063999999998</v>
      </c>
      <c r="I24" s="44">
        <v>10.592111320000003</v>
      </c>
    </row>
    <row r="25" spans="1:9" ht="15">
      <c r="A25" s="47" t="str">
        <f>HLOOKUP(INDICE!$F$2,Nombres!$C$3:$D$636,50,FALSE)</f>
        <v>Resultado atribuido</v>
      </c>
      <c r="B25" s="47">
        <f>+B23+B24</f>
        <v>71.62366243999993</v>
      </c>
      <c r="C25" s="47">
        <f aca="true" t="shared" si="4" ref="C25:I25">+C23+C24</f>
        <v>81.38465826999999</v>
      </c>
      <c r="D25" s="47">
        <f t="shared" si="4"/>
        <v>65.07605698000002</v>
      </c>
      <c r="E25" s="47">
        <f t="shared" si="4"/>
        <v>23.028722820000123</v>
      </c>
      <c r="F25" s="51">
        <f t="shared" si="4"/>
        <v>40.64185511000001</v>
      </c>
      <c r="G25" s="51">
        <f t="shared" si="4"/>
        <v>54.626814950000096</v>
      </c>
      <c r="H25" s="51">
        <f t="shared" si="4"/>
        <v>19.334434439999892</v>
      </c>
      <c r="I25" s="51">
        <f t="shared" si="4"/>
        <v>40.908395010000206</v>
      </c>
    </row>
    <row r="26" spans="1:9" ht="15">
      <c r="A26" s="62"/>
      <c r="B26" s="63">
        <v>0</v>
      </c>
      <c r="C26" s="63">
        <v>0</v>
      </c>
      <c r="D26" s="63">
        <v>0</v>
      </c>
      <c r="E26" s="63">
        <v>-2.842170943040401E-14</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9" ht="15">
      <c r="A31" s="43" t="str">
        <f>HLOOKUP(INDICE!$F$2,Nombres!$C$3:$D$636,52,FALSE)</f>
        <v>Efectivo, saldos en efectivo en bancos centrales y otros depósitos a la vista</v>
      </c>
      <c r="B31" s="44">
        <v>1954.251</v>
      </c>
      <c r="C31" s="44">
        <v>2289.6649999999995</v>
      </c>
      <c r="D31" s="44">
        <v>2473.2560000000003</v>
      </c>
      <c r="E31" s="45">
        <v>1860.75</v>
      </c>
      <c r="F31" s="44">
        <v>1516.496</v>
      </c>
      <c r="G31" s="44">
        <v>2132.142</v>
      </c>
      <c r="H31" s="44">
        <v>1957.459</v>
      </c>
      <c r="I31" s="44">
        <v>2055.055</v>
      </c>
    </row>
    <row r="32" spans="1:9" ht="15">
      <c r="A32" s="43" t="str">
        <f>HLOOKUP(INDICE!$F$2,Nombres!$C$3:$D$636,53,FALSE)</f>
        <v>Activos financieros a valor razonable</v>
      </c>
      <c r="B32" s="58">
        <v>3017.0080000000003</v>
      </c>
      <c r="C32" s="58">
        <v>3628.4299999999994</v>
      </c>
      <c r="D32" s="58">
        <v>3572.0029999999997</v>
      </c>
      <c r="E32" s="64">
        <v>3282.0710000000004</v>
      </c>
      <c r="F32" s="44">
        <v>3188.8019999999997</v>
      </c>
      <c r="G32" s="44">
        <v>4185.136</v>
      </c>
      <c r="H32" s="44">
        <v>4227.986</v>
      </c>
      <c r="I32" s="44">
        <v>4656.773999999999</v>
      </c>
    </row>
    <row r="33" spans="1:9" ht="15">
      <c r="A33" s="43" t="str">
        <f>HLOOKUP(INDICE!$F$2,Nombres!$C$3:$D$636,54,FALSE)</f>
        <v>Activos financieros a coste amortizado</v>
      </c>
      <c r="B33" s="44">
        <v>14833.607999999998</v>
      </c>
      <c r="C33" s="44">
        <v>15602.117999999999</v>
      </c>
      <c r="D33" s="44">
        <v>15432.210000000003</v>
      </c>
      <c r="E33" s="45">
        <v>13972.123</v>
      </c>
      <c r="F33" s="44">
        <v>14441.204000000002</v>
      </c>
      <c r="G33" s="44">
        <v>16359.426</v>
      </c>
      <c r="H33" s="44">
        <v>17434.864</v>
      </c>
      <c r="I33" s="44">
        <v>18006.651</v>
      </c>
    </row>
    <row r="34" spans="1:9" ht="15">
      <c r="A34" s="43" t="str">
        <f>HLOOKUP(INDICE!$F$2,Nombres!$C$3:$D$636,55,FALSE)</f>
        <v>    de los que préstamos y anticipos a la clientela</v>
      </c>
      <c r="B34" s="44">
        <v>14073.537</v>
      </c>
      <c r="C34" s="44">
        <v>14593.019</v>
      </c>
      <c r="D34" s="44">
        <v>14626.701000000001</v>
      </c>
      <c r="E34" s="45">
        <v>13247.167999999998</v>
      </c>
      <c r="F34" s="44">
        <v>13706.14</v>
      </c>
      <c r="G34" s="44">
        <v>15534.097000000002</v>
      </c>
      <c r="H34" s="44">
        <v>16514.748000000003</v>
      </c>
      <c r="I34" s="44">
        <v>17053.036999999997</v>
      </c>
    </row>
    <row r="35" spans="1:9" ht="15" customHeight="1" hidden="1">
      <c r="A35" s="43"/>
      <c r="B35" s="44"/>
      <c r="C35" s="44"/>
      <c r="D35" s="44"/>
      <c r="E35" s="45"/>
      <c r="F35" s="44"/>
      <c r="G35" s="44"/>
      <c r="H35" s="44"/>
      <c r="I35" s="44"/>
    </row>
    <row r="36" spans="1:9" ht="15">
      <c r="A36" s="43" t="str">
        <f>HLOOKUP(INDICE!$F$2,Nombres!$C$3:$D$636,56,FALSE)</f>
        <v>Activos tangibles</v>
      </c>
      <c r="B36" s="44">
        <v>105.84</v>
      </c>
      <c r="C36" s="44">
        <v>101.583</v>
      </c>
      <c r="D36" s="44">
        <v>98.194</v>
      </c>
      <c r="E36" s="45">
        <v>85.297</v>
      </c>
      <c r="F36" s="44">
        <v>86.42300000000002</v>
      </c>
      <c r="G36" s="44">
        <v>93.98500000000001</v>
      </c>
      <c r="H36" s="44">
        <v>96.48499999999999</v>
      </c>
      <c r="I36" s="44">
        <v>109.259</v>
      </c>
    </row>
    <row r="37" spans="1:9" ht="15">
      <c r="A37" s="43" t="str">
        <f>HLOOKUP(INDICE!$F$2,Nombres!$C$3:$D$636,57,FALSE)</f>
        <v>Otros activos</v>
      </c>
      <c r="B37" s="58">
        <f>+B38-B36-B33-B32-B31</f>
        <v>612.544369859999</v>
      </c>
      <c r="C37" s="58">
        <f aca="true" t="shared" si="5" ref="C37:I37">+C38-C36-C33-C32-C31</f>
        <v>667.8323542299972</v>
      </c>
      <c r="D37" s="58">
        <f t="shared" si="5"/>
        <v>740.1798793799953</v>
      </c>
      <c r="E37" s="64">
        <f t="shared" si="5"/>
        <v>629.0101230299983</v>
      </c>
      <c r="F37" s="44">
        <f t="shared" si="5"/>
        <v>567.1029999999946</v>
      </c>
      <c r="G37" s="44">
        <f t="shared" si="5"/>
        <v>661.7587628099991</v>
      </c>
      <c r="H37" s="44">
        <f t="shared" si="5"/>
        <v>779.8850087999997</v>
      </c>
      <c r="I37" s="44">
        <f t="shared" si="5"/>
        <v>814.8109302500038</v>
      </c>
    </row>
    <row r="38" spans="1:9" ht="15">
      <c r="A38" s="47" t="str">
        <f>HLOOKUP(INDICE!$F$2,Nombres!$C$3:$D$636,58,FALSE)</f>
        <v>Total activo / pasivo</v>
      </c>
      <c r="B38" s="47">
        <v>20523.251369859998</v>
      </c>
      <c r="C38" s="47">
        <v>22289.628354229993</v>
      </c>
      <c r="D38" s="47">
        <v>22315.842879379998</v>
      </c>
      <c r="E38" s="47">
        <v>19829.251123029997</v>
      </c>
      <c r="F38" s="51">
        <v>19800.027999999995</v>
      </c>
      <c r="G38" s="51">
        <v>23432.44776281</v>
      </c>
      <c r="H38" s="51">
        <v>24496.6790088</v>
      </c>
      <c r="I38" s="51">
        <v>25642.549930250003</v>
      </c>
    </row>
    <row r="39" spans="1:9" ht="15">
      <c r="A39" s="43" t="str">
        <f>HLOOKUP(INDICE!$F$2,Nombres!$C$3:$D$636,59,FALSE)</f>
        <v>Pasivos financieros mantenidos para negociar y designados a valor razonable con cambios en resultados</v>
      </c>
      <c r="B39" s="58">
        <v>2159.98</v>
      </c>
      <c r="C39" s="58">
        <v>2693.205</v>
      </c>
      <c r="D39" s="58">
        <v>3097.04</v>
      </c>
      <c r="E39" s="64">
        <v>2434.834</v>
      </c>
      <c r="F39" s="44">
        <v>2021.2240000000002</v>
      </c>
      <c r="G39" s="44">
        <v>3505.1269999999995</v>
      </c>
      <c r="H39" s="44">
        <v>2813.756</v>
      </c>
      <c r="I39" s="44">
        <v>2923.3540000000003</v>
      </c>
    </row>
    <row r="40" spans="1:9" ht="15.75" customHeight="1">
      <c r="A40" s="43" t="str">
        <f>HLOOKUP(INDICE!$F$2,Nombres!$C$3:$D$636,60,FALSE)</f>
        <v>Depósitos de bancos centrales y entidades de crédito</v>
      </c>
      <c r="B40" s="58">
        <v>1515.10800001</v>
      </c>
      <c r="C40" s="58">
        <v>866.4019999899999</v>
      </c>
      <c r="D40" s="58">
        <v>1194.093</v>
      </c>
      <c r="E40" s="64">
        <v>1320.184</v>
      </c>
      <c r="F40" s="44">
        <v>1125.355</v>
      </c>
      <c r="G40" s="44">
        <v>1302.347</v>
      </c>
      <c r="H40" s="44">
        <v>1139.45699999</v>
      </c>
      <c r="I40" s="44">
        <v>1097.238</v>
      </c>
    </row>
    <row r="41" spans="1:9" ht="15">
      <c r="A41" s="43" t="str">
        <f>HLOOKUP(INDICE!$F$2,Nombres!$C$3:$D$636,61,FALSE)</f>
        <v>Depósitos de la clientela</v>
      </c>
      <c r="B41" s="58">
        <v>13447.496999990002</v>
      </c>
      <c r="C41" s="58">
        <v>15291.701000009998</v>
      </c>
      <c r="D41" s="58">
        <v>14512.007999999998</v>
      </c>
      <c r="E41" s="64">
        <v>13051.841</v>
      </c>
      <c r="F41" s="44">
        <v>13624.636000000002</v>
      </c>
      <c r="G41" s="44">
        <v>15157.057</v>
      </c>
      <c r="H41" s="44">
        <v>16958.03600001</v>
      </c>
      <c r="I41" s="44">
        <v>17875.188000000002</v>
      </c>
    </row>
    <row r="42" spans="1:9" ht="15">
      <c r="A42" s="43" t="str">
        <f>HLOOKUP(INDICE!$F$2,Nombres!$C$3:$D$636,62,FALSE)</f>
        <v>Valores representativos de deuda emitidos</v>
      </c>
      <c r="B42" s="44">
        <v>878.09216156</v>
      </c>
      <c r="C42" s="44">
        <v>926.68810403</v>
      </c>
      <c r="D42" s="44">
        <v>967.88829056</v>
      </c>
      <c r="E42" s="45">
        <v>871.12451771</v>
      </c>
      <c r="F42" s="44">
        <v>817.26818938</v>
      </c>
      <c r="G42" s="44">
        <v>925.3335739300001</v>
      </c>
      <c r="H42" s="44">
        <v>1052.02081511</v>
      </c>
      <c r="I42" s="44">
        <v>1131.00004828</v>
      </c>
    </row>
    <row r="43" spans="1:9" ht="15" customHeight="1" hidden="1">
      <c r="A43" s="43"/>
      <c r="B43" s="44"/>
      <c r="C43" s="44"/>
      <c r="D43" s="44"/>
      <c r="E43" s="45"/>
      <c r="F43" s="44"/>
      <c r="G43" s="44"/>
      <c r="H43" s="44"/>
      <c r="I43" s="44"/>
    </row>
    <row r="44" spans="1:9" ht="15">
      <c r="A44" s="43" t="str">
        <f>HLOOKUP(INDICE!$F$2,Nombres!$C$3:$D$636,63,FALSE)</f>
        <v>Otros pasivos</v>
      </c>
      <c r="B44" s="58">
        <f>+B38-B39-B40-B41-B42-B45</f>
        <v>698.7309178499952</v>
      </c>
      <c r="C44" s="58">
        <f aca="true" t="shared" si="6" ref="C44:I44">+C38-C39-C40-C41-C42-C45</f>
        <v>500.83871122999267</v>
      </c>
      <c r="D44" s="58">
        <f t="shared" si="6"/>
        <v>514.318502239998</v>
      </c>
      <c r="E44" s="64">
        <f t="shared" si="6"/>
        <v>310.8677739399984</v>
      </c>
      <c r="F44" s="44">
        <f t="shared" si="6"/>
        <v>393.22904545999495</v>
      </c>
      <c r="G44" s="44">
        <f t="shared" si="6"/>
        <v>476.6502850999964</v>
      </c>
      <c r="H44" s="44">
        <f t="shared" si="6"/>
        <v>328.4857376899986</v>
      </c>
      <c r="I44" s="44">
        <f t="shared" si="6"/>
        <v>371.5860108700008</v>
      </c>
    </row>
    <row r="45" spans="1:9" ht="15">
      <c r="A45" s="43" t="str">
        <f>HLOOKUP(INDICE!$F$2,Nombres!$C$3:$D$636,282,FALSE)</f>
        <v>Dotación de capital regulatorio</v>
      </c>
      <c r="B45" s="58">
        <v>1823.8432904499998</v>
      </c>
      <c r="C45" s="58">
        <v>2010.7935389699999</v>
      </c>
      <c r="D45" s="58">
        <v>2030.4950865800001</v>
      </c>
      <c r="E45" s="64">
        <v>1840.39983138</v>
      </c>
      <c r="F45" s="44">
        <v>1818.3157651599997</v>
      </c>
      <c r="G45" s="44">
        <v>2065.9329037800003</v>
      </c>
      <c r="H45" s="44">
        <v>2204.9234559999995</v>
      </c>
      <c r="I45" s="44">
        <v>2244.1838710999996</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Indicadores relevantes y de gestión</v>
      </c>
      <c r="B48" s="34"/>
      <c r="C48" s="34"/>
      <c r="D48" s="34"/>
      <c r="E48" s="34"/>
      <c r="F48" s="68"/>
      <c r="G48" s="68"/>
      <c r="H48" s="68"/>
      <c r="I48" s="68"/>
    </row>
    <row r="49" spans="1:9" ht="15">
      <c r="A49" s="35" t="str">
        <f>HLOOKUP(INDICE!$F$2,Nombres!$C$3:$D$636,32,FALSE)</f>
        <v>(Millones de euros)</v>
      </c>
      <c r="B49" s="30"/>
      <c r="C49" s="30"/>
      <c r="D49" s="30"/>
      <c r="E49" s="30"/>
      <c r="F49" s="69"/>
      <c r="G49" s="44"/>
      <c r="H49" s="44"/>
      <c r="I49" s="44"/>
    </row>
    <row r="50" spans="1:9" ht="15.75">
      <c r="A50" s="30"/>
      <c r="B50" s="53">
        <f aca="true" t="shared" si="7" ref="B50:I50">+B$30</f>
        <v>44651</v>
      </c>
      <c r="C50" s="53">
        <f t="shared" si="7"/>
        <v>44742</v>
      </c>
      <c r="D50" s="53">
        <f t="shared" si="7"/>
        <v>44834</v>
      </c>
      <c r="E50" s="67">
        <f t="shared" si="7"/>
        <v>44926</v>
      </c>
      <c r="F50" s="53">
        <f t="shared" si="7"/>
        <v>45016</v>
      </c>
      <c r="G50" s="53">
        <f t="shared" si="7"/>
        <v>45107</v>
      </c>
      <c r="H50" s="53">
        <f t="shared" si="7"/>
        <v>45199</v>
      </c>
      <c r="I50" s="53">
        <f t="shared" si="7"/>
        <v>45291</v>
      </c>
    </row>
    <row r="51" spans="1:9" ht="15">
      <c r="A51" s="43" t="str">
        <f>HLOOKUP(INDICE!$F$2,Nombres!$C$3:$D$636,66,FALSE)</f>
        <v>Préstamos y anticipos a la clientela bruto (*)</v>
      </c>
      <c r="B51" s="44">
        <v>14846.219000000001</v>
      </c>
      <c r="C51" s="44">
        <v>15337.597000000003</v>
      </c>
      <c r="D51" s="44">
        <v>15352.031</v>
      </c>
      <c r="E51" s="45">
        <v>13881.871999999998</v>
      </c>
      <c r="F51" s="44">
        <v>14363.703000000001</v>
      </c>
      <c r="G51" s="44">
        <v>16266.401</v>
      </c>
      <c r="H51" s="44">
        <v>17291.771000000004</v>
      </c>
      <c r="I51" s="44">
        <v>17842.931999999997</v>
      </c>
    </row>
    <row r="52" spans="1:9" ht="15">
      <c r="A52" s="43" t="str">
        <f>HLOOKUP(INDICE!$F$2,Nombres!$C$3:$D$636,67,FALSE)</f>
        <v>Depósitos de clientes en gestión (**)</v>
      </c>
      <c r="B52" s="44">
        <v>13447.49699999</v>
      </c>
      <c r="C52" s="44">
        <v>15291.701000009998</v>
      </c>
      <c r="D52" s="44">
        <v>14512.008000000002</v>
      </c>
      <c r="E52" s="45">
        <v>13051.841</v>
      </c>
      <c r="F52" s="44">
        <v>13624.636</v>
      </c>
      <c r="G52" s="44">
        <v>15157.057</v>
      </c>
      <c r="H52" s="44">
        <v>16958.03600001</v>
      </c>
      <c r="I52" s="44">
        <v>17875.188000000002</v>
      </c>
    </row>
    <row r="53" spans="1:9" ht="15">
      <c r="A53" s="43" t="str">
        <f>HLOOKUP(INDICE!$F$2,Nombres!$C$3:$D$636,68,FALSE)</f>
        <v>Fondos de inversión y carteras gestionadas</v>
      </c>
      <c r="B53" s="44">
        <v>2572.59723742</v>
      </c>
      <c r="C53" s="44">
        <v>2309.0974927800003</v>
      </c>
      <c r="D53" s="44">
        <v>2286.90941909</v>
      </c>
      <c r="E53" s="45">
        <v>2045.6128869899999</v>
      </c>
      <c r="F53" s="44">
        <v>2417.3406822600004</v>
      </c>
      <c r="G53" s="44">
        <v>2188.0191006200002</v>
      </c>
      <c r="H53" s="44">
        <v>2189.27407808</v>
      </c>
      <c r="I53" s="44">
        <v>2505.81161711</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1">
        <f>+B$6</f>
        <v>2022</v>
      </c>
      <c r="C62" s="301"/>
      <c r="D62" s="301"/>
      <c r="E62" s="302"/>
      <c r="F62" s="301">
        <f>+F$6</f>
        <v>2023</v>
      </c>
      <c r="G62" s="301"/>
      <c r="H62" s="301"/>
      <c r="I62" s="301"/>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199.37477826920585</v>
      </c>
      <c r="C64" s="41">
        <v>205.02015423067593</v>
      </c>
      <c r="D64" s="41">
        <v>198.04724594863654</v>
      </c>
      <c r="E64" s="42">
        <v>205.34431044745455</v>
      </c>
      <c r="F64" s="50">
        <v>186.81100995584112</v>
      </c>
      <c r="G64" s="50">
        <v>183.9451639294438</v>
      </c>
      <c r="H64" s="50">
        <v>193.1692412384787</v>
      </c>
      <c r="I64" s="50">
        <v>204.40358487623632</v>
      </c>
    </row>
    <row r="65" spans="1:9" ht="15">
      <c r="A65" s="43" t="str">
        <f>HLOOKUP(INDICE!$F$2,Nombres!$C$3:$D$636,34,FALSE)</f>
        <v>Comisiones netas</v>
      </c>
      <c r="B65" s="44">
        <v>23.5448186689599</v>
      </c>
      <c r="C65" s="44">
        <v>23.967850933262763</v>
      </c>
      <c r="D65" s="44">
        <v>24.80498024716212</v>
      </c>
      <c r="E65" s="45">
        <v>24.10141254819234</v>
      </c>
      <c r="F65" s="44">
        <v>26.270475028574268</v>
      </c>
      <c r="G65" s="44">
        <v>32.04405950515949</v>
      </c>
      <c r="H65" s="44">
        <v>26.354929884990312</v>
      </c>
      <c r="I65" s="44">
        <v>29.423030351275948</v>
      </c>
    </row>
    <row r="66" spans="1:9" ht="15">
      <c r="A66" s="43" t="str">
        <f>HLOOKUP(INDICE!$F$2,Nombres!$C$3:$D$636,35,FALSE)</f>
        <v>Resultados de operaciones financieras</v>
      </c>
      <c r="B66" s="44">
        <v>22.588399452579058</v>
      </c>
      <c r="C66" s="44">
        <v>24.401651835380765</v>
      </c>
      <c r="D66" s="44">
        <v>26.601518519371943</v>
      </c>
      <c r="E66" s="45">
        <v>25.003019465173185</v>
      </c>
      <c r="F66" s="44">
        <v>35.770454801826105</v>
      </c>
      <c r="G66" s="44">
        <v>27.331288475540397</v>
      </c>
      <c r="H66" s="44">
        <v>-2.6420692084684596</v>
      </c>
      <c r="I66" s="44">
        <v>31.989608591101998</v>
      </c>
    </row>
    <row r="67" spans="1:9" ht="15">
      <c r="A67" s="43" t="str">
        <f>HLOOKUP(INDICE!$F$2,Nombres!$C$3:$D$636,36,FALSE)</f>
        <v>Otros ingresos y cargas de explotación</v>
      </c>
      <c r="B67" s="44">
        <v>0.29172632896122996</v>
      </c>
      <c r="C67" s="44">
        <v>-1.2551247079931303</v>
      </c>
      <c r="D67" s="44">
        <v>2.4621348833394947</v>
      </c>
      <c r="E67" s="45">
        <v>-26.063679368797416</v>
      </c>
      <c r="F67" s="44">
        <v>1.8501651350625803</v>
      </c>
      <c r="G67" s="44">
        <v>-3.139093179800531</v>
      </c>
      <c r="H67" s="44">
        <v>-8.943859236241295</v>
      </c>
      <c r="I67" s="44">
        <v>-3.0622127190207533</v>
      </c>
    </row>
    <row r="68" spans="1:9" ht="15">
      <c r="A68" s="41" t="str">
        <f>HLOOKUP(INDICE!$F$2,Nombres!$C$3:$D$636,37,FALSE)</f>
        <v>Margen bruto</v>
      </c>
      <c r="B68" s="41">
        <f>+SUM(B64:B67)</f>
        <v>245.79972271970604</v>
      </c>
      <c r="C68" s="41">
        <f aca="true" t="shared" si="9" ref="C68:I68">+SUM(C64:C67)</f>
        <v>252.1345322913263</v>
      </c>
      <c r="D68" s="41">
        <f t="shared" si="9"/>
        <v>251.91587959851012</v>
      </c>
      <c r="E68" s="42">
        <f t="shared" si="9"/>
        <v>228.38506309202268</v>
      </c>
      <c r="F68" s="50">
        <f t="shared" si="9"/>
        <v>250.70210492130408</v>
      </c>
      <c r="G68" s="50">
        <f t="shared" si="9"/>
        <v>240.18141873034313</v>
      </c>
      <c r="H68" s="50">
        <f t="shared" si="9"/>
        <v>207.93824267875925</v>
      </c>
      <c r="I68" s="50">
        <f t="shared" si="9"/>
        <v>262.7540110995935</v>
      </c>
    </row>
    <row r="69" spans="1:9" ht="15">
      <c r="A69" s="43" t="str">
        <f>HLOOKUP(INDICE!$F$2,Nombres!$C$3:$D$636,38,FALSE)</f>
        <v>Gastos de explotación</v>
      </c>
      <c r="B69" s="44">
        <v>-83.13517630726346</v>
      </c>
      <c r="C69" s="44">
        <v>-88.25516923810292</v>
      </c>
      <c r="D69" s="44">
        <v>-96.55306033893396</v>
      </c>
      <c r="E69" s="45">
        <v>-127.23211377638498</v>
      </c>
      <c r="F69" s="44">
        <v>-116.12869980617516</v>
      </c>
      <c r="G69" s="44">
        <v>-104.99552638599698</v>
      </c>
      <c r="H69" s="44">
        <v>-114.12196806514605</v>
      </c>
      <c r="I69" s="44">
        <v>-117.3149298026818</v>
      </c>
    </row>
    <row r="70" spans="1:9" ht="15">
      <c r="A70" s="43" t="str">
        <f>HLOOKUP(INDICE!$F$2,Nombres!$C$3:$D$636,39,FALSE)</f>
        <v>  Gastos de administración</v>
      </c>
      <c r="B70" s="44">
        <v>-76.36074689325055</v>
      </c>
      <c r="C70" s="44">
        <v>-81.50085047477039</v>
      </c>
      <c r="D70" s="44">
        <v>-89.77679329916535</v>
      </c>
      <c r="E70" s="45">
        <v>-120.101180548917</v>
      </c>
      <c r="F70" s="44">
        <v>-108.70511686602141</v>
      </c>
      <c r="G70" s="44">
        <v>-97.80913646019928</v>
      </c>
      <c r="H70" s="44">
        <v>-105.68519631861864</v>
      </c>
      <c r="I70" s="44">
        <v>-109.48167441516068</v>
      </c>
    </row>
    <row r="71" spans="1:9" ht="15">
      <c r="A71" s="46" t="str">
        <f>HLOOKUP(INDICE!$F$2,Nombres!$C$3:$D$636,40,FALSE)</f>
        <v>  Gastos de personal</v>
      </c>
      <c r="B71" s="44">
        <v>-38.50412331575774</v>
      </c>
      <c r="C71" s="44">
        <v>-40.99042403212832</v>
      </c>
      <c r="D71" s="44">
        <v>-41.77005273678121</v>
      </c>
      <c r="E71" s="45">
        <v>-61.652547245607195</v>
      </c>
      <c r="F71" s="44">
        <v>-50.67924310077915</v>
      </c>
      <c r="G71" s="44">
        <v>-43.04120802051638</v>
      </c>
      <c r="H71" s="44">
        <v>-49.842838494718634</v>
      </c>
      <c r="I71" s="44">
        <v>-49.75871038398583</v>
      </c>
    </row>
    <row r="72" spans="1:9" ht="15">
      <c r="A72" s="46" t="str">
        <f>HLOOKUP(INDICE!$F$2,Nombres!$C$3:$D$636,41,FALSE)</f>
        <v>  Otros gastos de administración</v>
      </c>
      <c r="B72" s="44">
        <v>-37.85662357749281</v>
      </c>
      <c r="C72" s="44">
        <v>-40.510426442642085</v>
      </c>
      <c r="D72" s="44">
        <v>-48.00674056238414</v>
      </c>
      <c r="E72" s="45">
        <v>-58.4486333033098</v>
      </c>
      <c r="F72" s="44">
        <v>-58.02587376524225</v>
      </c>
      <c r="G72" s="44">
        <v>-54.767928439682905</v>
      </c>
      <c r="H72" s="44">
        <v>-55.84235782390001</v>
      </c>
      <c r="I72" s="44">
        <v>-59.722964031174854</v>
      </c>
    </row>
    <row r="73" spans="1:9" ht="15">
      <c r="A73" s="43" t="str">
        <f>HLOOKUP(INDICE!$F$2,Nombres!$C$3:$D$636,42,FALSE)</f>
        <v>  Amortización</v>
      </c>
      <c r="B73" s="44">
        <v>-6.774429414012921</v>
      </c>
      <c r="C73" s="44">
        <v>-6.754318763332526</v>
      </c>
      <c r="D73" s="44">
        <v>-6.7762670397686</v>
      </c>
      <c r="E73" s="45">
        <v>-7.130933227467998</v>
      </c>
      <c r="F73" s="44">
        <v>-7.423582940153762</v>
      </c>
      <c r="G73" s="44">
        <v>-7.186389925797703</v>
      </c>
      <c r="H73" s="44">
        <v>-8.436771746527409</v>
      </c>
      <c r="I73" s="44">
        <v>-7.833255387521127</v>
      </c>
    </row>
    <row r="74" spans="1:9" ht="15">
      <c r="A74" s="41" t="str">
        <f>HLOOKUP(INDICE!$F$2,Nombres!$C$3:$D$636,43,FALSE)</f>
        <v>Margen neto</v>
      </c>
      <c r="B74" s="41">
        <f>+B68+B69</f>
        <v>162.66454641244258</v>
      </c>
      <c r="C74" s="41">
        <f aca="true" t="shared" si="10" ref="C74:I74">+C68+C69</f>
        <v>163.8793630532234</v>
      </c>
      <c r="D74" s="41">
        <f t="shared" si="10"/>
        <v>155.36281925957616</v>
      </c>
      <c r="E74" s="42">
        <f t="shared" si="10"/>
        <v>101.1529493156377</v>
      </c>
      <c r="F74" s="50">
        <f t="shared" si="10"/>
        <v>134.57340511512893</v>
      </c>
      <c r="G74" s="50">
        <f t="shared" si="10"/>
        <v>135.18589234434614</v>
      </c>
      <c r="H74" s="50">
        <f t="shared" si="10"/>
        <v>93.8162746136132</v>
      </c>
      <c r="I74" s="50">
        <f t="shared" si="10"/>
        <v>145.43908129691172</v>
      </c>
    </row>
    <row r="75" spans="1:9" ht="15">
      <c r="A75" s="43" t="str">
        <f>HLOOKUP(INDICE!$F$2,Nombres!$C$3:$D$636,44,FALSE)</f>
        <v>Deterioro de activos financieros no valorados a valor razonable con cambios en resultados</v>
      </c>
      <c r="B75" s="44">
        <v>-52.006080804722295</v>
      </c>
      <c r="C75" s="44">
        <v>-48.87078707151571</v>
      </c>
      <c r="D75" s="44">
        <v>-52.27700116752324</v>
      </c>
      <c r="E75" s="45">
        <v>-64.4225811168912</v>
      </c>
      <c r="F75" s="44">
        <v>-65.94446989361116</v>
      </c>
      <c r="G75" s="44">
        <v>-77.56467252289933</v>
      </c>
      <c r="H75" s="44">
        <v>-87.8384336859478</v>
      </c>
      <c r="I75" s="44">
        <v>-106.8084238975417</v>
      </c>
    </row>
    <row r="76" spans="1:9" ht="15">
      <c r="A76" s="43" t="str">
        <f>HLOOKUP(INDICE!$F$2,Nombres!$C$3:$D$636,45,FALSE)</f>
        <v>Provisiones o reversión de provisiones y otros resultados</v>
      </c>
      <c r="B76" s="44">
        <v>-1.527107599835646</v>
      </c>
      <c r="C76" s="44">
        <v>-3.0456037946576604</v>
      </c>
      <c r="D76" s="44">
        <v>-5.102547506002764</v>
      </c>
      <c r="E76" s="45">
        <v>2.5942130964115764</v>
      </c>
      <c r="F76" s="44">
        <v>-1.534709250677281</v>
      </c>
      <c r="G76" s="44">
        <v>8.546902152502666</v>
      </c>
      <c r="H76" s="44">
        <v>-0.24683184377625156</v>
      </c>
      <c r="I76" s="44">
        <v>-16.67836105804913</v>
      </c>
    </row>
    <row r="77" spans="1:9" ht="15">
      <c r="A77" s="41" t="str">
        <f>HLOOKUP(INDICE!$F$2,Nombres!$C$3:$D$636,46,FALSE)</f>
        <v>Resultado antes de impuestos</v>
      </c>
      <c r="B77" s="41">
        <f>+B74+B75+B76</f>
        <v>109.13135800788463</v>
      </c>
      <c r="C77" s="41">
        <f aca="true" t="shared" si="11" ref="C77:I77">+C74+C75+C76</f>
        <v>111.96297218705001</v>
      </c>
      <c r="D77" s="41">
        <f t="shared" si="11"/>
        <v>97.98327058605015</v>
      </c>
      <c r="E77" s="42">
        <f t="shared" si="11"/>
        <v>39.32458129515808</v>
      </c>
      <c r="F77" s="50">
        <f t="shared" si="11"/>
        <v>67.0942259708405</v>
      </c>
      <c r="G77" s="50">
        <f t="shared" si="11"/>
        <v>66.16812197394948</v>
      </c>
      <c r="H77" s="50">
        <f t="shared" si="11"/>
        <v>5.731009083889146</v>
      </c>
      <c r="I77" s="50">
        <f t="shared" si="11"/>
        <v>21.952296341320892</v>
      </c>
    </row>
    <row r="78" spans="1:9" ht="15">
      <c r="A78" s="43" t="str">
        <f>HLOOKUP(INDICE!$F$2,Nombres!$C$3:$D$636,47,FALSE)</f>
        <v>Impuesto sobre beneficios</v>
      </c>
      <c r="B78" s="44">
        <v>-39.47599106404343</v>
      </c>
      <c r="C78" s="44">
        <v>-36.961748505930395</v>
      </c>
      <c r="D78" s="44">
        <v>-34.7840472696571</v>
      </c>
      <c r="E78" s="45">
        <v>-10.96087813351916</v>
      </c>
      <c r="F78" s="44">
        <v>-24.14862267259685</v>
      </c>
      <c r="G78" s="44">
        <v>-11.208640169899056</v>
      </c>
      <c r="H78" s="44">
        <v>7.269461693971656</v>
      </c>
      <c r="I78" s="44">
        <v>6.079421088524271</v>
      </c>
    </row>
    <row r="79" spans="1:9" ht="15">
      <c r="A79" s="41" t="str">
        <f>HLOOKUP(INDICE!$F$2,Nombres!$C$3:$D$636,48,FALSE)</f>
        <v>Resultado del ejercicio</v>
      </c>
      <c r="B79" s="41">
        <f>+B77+B78</f>
        <v>69.6553669438412</v>
      </c>
      <c r="C79" s="41">
        <f aca="true" t="shared" si="12" ref="C79:I79">+C77+C78</f>
        <v>75.00122368111963</v>
      </c>
      <c r="D79" s="41">
        <f t="shared" si="12"/>
        <v>63.19922331639305</v>
      </c>
      <c r="E79" s="42">
        <f t="shared" si="12"/>
        <v>28.363703161638924</v>
      </c>
      <c r="F79" s="50">
        <f t="shared" si="12"/>
        <v>42.94560329824365</v>
      </c>
      <c r="G79" s="50">
        <f t="shared" si="12"/>
        <v>54.95948180405043</v>
      </c>
      <c r="H79" s="50">
        <f t="shared" si="12"/>
        <v>13.000470777860802</v>
      </c>
      <c r="I79" s="50">
        <f t="shared" si="12"/>
        <v>28.031717429845163</v>
      </c>
    </row>
    <row r="80" spans="1:9" ht="15">
      <c r="A80" s="43" t="str">
        <f>HLOOKUP(INDICE!$F$2,Nombres!$C$3:$D$636,49,FALSE)</f>
        <v>Minoritarios</v>
      </c>
      <c r="B80" s="44">
        <v>-2.4704534056428074</v>
      </c>
      <c r="C80" s="44">
        <v>-2.1975634772404766</v>
      </c>
      <c r="D80" s="44">
        <v>-1.6766886347936625</v>
      </c>
      <c r="E80" s="45">
        <v>0.41017744572556536</v>
      </c>
      <c r="F80" s="44">
        <v>1.4167231612177733</v>
      </c>
      <c r="G80" s="44">
        <v>1.743591428027711</v>
      </c>
      <c r="H80" s="44">
        <v>2.94761886290185</v>
      </c>
      <c r="I80" s="44">
        <v>10.466292747852668</v>
      </c>
    </row>
    <row r="81" spans="1:9" ht="15">
      <c r="A81" s="47" t="str">
        <f>HLOOKUP(INDICE!$F$2,Nombres!$C$3:$D$636,50,FALSE)</f>
        <v>Resultado atribuido</v>
      </c>
      <c r="B81" s="47">
        <f>+B79+B80</f>
        <v>67.1849135381984</v>
      </c>
      <c r="C81" s="47">
        <f aca="true" t="shared" si="13" ref="C81:I81">+C79+C80</f>
        <v>72.80366020387915</v>
      </c>
      <c r="D81" s="47">
        <f t="shared" si="13"/>
        <v>61.52253468159939</v>
      </c>
      <c r="E81" s="47">
        <f t="shared" si="13"/>
        <v>28.77388060736449</v>
      </c>
      <c r="F81" s="51">
        <f t="shared" si="13"/>
        <v>44.36232645946142</v>
      </c>
      <c r="G81" s="51">
        <f t="shared" si="13"/>
        <v>56.70307323207814</v>
      </c>
      <c r="H81" s="51">
        <f t="shared" si="13"/>
        <v>15.948089640762651</v>
      </c>
      <c r="I81" s="51">
        <f t="shared" si="13"/>
        <v>38.49801017769783</v>
      </c>
    </row>
    <row r="82" spans="1:9" ht="15">
      <c r="A82" s="62"/>
      <c r="B82" s="63">
        <v>0</v>
      </c>
      <c r="C82" s="63">
        <v>0</v>
      </c>
      <c r="D82" s="63">
        <v>0</v>
      </c>
      <c r="E82" s="63">
        <v>3.907985046680551E-14</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44651</v>
      </c>
      <c r="C86" s="53">
        <f t="shared" si="14"/>
        <v>44742</v>
      </c>
      <c r="D86" s="53">
        <f t="shared" si="14"/>
        <v>44834</v>
      </c>
      <c r="E86" s="67">
        <f t="shared" si="14"/>
        <v>44926</v>
      </c>
      <c r="F86" s="53">
        <f t="shared" si="14"/>
        <v>45016</v>
      </c>
      <c r="G86" s="53">
        <f t="shared" si="14"/>
        <v>45107</v>
      </c>
      <c r="H86" s="53">
        <f t="shared" si="14"/>
        <v>45199</v>
      </c>
      <c r="I86" s="53">
        <f t="shared" si="14"/>
        <v>45291</v>
      </c>
    </row>
    <row r="87" spans="1:9" ht="15">
      <c r="A87" s="43" t="str">
        <f>HLOOKUP(INDICE!$F$2,Nombres!$C$3:$D$636,52,FALSE)</f>
        <v>Efectivo, saldos en efectivo en bancos centrales y otros depósitos a la vista</v>
      </c>
      <c r="B87" s="44">
        <v>1925.310440643897</v>
      </c>
      <c r="C87" s="44">
        <v>2324.274193743119</v>
      </c>
      <c r="D87" s="44">
        <v>2587.1556513464434</v>
      </c>
      <c r="E87" s="45">
        <v>2260.4457985254594</v>
      </c>
      <c r="F87" s="44">
        <v>1806.9108827918546</v>
      </c>
      <c r="G87" s="44">
        <v>2299.184680128401</v>
      </c>
      <c r="H87" s="44">
        <v>2006.072646492359</v>
      </c>
      <c r="I87" s="44">
        <v>2055.055</v>
      </c>
    </row>
    <row r="88" spans="1:9" ht="15">
      <c r="A88" s="43" t="str">
        <f>HLOOKUP(INDICE!$F$2,Nombres!$C$3:$D$636,53,FALSE)</f>
        <v>Activos financieros a valor razonable</v>
      </c>
      <c r="B88" s="58">
        <v>2972.329041615516</v>
      </c>
      <c r="C88" s="58">
        <v>3683.275157196947</v>
      </c>
      <c r="D88" s="58">
        <v>3736.502710627792</v>
      </c>
      <c r="E88" s="64">
        <v>3987.0716659477375</v>
      </c>
      <c r="F88" s="44">
        <v>3799.469986645815</v>
      </c>
      <c r="G88" s="44">
        <v>4513.020509634844</v>
      </c>
      <c r="H88" s="44">
        <v>4332.98836111134</v>
      </c>
      <c r="I88" s="44">
        <v>4656.773999999999</v>
      </c>
    </row>
    <row r="89" spans="1:9" ht="15">
      <c r="A89" s="43" t="str">
        <f>HLOOKUP(INDICE!$F$2,Nombres!$C$3:$D$636,54,FALSE)</f>
        <v>Activos financieros a coste amortizado</v>
      </c>
      <c r="B89" s="44">
        <v>14613.936671808708</v>
      </c>
      <c r="C89" s="44">
        <v>15837.950195829966</v>
      </c>
      <c r="D89" s="44">
        <v>16142.902034510422</v>
      </c>
      <c r="E89" s="45">
        <v>16973.3853187322</v>
      </c>
      <c r="F89" s="44">
        <v>17206.75073868791</v>
      </c>
      <c r="G89" s="44">
        <v>17641.1053461234</v>
      </c>
      <c r="H89" s="44">
        <v>17867.860203311717</v>
      </c>
      <c r="I89" s="44">
        <v>18006.651</v>
      </c>
    </row>
    <row r="90" spans="1:9" ht="15">
      <c r="A90" s="43" t="str">
        <f>HLOOKUP(INDICE!$F$2,Nombres!$C$3:$D$636,55,FALSE)</f>
        <v>    de los que préstamos y anticipos a la clientela</v>
      </c>
      <c r="B90" s="44">
        <v>13865.121585143459</v>
      </c>
      <c r="C90" s="44">
        <v>14813.598264594617</v>
      </c>
      <c r="D90" s="44">
        <v>15300.297321710605</v>
      </c>
      <c r="E90" s="45">
        <v>16092.7073749622</v>
      </c>
      <c r="F90" s="44">
        <v>16330.919123471971</v>
      </c>
      <c r="G90" s="44">
        <v>16751.115939758496</v>
      </c>
      <c r="H90" s="44">
        <v>16924.893050896284</v>
      </c>
      <c r="I90" s="44">
        <v>17053.036999999997</v>
      </c>
    </row>
    <row r="91" spans="1:9" ht="15" customHeight="1" hidden="1">
      <c r="A91" s="43"/>
      <c r="B91" s="44"/>
      <c r="C91" s="44"/>
      <c r="D91" s="44"/>
      <c r="E91" s="45"/>
      <c r="F91" s="44"/>
      <c r="G91" s="44"/>
      <c r="H91" s="44"/>
      <c r="I91" s="44"/>
    </row>
    <row r="92" spans="1:9" ht="15">
      <c r="A92" s="43" t="str">
        <f>HLOOKUP(INDICE!$F$2,Nombres!$C$3:$D$636,56,FALSE)</f>
        <v>Activos tangibles</v>
      </c>
      <c r="B92" s="44">
        <v>104.2726123910133</v>
      </c>
      <c r="C92" s="44">
        <v>103.11846729674747</v>
      </c>
      <c r="D92" s="44">
        <v>102.71608035250401</v>
      </c>
      <c r="E92" s="45">
        <v>103.61910266119904</v>
      </c>
      <c r="F92" s="44">
        <v>102.97334066395194</v>
      </c>
      <c r="G92" s="44">
        <v>101.34825549230199</v>
      </c>
      <c r="H92" s="44">
        <v>98.88121247843006</v>
      </c>
      <c r="I92" s="44">
        <v>109.259</v>
      </c>
    </row>
    <row r="93" spans="1:9" ht="15">
      <c r="A93" s="43" t="str">
        <f>HLOOKUP(INDICE!$F$2,Nombres!$C$3:$D$636,57,FALSE)</f>
        <v>Otros activos</v>
      </c>
      <c r="B93" s="58">
        <f>+B94-B92-B89-B88-B87</f>
        <v>603.4731826408633</v>
      </c>
      <c r="C93" s="58">
        <f aca="true" t="shared" si="15" ref="C93:I93">+C94-C92-C89-C88-C87</f>
        <v>677.9269048893616</v>
      </c>
      <c r="D93" s="58">
        <f t="shared" si="15"/>
        <v>774.2670220757086</v>
      </c>
      <c r="E93" s="64">
        <f t="shared" si="15"/>
        <v>764.1237618342848</v>
      </c>
      <c r="F93" s="44">
        <f t="shared" si="15"/>
        <v>675.7054303894745</v>
      </c>
      <c r="G93" s="44">
        <f t="shared" si="15"/>
        <v>713.6042577809021</v>
      </c>
      <c r="H93" s="44">
        <f t="shared" si="15"/>
        <v>799.2535136435201</v>
      </c>
      <c r="I93" s="44">
        <f t="shared" si="15"/>
        <v>814.8109302500038</v>
      </c>
    </row>
    <row r="94" spans="1:9" ht="15">
      <c r="A94" s="47" t="str">
        <f>HLOOKUP(INDICE!$F$2,Nombres!$C$3:$D$636,58,FALSE)</f>
        <v>Total activo / pasivo</v>
      </c>
      <c r="B94" s="47">
        <v>20219.321949099998</v>
      </c>
      <c r="C94" s="47">
        <v>22626.54491895614</v>
      </c>
      <c r="D94" s="47">
        <v>23343.54349891287</v>
      </c>
      <c r="E94" s="47">
        <v>24088.64564770088</v>
      </c>
      <c r="F94" s="51">
        <v>23591.81037917901</v>
      </c>
      <c r="G94" s="51">
        <v>25268.26304915985</v>
      </c>
      <c r="H94" s="51">
        <v>25105.055937037367</v>
      </c>
      <c r="I94" s="51">
        <v>25642.549930250003</v>
      </c>
    </row>
    <row r="95" spans="1:9" ht="15">
      <c r="A95" s="43" t="str">
        <f>HLOOKUP(INDICE!$F$2,Nombres!$C$3:$D$636,59,FALSE)</f>
        <v>Pasivos financieros mantenidos para negociar y designados a valor razonable con cambios en resultados</v>
      </c>
      <c r="B95" s="58">
        <v>2127.992793956357</v>
      </c>
      <c r="C95" s="58">
        <v>2733.913860743794</v>
      </c>
      <c r="D95" s="58">
        <v>3239.6664714230915</v>
      </c>
      <c r="E95" s="64">
        <v>2957.8451083740097</v>
      </c>
      <c r="F95" s="44">
        <v>2408.2962580581047</v>
      </c>
      <c r="G95" s="44">
        <v>3779.7361997017188</v>
      </c>
      <c r="H95" s="44">
        <v>2883.6358490797265</v>
      </c>
      <c r="I95" s="44">
        <v>2923.3540000000003</v>
      </c>
    </row>
    <row r="96" spans="1:9" ht="15">
      <c r="A96" s="43" t="str">
        <f>HLOOKUP(INDICE!$F$2,Nombres!$C$3:$D$636,60,FALSE)</f>
        <v>Depósitos de bancos centrales y entidades de crédito</v>
      </c>
      <c r="B96" s="58">
        <v>1492.670721991365</v>
      </c>
      <c r="C96" s="58">
        <v>879.498009527238</v>
      </c>
      <c r="D96" s="58">
        <v>1249.0839820799904</v>
      </c>
      <c r="E96" s="64">
        <v>1603.7642757385652</v>
      </c>
      <c r="F96" s="44">
        <v>1340.864859850753</v>
      </c>
      <c r="G96" s="44">
        <v>1404.3793849617816</v>
      </c>
      <c r="H96" s="44">
        <v>1167.7555031978613</v>
      </c>
      <c r="I96" s="44">
        <v>1097.238</v>
      </c>
    </row>
    <row r="97" spans="1:9" ht="15">
      <c r="A97" s="43" t="str">
        <f>HLOOKUP(INDICE!$F$2,Nombres!$C$3:$D$636,61,FALSE)</f>
        <v>Depósitos de la clientela</v>
      </c>
      <c r="B97" s="58">
        <v>13248.35262952826</v>
      </c>
      <c r="C97" s="58">
        <v>15522.841119883955</v>
      </c>
      <c r="D97" s="58">
        <v>15180.322420964429</v>
      </c>
      <c r="E97" s="64">
        <v>15855.423432203323</v>
      </c>
      <c r="F97" s="44">
        <v>16233.806790441704</v>
      </c>
      <c r="G97" s="44">
        <v>16344.536738281477</v>
      </c>
      <c r="H97" s="44">
        <v>17379.190142860083</v>
      </c>
      <c r="I97" s="44">
        <v>17875.188000000002</v>
      </c>
    </row>
    <row r="98" spans="1:9" ht="15">
      <c r="A98" s="43" t="str">
        <f>HLOOKUP(INDICE!$F$2,Nombres!$C$3:$D$636,62,FALSE)</f>
        <v>Valores representativos de deuda emitidos</v>
      </c>
      <c r="B98" s="44">
        <v>865.0884694438103</v>
      </c>
      <c r="C98" s="44">
        <v>940.695361917865</v>
      </c>
      <c r="D98" s="44">
        <v>1012.461977568983</v>
      </c>
      <c r="E98" s="45">
        <v>1058.2452000806593</v>
      </c>
      <c r="F98" s="44">
        <v>973.7782266160389</v>
      </c>
      <c r="G98" s="44">
        <v>997.8288393494978</v>
      </c>
      <c r="H98" s="44">
        <v>1078.1478338666434</v>
      </c>
      <c r="I98" s="44">
        <v>1131.00004828</v>
      </c>
    </row>
    <row r="99" spans="1:9" ht="15" customHeight="1" hidden="1">
      <c r="A99" s="43"/>
      <c r="B99" s="44"/>
      <c r="C99" s="44"/>
      <c r="D99" s="44"/>
      <c r="E99" s="45"/>
      <c r="F99" s="44"/>
      <c r="G99" s="44"/>
      <c r="H99" s="44"/>
      <c r="I99" s="44"/>
    </row>
    <row r="100" spans="1:9" ht="15">
      <c r="A100" s="43" t="str">
        <f>HLOOKUP(INDICE!$F$2,Nombres!$C$3:$D$636,63,FALSE)</f>
        <v>Otros pasivos</v>
      </c>
      <c r="B100" s="58">
        <f>+B94-B95-B96-B97-B98-B101</f>
        <v>688.3833915588602</v>
      </c>
      <c r="C100" s="58">
        <f aca="true" t="shared" si="16" ref="C100:I100">+C94-C95-C96-C97-C98-C101</f>
        <v>508.4090868050396</v>
      </c>
      <c r="D100" s="58">
        <f t="shared" si="16"/>
        <v>538.0041611795323</v>
      </c>
      <c r="E100" s="64">
        <f t="shared" si="16"/>
        <v>377.64329087713577</v>
      </c>
      <c r="F100" s="44">
        <f t="shared" si="16"/>
        <v>468.53393722867577</v>
      </c>
      <c r="G100" s="44">
        <f t="shared" si="16"/>
        <v>513.9934550704202</v>
      </c>
      <c r="H100" s="44">
        <f t="shared" si="16"/>
        <v>336.6437065311543</v>
      </c>
      <c r="I100" s="44">
        <f t="shared" si="16"/>
        <v>371.5860108700008</v>
      </c>
    </row>
    <row r="101" spans="1:9" ht="15">
      <c r="A101" s="43" t="str">
        <f>HLOOKUP(INDICE!$F$2,Nombres!$C$3:$D$636,282,FALSE)</f>
        <v>Dotación de capital regulatorio</v>
      </c>
      <c r="B101" s="58">
        <v>1796.8339426213442</v>
      </c>
      <c r="C101" s="58">
        <v>2041.1874800782518</v>
      </c>
      <c r="D101" s="58">
        <v>2124.004485696844</v>
      </c>
      <c r="E101" s="64">
        <v>2235.7243404271853</v>
      </c>
      <c r="F101" s="44">
        <v>2166.5303069837328</v>
      </c>
      <c r="G101" s="44">
        <v>2227.7884317949547</v>
      </c>
      <c r="H101" s="44">
        <v>2259.682901501895</v>
      </c>
      <c r="I101" s="44">
        <v>2244.1838710999996</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44651</v>
      </c>
      <c r="C106" s="53">
        <f t="shared" si="17"/>
        <v>44742</v>
      </c>
      <c r="D106" s="53">
        <f t="shared" si="17"/>
        <v>44834</v>
      </c>
      <c r="E106" s="67">
        <f t="shared" si="17"/>
        <v>44926</v>
      </c>
      <c r="F106" s="53">
        <f t="shared" si="17"/>
        <v>45016</v>
      </c>
      <c r="G106" s="53">
        <f t="shared" si="17"/>
        <v>45107</v>
      </c>
      <c r="H106" s="53">
        <f t="shared" si="17"/>
        <v>45199</v>
      </c>
      <c r="I106" s="53">
        <f t="shared" si="17"/>
        <v>45291</v>
      </c>
    </row>
    <row r="107" spans="1:9" ht="15">
      <c r="A107" s="43" t="str">
        <f>HLOOKUP(INDICE!$F$2,Nombres!$C$3:$D$636,66,FALSE)</f>
        <v>Préstamos y anticipos a la clientela bruto (*)</v>
      </c>
      <c r="B107" s="44">
        <v>14626.360915146417</v>
      </c>
      <c r="C107" s="44">
        <v>15569.430856099863</v>
      </c>
      <c r="D107" s="44">
        <v>16059.030590159613</v>
      </c>
      <c r="E107" s="45">
        <v>16863.748079037065</v>
      </c>
      <c r="F107" s="44">
        <v>17114.40799572832</v>
      </c>
      <c r="G107" s="44">
        <v>17540.792301837922</v>
      </c>
      <c r="H107" s="44">
        <v>17721.213477528683</v>
      </c>
      <c r="I107" s="44">
        <v>17842.931999999997</v>
      </c>
    </row>
    <row r="108" spans="1:9" ht="15">
      <c r="A108" s="43" t="str">
        <f>HLOOKUP(INDICE!$F$2,Nombres!$C$3:$D$636,67,FALSE)</f>
        <v>Depósitos de clientes en gestión (**)</v>
      </c>
      <c r="B108" s="44">
        <v>13248.35262952826</v>
      </c>
      <c r="C108" s="44">
        <v>15522.841119883957</v>
      </c>
      <c r="D108" s="44">
        <v>15180.322420964427</v>
      </c>
      <c r="E108" s="45">
        <v>15855.42343220332</v>
      </c>
      <c r="F108" s="44">
        <v>16233.806790441704</v>
      </c>
      <c r="G108" s="44">
        <v>16344.536738281477</v>
      </c>
      <c r="H108" s="44">
        <v>17379.19014286008</v>
      </c>
      <c r="I108" s="44">
        <v>17875.188000000002</v>
      </c>
    </row>
    <row r="109" spans="1:9" ht="15">
      <c r="A109" s="43" t="str">
        <f>HLOOKUP(INDICE!$F$2,Nombres!$C$3:$D$636,68,FALSE)</f>
        <v>Fondos de inversión y carteras gestionadas</v>
      </c>
      <c r="B109" s="44">
        <v>2534.49957082093</v>
      </c>
      <c r="C109" s="44">
        <v>2344.000416351516</v>
      </c>
      <c r="D109" s="44">
        <v>2392.2273423034685</v>
      </c>
      <c r="E109" s="45">
        <v>2485.0178991299645</v>
      </c>
      <c r="F109" s="44">
        <v>2880.2708257661616</v>
      </c>
      <c r="G109" s="44">
        <v>2359.439472593207</v>
      </c>
      <c r="H109" s="44">
        <v>2243.644870064233</v>
      </c>
      <c r="I109" s="44">
        <v>2505.81161711</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HLOOKUP(INDICE!$F$2,Nombres!$C$3:$D$636,75,FALSE)</f>
        <v>(Millones de pesos colombianos)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1">
        <f>+B$6</f>
        <v>2022</v>
      </c>
      <c r="C118" s="301"/>
      <c r="D118" s="301"/>
      <c r="E118" s="302"/>
      <c r="F118" s="301">
        <f>+F$6</f>
        <v>2023</v>
      </c>
      <c r="G118" s="301"/>
      <c r="H118" s="301"/>
      <c r="I118" s="301"/>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932917.8569309828</v>
      </c>
      <c r="C120" s="41">
        <v>959333.7962451973</v>
      </c>
      <c r="D120" s="41">
        <v>926706.0450946838</v>
      </c>
      <c r="E120" s="42">
        <v>960850.5935336673</v>
      </c>
      <c r="F120" s="50">
        <v>874129.2583347482</v>
      </c>
      <c r="G120" s="50">
        <v>860719.3428155909</v>
      </c>
      <c r="H120" s="50">
        <v>903880.8024044833</v>
      </c>
      <c r="I120" s="50">
        <v>956448.7344245071</v>
      </c>
    </row>
    <row r="121" spans="1:9" ht="15">
      <c r="A121" s="43" t="str">
        <f>HLOOKUP(INDICE!$F$2,Nombres!$C$3:$D$636,34,FALSE)</f>
        <v>Comisiones netas</v>
      </c>
      <c r="B121" s="44">
        <v>110171.3163779217</v>
      </c>
      <c r="C121" s="44">
        <v>112150.77615138014</v>
      </c>
      <c r="D121" s="44">
        <v>116067.88588951658</v>
      </c>
      <c r="E121" s="45">
        <v>112775.73993391077</v>
      </c>
      <c r="F121" s="44">
        <v>122925.25402147009</v>
      </c>
      <c r="G121" s="44">
        <v>149941.10880242466</v>
      </c>
      <c r="H121" s="44">
        <v>123320.43662349749</v>
      </c>
      <c r="I121" s="44">
        <v>137676.7445612616</v>
      </c>
    </row>
    <row r="122" spans="1:9" ht="15">
      <c r="A122" s="43" t="str">
        <f>HLOOKUP(INDICE!$F$2,Nombres!$C$3:$D$636,35,FALSE)</f>
        <v>Resultados de operaciones financieras</v>
      </c>
      <c r="B122" s="44">
        <v>105696.0232971246</v>
      </c>
      <c r="C122" s="44">
        <v>114180.62471824465</v>
      </c>
      <c r="D122" s="44">
        <v>124474.2783597889</v>
      </c>
      <c r="E122" s="45">
        <v>116994.55437014902</v>
      </c>
      <c r="F122" s="44">
        <v>167377.7211183007</v>
      </c>
      <c r="G122" s="44">
        <v>127889.03036338506</v>
      </c>
      <c r="H122" s="44">
        <v>-12362.815222794154</v>
      </c>
      <c r="I122" s="44">
        <v>149686.3211583132</v>
      </c>
    </row>
    <row r="123" spans="1:9" ht="15">
      <c r="A123" s="43" t="str">
        <f>HLOOKUP(INDICE!$F$2,Nombres!$C$3:$D$636,36,FALSE)</f>
        <v>Otros ingresos y cargas de explotación</v>
      </c>
      <c r="B123" s="44">
        <v>1365.0508052596997</v>
      </c>
      <c r="C123" s="44">
        <v>-5873.000902757281</v>
      </c>
      <c r="D123" s="44">
        <v>11520.863465180286</v>
      </c>
      <c r="E123" s="45">
        <v>-121957.6122494445</v>
      </c>
      <c r="F123" s="44">
        <v>8657.324199956736</v>
      </c>
      <c r="G123" s="44">
        <v>-14688.498251528832</v>
      </c>
      <c r="H123" s="44">
        <v>-41850.25841182509</v>
      </c>
      <c r="I123" s="44">
        <v>-14328.757890520492</v>
      </c>
    </row>
    <row r="124" spans="1:9" ht="15">
      <c r="A124" s="41" t="str">
        <f>HLOOKUP(INDICE!$F$2,Nombres!$C$3:$D$636,37,FALSE)</f>
        <v>Margen bruto</v>
      </c>
      <c r="B124" s="41">
        <f>+SUM(B120:B123)</f>
        <v>1150150.2474112888</v>
      </c>
      <c r="C124" s="41">
        <f aca="true" t="shared" si="19" ref="C124:I124">+SUM(C120:C123)</f>
        <v>1179792.1962120647</v>
      </c>
      <c r="D124" s="41">
        <f t="shared" si="19"/>
        <v>1178769.0728091695</v>
      </c>
      <c r="E124" s="42">
        <f t="shared" si="19"/>
        <v>1068663.2755882826</v>
      </c>
      <c r="F124" s="50">
        <f t="shared" si="19"/>
        <v>1173089.557674476</v>
      </c>
      <c r="G124" s="50">
        <f t="shared" si="19"/>
        <v>1123860.9837298717</v>
      </c>
      <c r="H124" s="50">
        <f t="shared" si="19"/>
        <v>972988.1653933616</v>
      </c>
      <c r="I124" s="50">
        <f t="shared" si="19"/>
        <v>1229483.0422535616</v>
      </c>
    </row>
    <row r="125" spans="1:9" ht="15">
      <c r="A125" s="43" t="str">
        <f>HLOOKUP(INDICE!$F$2,Nombres!$C$3:$D$636,38,FALSE)</f>
        <v>Gastos de explotación</v>
      </c>
      <c r="B125" s="44">
        <v>-389007.5323942357</v>
      </c>
      <c r="C125" s="44">
        <v>-412965.09048661886</v>
      </c>
      <c r="D125" s="44">
        <v>-451792.7238013071</v>
      </c>
      <c r="E125" s="45">
        <v>-595346.6729718101</v>
      </c>
      <c r="F125" s="44">
        <v>-543391.3892813174</v>
      </c>
      <c r="G125" s="44">
        <v>-491296.8546658633</v>
      </c>
      <c r="H125" s="44">
        <v>-534001.4559530986</v>
      </c>
      <c r="I125" s="44">
        <v>-548942.0168771208</v>
      </c>
    </row>
    <row r="126" spans="1:9" ht="15">
      <c r="A126" s="43" t="str">
        <f>HLOOKUP(INDICE!$F$2,Nombres!$C$3:$D$636,39,FALSE)</f>
        <v>  Gastos de administración</v>
      </c>
      <c r="B126" s="44">
        <v>-357308.5069421919</v>
      </c>
      <c r="C126" s="44">
        <v>-381360.16713363247</v>
      </c>
      <c r="D126" s="44">
        <v>-420085.09969954076</v>
      </c>
      <c r="E126" s="45">
        <v>-561979.4888061944</v>
      </c>
      <c r="F126" s="44">
        <v>-508654.8335975971</v>
      </c>
      <c r="G126" s="44">
        <v>-457670.17657324567</v>
      </c>
      <c r="H126" s="44">
        <v>-494523.96995655674</v>
      </c>
      <c r="I126" s="44">
        <v>-512288.51490280416</v>
      </c>
    </row>
    <row r="127" spans="1:9" ht="15">
      <c r="A127" s="46" t="str">
        <f>HLOOKUP(INDICE!$F$2,Nombres!$C$3:$D$636,40,FALSE)</f>
        <v>  Gastos de personal</v>
      </c>
      <c r="B127" s="44">
        <v>-180169.14937074142</v>
      </c>
      <c r="C127" s="44">
        <v>-191803.09001327585</v>
      </c>
      <c r="D127" s="44">
        <v>-195451.14192165</v>
      </c>
      <c r="E127" s="45">
        <v>-288485.64873660204</v>
      </c>
      <c r="F127" s="44">
        <v>-237139.1771562195</v>
      </c>
      <c r="G127" s="44">
        <v>-201399.15336734787</v>
      </c>
      <c r="H127" s="44">
        <v>-233225.45848334112</v>
      </c>
      <c r="I127" s="44">
        <v>-232831.80479527765</v>
      </c>
    </row>
    <row r="128" spans="1:9" ht="15">
      <c r="A128" s="46" t="str">
        <f>HLOOKUP(INDICE!$F$2,Nombres!$C$3:$D$636,41,FALSE)</f>
        <v>  Otros gastos de administración</v>
      </c>
      <c r="B128" s="44">
        <v>-177139.35757145053</v>
      </c>
      <c r="C128" s="44">
        <v>-189557.07712035667</v>
      </c>
      <c r="D128" s="44">
        <v>-224633.95777789076</v>
      </c>
      <c r="E128" s="45">
        <v>-273493.84006959235</v>
      </c>
      <c r="F128" s="44">
        <v>-271515.65644137765</v>
      </c>
      <c r="G128" s="44">
        <v>-256271.0232058979</v>
      </c>
      <c r="H128" s="44">
        <v>-261298.51147321562</v>
      </c>
      <c r="I128" s="44">
        <v>-279456.7101075264</v>
      </c>
    </row>
    <row r="129" spans="1:9" ht="15">
      <c r="A129" s="43" t="str">
        <f>HLOOKUP(INDICE!$F$2,Nombres!$C$3:$D$636,42,FALSE)</f>
        <v>  Amortización</v>
      </c>
      <c r="B129" s="44">
        <v>-31699.02545204381</v>
      </c>
      <c r="C129" s="44">
        <v>-31604.923352986385</v>
      </c>
      <c r="D129" s="44">
        <v>-31707.624101766276</v>
      </c>
      <c r="E129" s="45">
        <v>-33367.18416561567</v>
      </c>
      <c r="F129" s="44">
        <v>-34736.555683720275</v>
      </c>
      <c r="G129" s="44">
        <v>-33626.6780926176</v>
      </c>
      <c r="H129" s="44">
        <v>-39477.48599654188</v>
      </c>
      <c r="I129" s="44">
        <v>-36653.50197431668</v>
      </c>
    </row>
    <row r="130" spans="1:9" ht="15">
      <c r="A130" s="41" t="str">
        <f>HLOOKUP(INDICE!$F$2,Nombres!$C$3:$D$636,43,FALSE)</f>
        <v>Margen neto</v>
      </c>
      <c r="B130" s="41">
        <f>+B124+B125</f>
        <v>761142.7150170531</v>
      </c>
      <c r="C130" s="41">
        <f aca="true" t="shared" si="20" ref="C130:I130">+C124+C125</f>
        <v>766827.1057254458</v>
      </c>
      <c r="D130" s="41">
        <f t="shared" si="20"/>
        <v>726976.3490078624</v>
      </c>
      <c r="E130" s="42">
        <f t="shared" si="20"/>
        <v>473316.6026164725</v>
      </c>
      <c r="F130" s="50">
        <f t="shared" si="20"/>
        <v>629698.1683931586</v>
      </c>
      <c r="G130" s="50">
        <f t="shared" si="20"/>
        <v>632564.1290640084</v>
      </c>
      <c r="H130" s="50">
        <f t="shared" si="20"/>
        <v>438986.709440263</v>
      </c>
      <c r="I130" s="50">
        <f t="shared" si="20"/>
        <v>680541.0253764407</v>
      </c>
    </row>
    <row r="131" spans="1:9" ht="15">
      <c r="A131" s="43" t="str">
        <f>HLOOKUP(INDICE!$F$2,Nombres!$C$3:$D$636,44,FALSE)</f>
        <v>Deterioro de activos financieros no valorados a valor razonable con cambios en resultados</v>
      </c>
      <c r="B131" s="44">
        <v>-243347.73873057513</v>
      </c>
      <c r="C131" s="44">
        <v>-228677.0189142361</v>
      </c>
      <c r="D131" s="44">
        <v>-244615.4339047458</v>
      </c>
      <c r="E131" s="45">
        <v>-301447.238388304</v>
      </c>
      <c r="F131" s="44">
        <v>-308568.4862632373</v>
      </c>
      <c r="G131" s="44">
        <v>-362941.9362458708</v>
      </c>
      <c r="H131" s="44">
        <v>-411015.0943958468</v>
      </c>
      <c r="I131" s="44">
        <v>-499779.7955673558</v>
      </c>
    </row>
    <row r="132" spans="1:9" ht="15">
      <c r="A132" s="43" t="str">
        <f>HLOOKUP(INDICE!$F$2,Nombres!$C$3:$D$636,45,FALSE)</f>
        <v>Provisiones o reversión de provisiones y otros resultados</v>
      </c>
      <c r="B132" s="44">
        <v>-7145.667880909347</v>
      </c>
      <c r="C132" s="44">
        <v>-14251.041128865512</v>
      </c>
      <c r="D132" s="44">
        <v>-23875.927163470456</v>
      </c>
      <c r="E132" s="45">
        <v>12138.886088483678</v>
      </c>
      <c r="F132" s="44">
        <v>-7181.237654949377</v>
      </c>
      <c r="G132" s="44">
        <v>39992.810067205646</v>
      </c>
      <c r="H132" s="44">
        <v>-1154.9797658314392</v>
      </c>
      <c r="I132" s="44">
        <v>-78041.67102012815</v>
      </c>
    </row>
    <row r="133" spans="1:9" ht="15">
      <c r="A133" s="41" t="str">
        <f>HLOOKUP(INDICE!$F$2,Nombres!$C$3:$D$636,46,FALSE)</f>
        <v>Resultado antes de impuestos</v>
      </c>
      <c r="B133" s="41">
        <f>+B130+B131+B132</f>
        <v>510649.3084055686</v>
      </c>
      <c r="C133" s="41">
        <f aca="true" t="shared" si="21" ref="C133:I133">+C130+C131+C132</f>
        <v>523899.0456823442</v>
      </c>
      <c r="D133" s="41">
        <f t="shared" si="21"/>
        <v>458484.9879396461</v>
      </c>
      <c r="E133" s="42">
        <f t="shared" si="21"/>
        <v>184008.25031665218</v>
      </c>
      <c r="F133" s="50">
        <f t="shared" si="21"/>
        <v>313948.4444749719</v>
      </c>
      <c r="G133" s="50">
        <f t="shared" si="21"/>
        <v>309615.0028853432</v>
      </c>
      <c r="H133" s="50">
        <f t="shared" si="21"/>
        <v>26816.635278584723</v>
      </c>
      <c r="I133" s="50">
        <f t="shared" si="21"/>
        <v>102719.55878895675</v>
      </c>
    </row>
    <row r="134" spans="1:9" ht="15">
      <c r="A134" s="43" t="str">
        <f>HLOOKUP(INDICE!$F$2,Nombres!$C$3:$D$636,47,FALSE)</f>
        <v>Impuesto sobre beneficios</v>
      </c>
      <c r="B134" s="44">
        <v>-184716.72948504647</v>
      </c>
      <c r="C134" s="44">
        <v>-172952.04290090714</v>
      </c>
      <c r="D134" s="44">
        <v>-162762.10619970202</v>
      </c>
      <c r="E134" s="45">
        <v>-51288.32757670712</v>
      </c>
      <c r="F134" s="44">
        <v>-112996.6463518</v>
      </c>
      <c r="G134" s="44">
        <v>-52447.65991560644</v>
      </c>
      <c r="H134" s="44">
        <v>34015.38892459485</v>
      </c>
      <c r="I134" s="44">
        <v>28446.930662558574</v>
      </c>
    </row>
    <row r="135" spans="1:9" ht="15">
      <c r="A135" s="41" t="str">
        <f>HLOOKUP(INDICE!$F$2,Nombres!$C$3:$D$636,48,FALSE)</f>
        <v>Resultado del ejercicio</v>
      </c>
      <c r="B135" s="41">
        <f>+B133+B134</f>
        <v>325932.5789205221</v>
      </c>
      <c r="C135" s="41">
        <f aca="true" t="shared" si="22" ref="C135:I135">+C133+C134</f>
        <v>350947.002781437</v>
      </c>
      <c r="D135" s="41">
        <f t="shared" si="22"/>
        <v>295722.8817399441</v>
      </c>
      <c r="E135" s="42">
        <f t="shared" si="22"/>
        <v>132719.92273994506</v>
      </c>
      <c r="F135" s="50">
        <f t="shared" si="22"/>
        <v>200951.7981231719</v>
      </c>
      <c r="G135" s="50">
        <f t="shared" si="22"/>
        <v>257167.34296973678</v>
      </c>
      <c r="H135" s="50">
        <f t="shared" si="22"/>
        <v>60832.02420317958</v>
      </c>
      <c r="I135" s="50">
        <f t="shared" si="22"/>
        <v>131166.4894515153</v>
      </c>
    </row>
    <row r="136" spans="1:9" ht="15">
      <c r="A136" s="43" t="str">
        <f>HLOOKUP(INDICE!$F$2,Nombres!$C$3:$D$636,49,FALSE)</f>
        <v>Minoritarios</v>
      </c>
      <c r="B136" s="44">
        <v>-11559.787636368794</v>
      </c>
      <c r="C136" s="44">
        <v>-10282.876437303286</v>
      </c>
      <c r="D136" s="44">
        <v>-7845.590006375629</v>
      </c>
      <c r="E136" s="45">
        <v>1919.3092875119273</v>
      </c>
      <c r="F136" s="44">
        <v>6629.155136379208</v>
      </c>
      <c r="G136" s="44">
        <v>8158.642695529378</v>
      </c>
      <c r="H136" s="44">
        <v>13792.548367952037</v>
      </c>
      <c r="I136" s="44">
        <v>48974.05521953682</v>
      </c>
    </row>
    <row r="137" spans="1:9" ht="15">
      <c r="A137" s="47" t="str">
        <f>HLOOKUP(INDICE!$F$2,Nombres!$C$3:$D$636,50,FALSE)</f>
        <v>Resultado atribuido</v>
      </c>
      <c r="B137" s="47">
        <f>+B135+B136</f>
        <v>314372.79128415335</v>
      </c>
      <c r="C137" s="47">
        <f aca="true" t="shared" si="23" ref="C137:I137">+C135+C136</f>
        <v>340664.12634413375</v>
      </c>
      <c r="D137" s="47">
        <f t="shared" si="23"/>
        <v>287877.2917335685</v>
      </c>
      <c r="E137" s="47">
        <f t="shared" si="23"/>
        <v>134639.23202745698</v>
      </c>
      <c r="F137" s="51">
        <f t="shared" si="23"/>
        <v>207580.9532595511</v>
      </c>
      <c r="G137" s="51">
        <f t="shared" si="23"/>
        <v>265325.98566526617</v>
      </c>
      <c r="H137" s="51">
        <f t="shared" si="23"/>
        <v>74624.57257113162</v>
      </c>
      <c r="I137" s="51">
        <f t="shared" si="23"/>
        <v>180140.54467105214</v>
      </c>
    </row>
    <row r="138" spans="1:9" ht="15">
      <c r="A138" s="62"/>
      <c r="B138" s="63">
        <v>0</v>
      </c>
      <c r="C138" s="63">
        <v>0</v>
      </c>
      <c r="D138" s="63">
        <v>0</v>
      </c>
      <c r="E138" s="63">
        <v>0</v>
      </c>
      <c r="F138" s="63">
        <v>2.3283064365386963E-10</v>
      </c>
      <c r="G138" s="63">
        <v>0</v>
      </c>
      <c r="H138" s="63">
        <v>0</v>
      </c>
      <c r="I138" s="63">
        <v>2.3283064365386963E-10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HLOOKUP(INDICE!$F$2,Nombres!$C$3:$D$636,75,FALSE)</f>
        <v>(Millones de pesos colombianos)</v>
      </c>
      <c r="B141" s="30"/>
      <c r="C141" s="52"/>
      <c r="D141" s="52"/>
      <c r="E141" s="52"/>
      <c r="F141" s="69"/>
      <c r="G141" s="44"/>
      <c r="H141" s="44"/>
      <c r="I141" s="44"/>
    </row>
    <row r="142" spans="1:9" ht="15.75">
      <c r="A142" s="30"/>
      <c r="B142" s="53">
        <f aca="true" t="shared" si="24" ref="B142:I142">+B$30</f>
        <v>44651</v>
      </c>
      <c r="C142" s="53">
        <f t="shared" si="24"/>
        <v>44742</v>
      </c>
      <c r="D142" s="53">
        <f t="shared" si="24"/>
        <v>44834</v>
      </c>
      <c r="E142" s="67">
        <f t="shared" si="24"/>
        <v>44926</v>
      </c>
      <c r="F142" s="53">
        <f t="shared" si="24"/>
        <v>45016</v>
      </c>
      <c r="G142" s="53">
        <f t="shared" si="24"/>
        <v>45107</v>
      </c>
      <c r="H142" s="53">
        <f t="shared" si="24"/>
        <v>45199</v>
      </c>
      <c r="I142" s="53">
        <f t="shared" si="24"/>
        <v>45291</v>
      </c>
    </row>
    <row r="143" spans="1:9" ht="15">
      <c r="A143" s="43" t="str">
        <f>HLOOKUP(INDICE!$F$2,Nombres!$C$3:$D$636,52,FALSE)</f>
        <v>Efectivo, saldos en efectivo en bancos centrales y otros depósitos a la vista</v>
      </c>
      <c r="B143" s="44">
        <v>8131289.224452658</v>
      </c>
      <c r="C143" s="44">
        <v>9816258.878197405</v>
      </c>
      <c r="D143" s="44">
        <v>10926503.293016782</v>
      </c>
      <c r="E143" s="45">
        <v>9546688.25140857</v>
      </c>
      <c r="F143" s="44">
        <v>7631244.645345563</v>
      </c>
      <c r="G143" s="44">
        <v>9710296.698075486</v>
      </c>
      <c r="H143" s="44">
        <v>8472377.518732615</v>
      </c>
      <c r="I143" s="44">
        <v>8679247.888755545</v>
      </c>
    </row>
    <row r="144" spans="1:9" ht="15">
      <c r="A144" s="43" t="str">
        <f>HLOOKUP(INDICE!$F$2,Nombres!$C$3:$D$636,53,FALSE)</f>
        <v>Activos financieros a valor razonable</v>
      </c>
      <c r="B144" s="58">
        <v>12553231.207499681</v>
      </c>
      <c r="C144" s="58">
        <v>15555816.331829248</v>
      </c>
      <c r="D144" s="58">
        <v>15780615.731717955</v>
      </c>
      <c r="E144" s="64">
        <v>16838859.952163793</v>
      </c>
      <c r="F144" s="44">
        <v>16046549.537596684</v>
      </c>
      <c r="G144" s="44">
        <v>19060134.025687244</v>
      </c>
      <c r="H144" s="44">
        <v>18299792.504423454</v>
      </c>
      <c r="I144" s="44">
        <v>19667257.5225051</v>
      </c>
    </row>
    <row r="145" spans="1:9" ht="15">
      <c r="A145" s="43" t="str">
        <f>HLOOKUP(INDICE!$F$2,Nombres!$C$3:$D$636,54,FALSE)</f>
        <v>Activos financieros a coste amortizado</v>
      </c>
      <c r="B145" s="44">
        <v>61719992.41149409</v>
      </c>
      <c r="C145" s="44">
        <v>66889448.6032601</v>
      </c>
      <c r="D145" s="44">
        <v>68177371.60388027</v>
      </c>
      <c r="E145" s="45">
        <v>71684805.85319655</v>
      </c>
      <c r="F145" s="44">
        <v>72670393.26008303</v>
      </c>
      <c r="G145" s="44">
        <v>74504831.4184563</v>
      </c>
      <c r="H145" s="44">
        <v>75462500.00422007</v>
      </c>
      <c r="I145" s="44">
        <v>76048664.2329806</v>
      </c>
    </row>
    <row r="146" spans="1:9" ht="15">
      <c r="A146" s="43" t="str">
        <f>HLOOKUP(INDICE!$F$2,Nombres!$C$3:$D$636,55,FALSE)</f>
        <v>    de los que préstamos y anticipos a la clientela</v>
      </c>
      <c r="B146" s="44">
        <v>58557472.790361</v>
      </c>
      <c r="C146" s="44">
        <v>62563236.24567498</v>
      </c>
      <c r="D146" s="44">
        <v>64618744.134239174</v>
      </c>
      <c r="E146" s="45">
        <v>67965381.2226444</v>
      </c>
      <c r="F146" s="44">
        <v>68971436.44517139</v>
      </c>
      <c r="G146" s="44">
        <v>70746081.08028655</v>
      </c>
      <c r="H146" s="44">
        <v>71480005.29397264</v>
      </c>
      <c r="I146" s="44">
        <v>72021203.99654521</v>
      </c>
    </row>
    <row r="147" spans="1:9" ht="15" customHeight="1" hidden="1">
      <c r="A147" s="43"/>
      <c r="B147" s="44"/>
      <c r="C147" s="44"/>
      <c r="D147" s="44"/>
      <c r="E147" s="45"/>
      <c r="F147" s="44"/>
      <c r="G147" s="44"/>
      <c r="H147" s="44"/>
      <c r="I147" s="44"/>
    </row>
    <row r="148" spans="1:9" ht="15">
      <c r="A148" s="43" t="str">
        <f>HLOOKUP(INDICE!$F$2,Nombres!$C$3:$D$636,56,FALSE)</f>
        <v>Activos tangibles</v>
      </c>
      <c r="B148" s="44">
        <v>440381.3284557966</v>
      </c>
      <c r="C148" s="44">
        <v>435506.95216283906</v>
      </c>
      <c r="D148" s="44">
        <v>433807.5251225468</v>
      </c>
      <c r="E148" s="45">
        <v>437621.31816761894</v>
      </c>
      <c r="F148" s="44">
        <v>434894.02938398754</v>
      </c>
      <c r="G148" s="44">
        <v>428030.701129955</v>
      </c>
      <c r="H148" s="44">
        <v>417611.4773770058</v>
      </c>
      <c r="I148" s="44">
        <v>461440.66464281606</v>
      </c>
    </row>
    <row r="149" spans="1:9" ht="15">
      <c r="A149" s="43" t="str">
        <f>HLOOKUP(INDICE!$F$2,Nombres!$C$3:$D$636,57,FALSE)</f>
        <v>Otros activos</v>
      </c>
      <c r="B149" s="58">
        <f>+B150-B148-B145-B144-B143</f>
        <v>2548687.6732527055</v>
      </c>
      <c r="C149" s="58">
        <f aca="true" t="shared" si="25" ref="C149:I149">+C150-C148-C145-C144-C143</f>
        <v>2863132.9370705765</v>
      </c>
      <c r="D149" s="58">
        <f t="shared" si="25"/>
        <v>3270012.4408756327</v>
      </c>
      <c r="E149" s="64">
        <f t="shared" si="25"/>
        <v>3227173.747976646</v>
      </c>
      <c r="F149" s="44">
        <f t="shared" si="25"/>
        <v>2853750.83884784</v>
      </c>
      <c r="G149" s="44">
        <f t="shared" si="25"/>
        <v>3013811.429743668</v>
      </c>
      <c r="H149" s="44">
        <f t="shared" si="25"/>
        <v>3375539.52126389</v>
      </c>
      <c r="I149" s="44">
        <f t="shared" si="25"/>
        <v>3441244.174052421</v>
      </c>
    </row>
    <row r="150" spans="1:9" ht="15">
      <c r="A150" s="47" t="str">
        <f>HLOOKUP(INDICE!$F$2,Nombres!$C$3:$D$636,58,FALSE)</f>
        <v>Total activo / pasivo</v>
      </c>
      <c r="B150" s="47">
        <v>85393581.84515493</v>
      </c>
      <c r="C150" s="47">
        <v>95560163.70252016</v>
      </c>
      <c r="D150" s="47">
        <v>98588310.5946132</v>
      </c>
      <c r="E150" s="47">
        <v>101735149.12291317</v>
      </c>
      <c r="F150" s="51">
        <v>99636832.31125711</v>
      </c>
      <c r="G150" s="51">
        <v>106717104.27309266</v>
      </c>
      <c r="H150" s="51">
        <v>106027821.02601704</v>
      </c>
      <c r="I150" s="51">
        <v>108297854.48293647</v>
      </c>
    </row>
    <row r="151" spans="1:9" ht="15">
      <c r="A151" s="43" t="str">
        <f>HLOOKUP(INDICE!$F$2,Nombres!$C$3:$D$636,59,FALSE)</f>
        <v>Pasivos financieros mantenidos para negociar y designados a valor razonable con cambios en resultados</v>
      </c>
      <c r="B151" s="58">
        <v>8987290.83369191</v>
      </c>
      <c r="C151" s="58">
        <v>11546316.81580303</v>
      </c>
      <c r="D151" s="58">
        <v>13682294.820513805</v>
      </c>
      <c r="E151" s="64">
        <v>12492060.267059054</v>
      </c>
      <c r="F151" s="44">
        <v>10171114.745468462</v>
      </c>
      <c r="G151" s="44">
        <v>15963206.547422845</v>
      </c>
      <c r="H151" s="44">
        <v>12178647.459588682</v>
      </c>
      <c r="I151" s="44">
        <v>12346391.718267921</v>
      </c>
    </row>
    <row r="152" spans="1:9" ht="15">
      <c r="A152" s="43" t="str">
        <f>HLOOKUP(INDICE!$F$2,Nombres!$C$3:$D$636,60,FALSE)</f>
        <v>Depósitos de bancos centrales y entidades de crédito</v>
      </c>
      <c r="B152" s="58">
        <v>6304093.667785421</v>
      </c>
      <c r="C152" s="58">
        <v>3714441.337265419</v>
      </c>
      <c r="D152" s="58">
        <v>5275337.893314839</v>
      </c>
      <c r="E152" s="64">
        <v>6773282.322986738</v>
      </c>
      <c r="F152" s="44">
        <v>5662962.063772575</v>
      </c>
      <c r="G152" s="44">
        <v>5931207.102457771</v>
      </c>
      <c r="H152" s="44">
        <v>4931858.021178367</v>
      </c>
      <c r="I152" s="44">
        <v>4634036.848143898</v>
      </c>
    </row>
    <row r="153" spans="1:9" ht="15">
      <c r="A153" s="43" t="str">
        <f>HLOOKUP(INDICE!$F$2,Nombres!$C$3:$D$636,61,FALSE)</f>
        <v>Depósitos de la clientela</v>
      </c>
      <c r="B153" s="58">
        <v>55952632.21146009</v>
      </c>
      <c r="C153" s="58">
        <v>65558627.87966287</v>
      </c>
      <c r="D153" s="58">
        <v>64112046.30668473</v>
      </c>
      <c r="E153" s="64">
        <v>66963244.462691225</v>
      </c>
      <c r="F153" s="44">
        <v>68561295.59180003</v>
      </c>
      <c r="G153" s="44">
        <v>69028948.60644458</v>
      </c>
      <c r="H153" s="44">
        <v>73398667.84864616</v>
      </c>
      <c r="I153" s="44">
        <v>75493447.9661656</v>
      </c>
    </row>
    <row r="154" spans="1:9" ht="15">
      <c r="A154" s="43" t="str">
        <f>HLOOKUP(INDICE!$F$2,Nombres!$C$3:$D$636,62,FALSE)</f>
        <v>Valores representativos de deuda emitidos</v>
      </c>
      <c r="B154" s="44">
        <v>3653584.586303995</v>
      </c>
      <c r="C154" s="44">
        <v>3972900.1091882037</v>
      </c>
      <c r="D154" s="44">
        <v>4275996.740360166</v>
      </c>
      <c r="E154" s="45">
        <v>4469356.011681318</v>
      </c>
      <c r="F154" s="44">
        <v>4112621.1305650575</v>
      </c>
      <c r="G154" s="44">
        <v>4214195.65279933</v>
      </c>
      <c r="H154" s="44">
        <v>4553412.103740985</v>
      </c>
      <c r="I154" s="44">
        <v>4776626.309863537</v>
      </c>
    </row>
    <row r="155" spans="1:9" ht="15" customHeight="1" hidden="1">
      <c r="A155" s="43"/>
      <c r="B155" s="44"/>
      <c r="C155" s="44"/>
      <c r="D155" s="44"/>
      <c r="E155" s="45"/>
      <c r="F155" s="44"/>
      <c r="G155" s="44"/>
      <c r="H155" s="44"/>
      <c r="I155" s="44"/>
    </row>
    <row r="156" spans="1:9" ht="15.75" customHeight="1">
      <c r="A156" s="43" t="str">
        <f>HLOOKUP(INDICE!$F$2,Nombres!$C$3:$D$636,63,FALSE)</f>
        <v>Otros pasivos</v>
      </c>
      <c r="B156" s="58">
        <f>+B150-B151-B152-B153-B154-B157</f>
        <v>2907294.4995835554</v>
      </c>
      <c r="C156" s="58">
        <f aca="true" t="shared" si="26" ref="C156:I156">+C150-C151-C152-C153-C154-C157</f>
        <v>2147197.27368694</v>
      </c>
      <c r="D156" s="58">
        <f t="shared" si="26"/>
        <v>2272188.082586214</v>
      </c>
      <c r="E156" s="64">
        <f t="shared" si="26"/>
        <v>1594925.554327283</v>
      </c>
      <c r="F156" s="44">
        <f t="shared" si="26"/>
        <v>1978789.9523380995</v>
      </c>
      <c r="G156" s="44">
        <f t="shared" si="26"/>
        <v>2170782.1006027237</v>
      </c>
      <c r="H156" s="44">
        <f t="shared" si="26"/>
        <v>1421769.3342384715</v>
      </c>
      <c r="I156" s="44">
        <f t="shared" si="26"/>
        <v>1569343.4483916871</v>
      </c>
    </row>
    <row r="157" spans="1:9" ht="15.75" customHeight="1">
      <c r="A157" s="43" t="str">
        <f>HLOOKUP(INDICE!$F$2,Nombres!$C$3:$D$636,282,FALSE)</f>
        <v>Dotación de capital regulatorio</v>
      </c>
      <c r="B157" s="58">
        <v>7588686.046329955</v>
      </c>
      <c r="C157" s="58">
        <v>8620680.286913695</v>
      </c>
      <c r="D157" s="58">
        <v>8970446.751153443</v>
      </c>
      <c r="E157" s="64">
        <v>9442280.504167546</v>
      </c>
      <c r="F157" s="44">
        <v>9150048.827312876</v>
      </c>
      <c r="G157" s="44">
        <v>9408764.263365403</v>
      </c>
      <c r="H157" s="44">
        <v>9543466.258624379</v>
      </c>
      <c r="I157" s="44">
        <v>9478008.192103822</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8"/>
      <c r="G160" s="68"/>
      <c r="H160" s="68"/>
      <c r="I160" s="68"/>
    </row>
    <row r="161" spans="1:9" ht="15">
      <c r="A161" s="35" t="str">
        <f>HLOOKUP(INDICE!$F$2,Nombres!$C$3:$D$636,75,FALSE)</f>
        <v>(Millones de pesos colombianos)</v>
      </c>
      <c r="B161" s="30"/>
      <c r="C161" s="30"/>
      <c r="D161" s="30"/>
      <c r="E161" s="30"/>
      <c r="F161" s="69"/>
      <c r="G161" s="44"/>
      <c r="H161" s="44"/>
      <c r="I161" s="44"/>
    </row>
    <row r="162" spans="1:9" ht="15.75">
      <c r="A162" s="30"/>
      <c r="B162" s="53">
        <f aca="true" t="shared" si="27" ref="B162:I162">+B$30</f>
        <v>44651</v>
      </c>
      <c r="C162" s="53">
        <f t="shared" si="27"/>
        <v>44742</v>
      </c>
      <c r="D162" s="53">
        <f t="shared" si="27"/>
        <v>44834</v>
      </c>
      <c r="E162" s="67">
        <f t="shared" si="27"/>
        <v>44926</v>
      </c>
      <c r="F162" s="53">
        <f t="shared" si="27"/>
        <v>45016</v>
      </c>
      <c r="G162" s="53">
        <f t="shared" si="27"/>
        <v>45107</v>
      </c>
      <c r="H162" s="53">
        <f t="shared" si="27"/>
        <v>45199</v>
      </c>
      <c r="I162" s="53">
        <f t="shared" si="27"/>
        <v>45291</v>
      </c>
    </row>
    <row r="163" spans="1:9" ht="15">
      <c r="A163" s="43" t="str">
        <f>HLOOKUP(INDICE!$F$2,Nombres!$C$3:$D$636,66,FALSE)</f>
        <v>Préstamos y anticipos a la clientela bruto (*)</v>
      </c>
      <c r="B163" s="44">
        <v>61772464.529154286</v>
      </c>
      <c r="C163" s="44">
        <v>65755393.35294196</v>
      </c>
      <c r="D163" s="44">
        <v>67823151.85973297</v>
      </c>
      <c r="E163" s="45">
        <v>71221767.74416637</v>
      </c>
      <c r="F163" s="44">
        <v>72280396.12770756</v>
      </c>
      <c r="G163" s="44">
        <v>74081172.79237114</v>
      </c>
      <c r="H163" s="44">
        <v>74843157.31745726</v>
      </c>
      <c r="I163" s="44">
        <v>75357219.09642749</v>
      </c>
    </row>
    <row r="164" spans="1:9" ht="15">
      <c r="A164" s="43" t="str">
        <f>HLOOKUP(INDICE!$F$2,Nombres!$C$3:$D$636,67,FALSE)</f>
        <v>Depósitos de clientes en gestión (**)</v>
      </c>
      <c r="B164" s="44">
        <v>55952632.2114601</v>
      </c>
      <c r="C164" s="44">
        <v>65558627.87966288</v>
      </c>
      <c r="D164" s="44">
        <v>64112046.30668473</v>
      </c>
      <c r="E164" s="45">
        <v>66963244.4626912</v>
      </c>
      <c r="F164" s="44">
        <v>68561295.59180003</v>
      </c>
      <c r="G164" s="44">
        <v>69028948.60644457</v>
      </c>
      <c r="H164" s="44">
        <v>73398667.84864615</v>
      </c>
      <c r="I164" s="44">
        <v>75493447.96616562</v>
      </c>
    </row>
    <row r="165" spans="1:9" ht="15">
      <c r="A165" s="43" t="str">
        <f>HLOOKUP(INDICE!$F$2,Nombres!$C$3:$D$636,68,FALSE)</f>
        <v>Fondos de inversión y carteras gestionadas</v>
      </c>
      <c r="B165" s="44">
        <v>10704117.431941915</v>
      </c>
      <c r="C165" s="44">
        <v>9899569.921418654</v>
      </c>
      <c r="D165" s="44">
        <v>10103249.844948512</v>
      </c>
      <c r="E165" s="45">
        <v>10495138.258851217</v>
      </c>
      <c r="F165" s="44">
        <v>12164435.737036308</v>
      </c>
      <c r="G165" s="44">
        <v>9964774.695154676</v>
      </c>
      <c r="H165" s="44">
        <v>9475731.793855738</v>
      </c>
      <c r="I165" s="44">
        <v>10582957.724937331</v>
      </c>
    </row>
    <row r="166" spans="1:9" ht="15">
      <c r="A166" s="43" t="str">
        <f>HLOOKUP(INDICE!$F$2,Nombres!$C$3:$D$636,69,FALSE)</f>
        <v>Fondos de pensiones</v>
      </c>
      <c r="B166" s="44">
        <v>0</v>
      </c>
      <c r="C166" s="44">
        <v>0</v>
      </c>
      <c r="D166" s="44">
        <v>0</v>
      </c>
      <c r="E166" s="45">
        <v>0</v>
      </c>
      <c r="F166" s="44">
        <v>0</v>
      </c>
      <c r="G166" s="44">
        <v>0</v>
      </c>
      <c r="H166" s="44">
        <v>0</v>
      </c>
      <c r="I166" s="44">
        <v>0</v>
      </c>
    </row>
    <row r="167" spans="1:15" ht="15">
      <c r="A167" s="43" t="str">
        <f>HLOOKUP(INDICE!$F$2,Nombres!$C$3:$D$636,70,FALSE)</f>
        <v>Otros recursos fuera de balance</v>
      </c>
      <c r="B167" s="44">
        <v>0</v>
      </c>
      <c r="C167" s="44">
        <v>0</v>
      </c>
      <c r="D167" s="44">
        <v>0</v>
      </c>
      <c r="E167" s="45">
        <v>0</v>
      </c>
      <c r="F167" s="44">
        <v>0</v>
      </c>
      <c r="G167" s="44">
        <v>0</v>
      </c>
      <c r="H167" s="44">
        <v>0</v>
      </c>
      <c r="I167" s="44">
        <v>0</v>
      </c>
      <c r="N167" s="73"/>
      <c r="O167" s="73"/>
    </row>
    <row r="168" spans="1:15" ht="15">
      <c r="A168" s="62" t="str">
        <f>HLOOKUP(INDICE!$F$2,Nombres!$C$3:$D$636,71,FALSE)</f>
        <v>(*) No incluye las adquisiciones temporales de activos.</v>
      </c>
      <c r="B168" s="58"/>
      <c r="C168" s="58"/>
      <c r="D168" s="58"/>
      <c r="E168" s="58"/>
      <c r="F168" s="44"/>
      <c r="G168" s="44"/>
      <c r="H168" s="44"/>
      <c r="I168" s="44"/>
      <c r="N168" s="73"/>
      <c r="O168" s="73"/>
    </row>
    <row r="169" spans="1:15" ht="15">
      <c r="A169" s="62"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391</v>
      </c>
    </row>
  </sheetData>
  <sheetProtection/>
  <mergeCells count="6">
    <mergeCell ref="B118:E118"/>
    <mergeCell ref="F118:I118"/>
    <mergeCell ref="B6:E6"/>
    <mergeCell ref="F6:I6"/>
    <mergeCell ref="B62:E62"/>
    <mergeCell ref="F62:I62"/>
  </mergeCells>
  <conditionalFormatting sqref="B26:I26">
    <cfRule type="cellIs" priority="3" dxfId="132" operator="notBetween">
      <formula>0.5</formula>
      <formula>-0.5</formula>
    </cfRule>
  </conditionalFormatting>
  <conditionalFormatting sqref="B82:I82">
    <cfRule type="cellIs" priority="2" dxfId="132" operator="notBetween">
      <formula>0.5</formula>
      <formula>-0.5</formula>
    </cfRule>
  </conditionalFormatting>
  <conditionalFormatting sqref="B138:I138">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O180"/>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8">
      <c r="A1" s="82" t="str">
        <f>HLOOKUP(INDICE!$F$2,Nombres!$C$3:$D$636,17,FALSE)</f>
        <v>Perú</v>
      </c>
      <c r="B1" s="30"/>
      <c r="C1" s="30"/>
      <c r="D1" s="30"/>
      <c r="E1" s="30"/>
      <c r="F1" s="30"/>
      <c r="G1" s="30"/>
      <c r="H1" s="30"/>
      <c r="I1" s="30"/>
    </row>
    <row r="2" spans="1:9" ht="19.5">
      <c r="A2" s="32"/>
      <c r="B2" s="30"/>
      <c r="C2" s="30"/>
      <c r="D2" s="30"/>
      <c r="E2" s="30"/>
      <c r="F2" s="30"/>
      <c r="G2" s="30"/>
      <c r="H2" s="30"/>
      <c r="I2" s="30"/>
    </row>
    <row r="3" spans="1:9" ht="18">
      <c r="A3" s="92" t="str">
        <f>HLOOKUP(INDICE!$F$2,Nombres!$C$3:$D$636,31,FALSE)</f>
        <v>Cuenta de resultados  </v>
      </c>
      <c r="B3" s="34"/>
      <c r="C3" s="34"/>
      <c r="D3" s="34"/>
      <c r="E3" s="34"/>
      <c r="F3" s="34"/>
      <c r="G3" s="34"/>
      <c r="H3" s="34"/>
      <c r="I3" s="34"/>
    </row>
    <row r="4" spans="1:9" ht="15">
      <c r="A4" s="83"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1">
        <f>+España!B6</f>
        <v>2022</v>
      </c>
      <c r="C6" s="301"/>
      <c r="D6" s="301"/>
      <c r="E6" s="302"/>
      <c r="F6" s="301">
        <f>+España!F6</f>
        <v>2023</v>
      </c>
      <c r="G6" s="301"/>
      <c r="H6" s="301"/>
      <c r="I6" s="301"/>
    </row>
    <row r="7" spans="1:9" ht="15.75">
      <c r="A7" s="38"/>
      <c r="B7" s="84" t="str">
        <f>+España!B7</f>
        <v>1er Trim.</v>
      </c>
      <c r="C7" s="84" t="str">
        <f>+España!C7</f>
        <v>2º Trim.</v>
      </c>
      <c r="D7" s="84" t="str">
        <f>+España!D7</f>
        <v>3er Trim.</v>
      </c>
      <c r="E7" s="85" t="str">
        <f>+España!E7</f>
        <v>4º Trim.</v>
      </c>
      <c r="F7" s="84" t="str">
        <f>+España!F7</f>
        <v>1er Trim.</v>
      </c>
      <c r="G7" s="84" t="str">
        <f>+España!G7</f>
        <v>2º Trim.</v>
      </c>
      <c r="H7" s="84" t="str">
        <f>+España!H7</f>
        <v>3er Trim.</v>
      </c>
      <c r="I7" s="84" t="str">
        <f>+España!I7</f>
        <v>4º Trim.</v>
      </c>
    </row>
    <row r="8" spans="1:15" ht="15">
      <c r="A8" s="41" t="str">
        <f>HLOOKUP(INDICE!$F$2,Nombres!$C$3:$D$636,33,FALSE)</f>
        <v>Margen de intereses</v>
      </c>
      <c r="B8" s="41">
        <v>218.20399999999995</v>
      </c>
      <c r="C8" s="41">
        <v>262.255</v>
      </c>
      <c r="D8" s="41">
        <v>292.43999999999994</v>
      </c>
      <c r="E8" s="42">
        <v>306.841</v>
      </c>
      <c r="F8" s="50">
        <v>303.92299999999994</v>
      </c>
      <c r="G8" s="50">
        <v>319.695</v>
      </c>
      <c r="H8" s="237">
        <v>338.0659999999999</v>
      </c>
      <c r="I8" s="237">
        <v>342.3230000000001</v>
      </c>
      <c r="J8" s="86"/>
      <c r="K8" s="86"/>
      <c r="L8" s="86"/>
      <c r="M8" s="86"/>
      <c r="N8" s="86"/>
      <c r="O8" s="86"/>
    </row>
    <row r="9" spans="1:9" ht="15">
      <c r="A9" s="87" t="str">
        <f>HLOOKUP(INDICE!$F$2,Nombres!$C$3:$D$636,34,FALSE)</f>
        <v>Comisiones netas</v>
      </c>
      <c r="B9" s="44">
        <v>63.51501187999999</v>
      </c>
      <c r="C9" s="44">
        <v>75.50539903</v>
      </c>
      <c r="D9" s="44">
        <v>71.98586402999999</v>
      </c>
      <c r="E9" s="45">
        <v>67.69021174</v>
      </c>
      <c r="F9" s="44">
        <v>73.36634266</v>
      </c>
      <c r="G9" s="44">
        <v>74.38973984</v>
      </c>
      <c r="H9" s="44">
        <v>68.64983749000001</v>
      </c>
      <c r="I9" s="44">
        <v>71.56880039</v>
      </c>
    </row>
    <row r="10" spans="1:9" ht="15">
      <c r="A10" s="87" t="str">
        <f>HLOOKUP(INDICE!$F$2,Nombres!$C$3:$D$636,35,FALSE)</f>
        <v>Resultados de operaciones financieras</v>
      </c>
      <c r="B10" s="44">
        <v>33.20376918000001</v>
      </c>
      <c r="C10" s="44">
        <v>41.37323429</v>
      </c>
      <c r="D10" s="44">
        <v>45.19068422</v>
      </c>
      <c r="E10" s="45">
        <v>42.070255339999996</v>
      </c>
      <c r="F10" s="44">
        <v>47.37591041</v>
      </c>
      <c r="G10" s="44">
        <v>45.67422670000002</v>
      </c>
      <c r="H10" s="44">
        <v>50.020894789999986</v>
      </c>
      <c r="I10" s="44">
        <v>49.878085870000014</v>
      </c>
    </row>
    <row r="11" spans="1:9" ht="15">
      <c r="A11" s="87" t="str">
        <f>HLOOKUP(INDICE!$F$2,Nombres!$C$3:$D$636,36,FALSE)</f>
        <v>Otros ingresos y cargas de explotación</v>
      </c>
      <c r="B11" s="44">
        <v>-8.483000000000002</v>
      </c>
      <c r="C11" s="44">
        <v>-8.852</v>
      </c>
      <c r="D11" s="44">
        <v>-8.345999999999997</v>
      </c>
      <c r="E11" s="45">
        <v>-10.532</v>
      </c>
      <c r="F11" s="44">
        <v>-12.957</v>
      </c>
      <c r="G11" s="44">
        <v>-9.087000000000002</v>
      </c>
      <c r="H11" s="44">
        <v>-10.337</v>
      </c>
      <c r="I11" s="44">
        <v>-10.305</v>
      </c>
    </row>
    <row r="12" spans="1:9" ht="15">
      <c r="A12" s="41" t="str">
        <f>HLOOKUP(INDICE!$F$2,Nombres!$C$3:$D$636,37,FALSE)</f>
        <v>Margen bruto</v>
      </c>
      <c r="B12" s="41">
        <f aca="true" t="shared" si="0" ref="B12:I12">+SUM(B8:B11)</f>
        <v>306.4397810599999</v>
      </c>
      <c r="C12" s="41">
        <f t="shared" si="0"/>
        <v>370.2816333200001</v>
      </c>
      <c r="D12" s="41">
        <f t="shared" si="0"/>
        <v>401.27054824999993</v>
      </c>
      <c r="E12" s="42">
        <f t="shared" si="0"/>
        <v>406.06946708000004</v>
      </c>
      <c r="F12" s="50">
        <f t="shared" si="0"/>
        <v>411.70825306999996</v>
      </c>
      <c r="G12" s="50">
        <f t="shared" si="0"/>
        <v>430.67196654</v>
      </c>
      <c r="H12" s="50">
        <f t="shared" si="0"/>
        <v>446.3997322799999</v>
      </c>
      <c r="I12" s="50">
        <f t="shared" si="0"/>
        <v>453.46488626000007</v>
      </c>
    </row>
    <row r="13" spans="1:9" ht="15">
      <c r="A13" s="87" t="str">
        <f>HLOOKUP(INDICE!$F$2,Nombres!$C$3:$D$636,38,FALSE)</f>
        <v>Gastos de explotación</v>
      </c>
      <c r="B13" s="44">
        <v>-119.00970702000001</v>
      </c>
      <c r="C13" s="44">
        <v>-130.94358369</v>
      </c>
      <c r="D13" s="44">
        <v>-148.16788755000005</v>
      </c>
      <c r="E13" s="45">
        <v>-153.96008085999998</v>
      </c>
      <c r="F13" s="44">
        <v>-153.68057466000002</v>
      </c>
      <c r="G13" s="44">
        <v>-154.94963961999997</v>
      </c>
      <c r="H13" s="44">
        <v>-163.26806067</v>
      </c>
      <c r="I13" s="44">
        <v>-161.81378464</v>
      </c>
    </row>
    <row r="14" spans="1:9" ht="15">
      <c r="A14" s="87" t="str">
        <f>HLOOKUP(INDICE!$F$2,Nombres!$C$3:$D$636,39,FALSE)</f>
        <v>  Gastos de administración</v>
      </c>
      <c r="B14" s="44">
        <v>-102.51670702000001</v>
      </c>
      <c r="C14" s="44">
        <v>-113.09858369</v>
      </c>
      <c r="D14" s="44">
        <v>-130.19688755</v>
      </c>
      <c r="E14" s="45">
        <v>-136.28008085999997</v>
      </c>
      <c r="F14" s="44">
        <v>-134.34757466</v>
      </c>
      <c r="G14" s="44">
        <v>-135.40063961999996</v>
      </c>
      <c r="H14" s="44">
        <v>-144.17506067</v>
      </c>
      <c r="I14" s="44">
        <v>-141.97778464000004</v>
      </c>
    </row>
    <row r="15" spans="1:9" ht="15">
      <c r="A15" s="88" t="str">
        <f>HLOOKUP(INDICE!$F$2,Nombres!$C$3:$D$636,40,FALSE)</f>
        <v>  Gastos de personal</v>
      </c>
      <c r="B15" s="44">
        <v>-53.595</v>
      </c>
      <c r="C15" s="44">
        <v>-59.07700000000001</v>
      </c>
      <c r="D15" s="44">
        <v>-67.195</v>
      </c>
      <c r="E15" s="45">
        <v>-72.404</v>
      </c>
      <c r="F15" s="44">
        <v>-68.283</v>
      </c>
      <c r="G15" s="44">
        <v>-69.95498248999999</v>
      </c>
      <c r="H15" s="44">
        <v>-71.47292124</v>
      </c>
      <c r="I15" s="44">
        <v>-69.84200000000001</v>
      </c>
    </row>
    <row r="16" spans="1:9" ht="15">
      <c r="A16" s="88" t="str">
        <f>HLOOKUP(INDICE!$F$2,Nombres!$C$3:$D$636,41,FALSE)</f>
        <v>  Otros gastos de administración</v>
      </c>
      <c r="B16" s="44">
        <v>-48.92170701999999</v>
      </c>
      <c r="C16" s="44">
        <v>-54.021583690000014</v>
      </c>
      <c r="D16" s="44">
        <v>-63.001887550000006</v>
      </c>
      <c r="E16" s="45">
        <v>-63.87608085999997</v>
      </c>
      <c r="F16" s="44">
        <v>-66.06457466</v>
      </c>
      <c r="G16" s="44">
        <v>-65.44565712999997</v>
      </c>
      <c r="H16" s="44">
        <v>-72.70213943000002</v>
      </c>
      <c r="I16" s="44">
        <v>-72.13578464000001</v>
      </c>
    </row>
    <row r="17" spans="1:9" ht="15">
      <c r="A17" s="87" t="str">
        <f>HLOOKUP(INDICE!$F$2,Nombres!$C$3:$D$636,42,FALSE)</f>
        <v>  Amortización</v>
      </c>
      <c r="B17" s="44">
        <v>-16.493000000000002</v>
      </c>
      <c r="C17" s="44">
        <v>-17.845</v>
      </c>
      <c r="D17" s="44">
        <v>-17.971000000000004</v>
      </c>
      <c r="E17" s="45">
        <v>-17.679999999999996</v>
      </c>
      <c r="F17" s="44">
        <v>-19.333</v>
      </c>
      <c r="G17" s="44">
        <v>-19.549</v>
      </c>
      <c r="H17" s="44">
        <v>-19.093000000000004</v>
      </c>
      <c r="I17" s="44">
        <v>-19.836</v>
      </c>
    </row>
    <row r="18" spans="1:9" ht="15">
      <c r="A18" s="41" t="str">
        <f>HLOOKUP(INDICE!$F$2,Nombres!$C$3:$D$636,43,FALSE)</f>
        <v>Margen neto</v>
      </c>
      <c r="B18" s="41">
        <f aca="true" t="shared" si="1" ref="B18:I18">+B12+B13</f>
        <v>187.4300740399999</v>
      </c>
      <c r="C18" s="41">
        <f t="shared" si="1"/>
        <v>239.33804963000009</v>
      </c>
      <c r="D18" s="41">
        <f t="shared" si="1"/>
        <v>253.1026606999999</v>
      </c>
      <c r="E18" s="42">
        <f t="shared" si="1"/>
        <v>252.10938622000006</v>
      </c>
      <c r="F18" s="50">
        <f t="shared" si="1"/>
        <v>258.0276784099999</v>
      </c>
      <c r="G18" s="50">
        <f t="shared" si="1"/>
        <v>275.72232692000006</v>
      </c>
      <c r="H18" s="50">
        <f t="shared" si="1"/>
        <v>283.1316716099999</v>
      </c>
      <c r="I18" s="50">
        <f t="shared" si="1"/>
        <v>291.6511016200001</v>
      </c>
    </row>
    <row r="19" spans="1:9" ht="15">
      <c r="A19" s="87" t="str">
        <f>HLOOKUP(INDICE!$F$2,Nombres!$C$3:$D$636,44,FALSE)</f>
        <v>Deterioro de activos financieros no valorados a valor razonable con cambios en resultados</v>
      </c>
      <c r="B19" s="44">
        <v>-30.826999999999998</v>
      </c>
      <c r="C19" s="44">
        <v>-43.44600000000002</v>
      </c>
      <c r="D19" s="44">
        <v>-88.217</v>
      </c>
      <c r="E19" s="45">
        <v>-123.83900000000001</v>
      </c>
      <c r="F19" s="44">
        <v>-92.02100000000002</v>
      </c>
      <c r="G19" s="44">
        <v>-115.18900000000001</v>
      </c>
      <c r="H19" s="44">
        <v>-168.41</v>
      </c>
      <c r="I19" s="44">
        <v>-173.137</v>
      </c>
    </row>
    <row r="20" spans="1:9" ht="15">
      <c r="A20" s="87" t="str">
        <f>HLOOKUP(INDICE!$F$2,Nombres!$C$3:$D$636,45,FALSE)</f>
        <v>Provisiones o reversión de provisiones y otros resultados</v>
      </c>
      <c r="B20" s="44">
        <v>-9.047</v>
      </c>
      <c r="C20" s="44">
        <v>-8.422999999999977</v>
      </c>
      <c r="D20" s="44">
        <v>-11.660000000000002</v>
      </c>
      <c r="E20" s="45">
        <v>-9.266000000000002</v>
      </c>
      <c r="F20" s="44">
        <v>2.087</v>
      </c>
      <c r="G20" s="44">
        <v>-1.1689999999999992</v>
      </c>
      <c r="H20" s="44">
        <v>6.167000000000002</v>
      </c>
      <c r="I20" s="44">
        <v>-19.729000000000006</v>
      </c>
    </row>
    <row r="21" spans="1:9" ht="15">
      <c r="A21" s="89" t="str">
        <f>HLOOKUP(INDICE!$F$2,Nombres!$C$3:$D$636,46,FALSE)</f>
        <v>Resultado antes de impuestos</v>
      </c>
      <c r="B21" s="41">
        <f aca="true" t="shared" si="2" ref="B21:I21">+B18+B19+B20</f>
        <v>147.5560740399999</v>
      </c>
      <c r="C21" s="41">
        <f t="shared" si="2"/>
        <v>187.4690496300001</v>
      </c>
      <c r="D21" s="41">
        <f t="shared" si="2"/>
        <v>153.2256606999999</v>
      </c>
      <c r="E21" s="42">
        <f t="shared" si="2"/>
        <v>119.00438622000003</v>
      </c>
      <c r="F21" s="50">
        <f t="shared" si="2"/>
        <v>168.09367840999988</v>
      </c>
      <c r="G21" s="50">
        <f t="shared" si="2"/>
        <v>159.36432692000002</v>
      </c>
      <c r="H21" s="50">
        <f t="shared" si="2"/>
        <v>120.8886716099999</v>
      </c>
      <c r="I21" s="50">
        <f t="shared" si="2"/>
        <v>98.78510162000006</v>
      </c>
    </row>
    <row r="22" spans="1:9" ht="15">
      <c r="A22" s="43" t="str">
        <f>HLOOKUP(INDICE!$F$2,Nombres!$C$3:$D$636,47,FALSE)</f>
        <v>Impuesto sobre beneficios</v>
      </c>
      <c r="B22" s="44">
        <v>-37.535995320000005</v>
      </c>
      <c r="C22" s="44">
        <v>-50.323949490000004</v>
      </c>
      <c r="D22" s="44">
        <v>-39.59375947000001</v>
      </c>
      <c r="E22" s="45">
        <v>-38.45487958999999</v>
      </c>
      <c r="F22" s="44">
        <v>-46.36123809</v>
      </c>
      <c r="G22" s="44">
        <v>-41.19416211000001</v>
      </c>
      <c r="H22" s="44">
        <v>-26.099792959999988</v>
      </c>
      <c r="I22" s="44">
        <v>4.789125500000001</v>
      </c>
    </row>
    <row r="23" spans="1:9" ht="15">
      <c r="A23" s="89" t="str">
        <f>HLOOKUP(INDICE!$F$2,Nombres!$C$3:$D$636,48,FALSE)</f>
        <v>Resultado del ejercicio</v>
      </c>
      <c r="B23" s="41">
        <f aca="true" t="shared" si="3" ref="B23:I23">+B21+B22</f>
        <v>110.0200787199999</v>
      </c>
      <c r="C23" s="41">
        <f t="shared" si="3"/>
        <v>137.14510014000007</v>
      </c>
      <c r="D23" s="41">
        <f t="shared" si="3"/>
        <v>113.6319012299999</v>
      </c>
      <c r="E23" s="42">
        <f t="shared" si="3"/>
        <v>80.54950663000004</v>
      </c>
      <c r="F23" s="50">
        <f t="shared" si="3"/>
        <v>121.73244031999988</v>
      </c>
      <c r="G23" s="50">
        <f t="shared" si="3"/>
        <v>118.17016481000002</v>
      </c>
      <c r="H23" s="50">
        <f t="shared" si="3"/>
        <v>94.78887864999992</v>
      </c>
      <c r="I23" s="50">
        <f t="shared" si="3"/>
        <v>103.57422712000006</v>
      </c>
    </row>
    <row r="24" spans="1:9" ht="15">
      <c r="A24" s="87" t="str">
        <f>HLOOKUP(INDICE!$F$2,Nombres!$C$3:$D$636,49,FALSE)</f>
        <v>Minoritarios</v>
      </c>
      <c r="B24" s="44">
        <v>-59.35333915</v>
      </c>
      <c r="C24" s="44">
        <v>-70.39765243</v>
      </c>
      <c r="D24" s="44">
        <v>-62.723915610000006</v>
      </c>
      <c r="E24" s="45">
        <v>-43.35294272999999</v>
      </c>
      <c r="F24" s="44">
        <v>-64.55076044</v>
      </c>
      <c r="G24" s="44">
        <v>-64.24584562</v>
      </c>
      <c r="H24" s="44">
        <v>-51.03541103</v>
      </c>
      <c r="I24" s="44">
        <v>-55.437458219999996</v>
      </c>
    </row>
    <row r="25" spans="1:9" ht="15">
      <c r="A25" s="90" t="str">
        <f>HLOOKUP(INDICE!$F$2,Nombres!$C$3:$D$636,50,FALSE)</f>
        <v>Resultado atribuido</v>
      </c>
      <c r="B25" s="47">
        <f aca="true" t="shared" si="4" ref="B25:I25">+B23+B24</f>
        <v>50.666739569999905</v>
      </c>
      <c r="C25" s="47">
        <f t="shared" si="4"/>
        <v>66.74744771000007</v>
      </c>
      <c r="D25" s="47">
        <f t="shared" si="4"/>
        <v>50.90798561999989</v>
      </c>
      <c r="E25" s="47">
        <f t="shared" si="4"/>
        <v>37.19656390000005</v>
      </c>
      <c r="F25" s="51">
        <f t="shared" si="4"/>
        <v>57.18167987999988</v>
      </c>
      <c r="G25" s="51">
        <f t="shared" si="4"/>
        <v>53.92431919000002</v>
      </c>
      <c r="H25" s="51">
        <f t="shared" si="4"/>
        <v>43.75346761999992</v>
      </c>
      <c r="I25" s="51">
        <f t="shared" si="4"/>
        <v>48.136768900000064</v>
      </c>
    </row>
    <row r="26" spans="1:9" ht="15">
      <c r="A26" s="91"/>
      <c r="B26" s="63">
        <v>-1.2789769243681803E-13</v>
      </c>
      <c r="C26" s="63">
        <v>0</v>
      </c>
      <c r="D26" s="63">
        <v>-8.526512829121202E-14</v>
      </c>
      <c r="E26" s="63">
        <v>0</v>
      </c>
      <c r="F26" s="63">
        <v>-1.1368683772161603E-13</v>
      </c>
      <c r="G26" s="63">
        <v>0</v>
      </c>
      <c r="H26" s="63">
        <v>-7.105427357601002E-14</v>
      </c>
      <c r="I26" s="63">
        <v>0</v>
      </c>
    </row>
    <row r="27" spans="1:9" ht="15">
      <c r="A27" s="89"/>
      <c r="B27" s="41"/>
      <c r="C27" s="41"/>
      <c r="D27" s="41"/>
      <c r="E27" s="41"/>
      <c r="F27" s="41"/>
      <c r="G27" s="41"/>
      <c r="H27" s="41"/>
      <c r="I27" s="41"/>
    </row>
    <row r="28" spans="1:9" ht="18">
      <c r="A28" s="92" t="str">
        <f>HLOOKUP(INDICE!$F$2,Nombres!$C$3:$D$636,51,FALSE)</f>
        <v>Balances</v>
      </c>
      <c r="B28" s="34"/>
      <c r="C28" s="34"/>
      <c r="D28" s="34"/>
      <c r="E28" s="34"/>
      <c r="F28" s="34"/>
      <c r="G28" s="34"/>
      <c r="H28" s="34"/>
      <c r="I28" s="34"/>
    </row>
    <row r="29" spans="1:9" ht="15">
      <c r="A29" s="83"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9" ht="15">
      <c r="A31" s="87" t="str">
        <f>HLOOKUP(INDICE!$F$2,Nombres!$C$3:$D$636,52,FALSE)</f>
        <v>Efectivo, saldos en efectivo en bancos centrales y otros depósitos a la vista</v>
      </c>
      <c r="B31" s="44">
        <v>3470.1679999999997</v>
      </c>
      <c r="C31" s="44">
        <v>3729.0200000000004</v>
      </c>
      <c r="D31" s="44">
        <v>4383.277</v>
      </c>
      <c r="E31" s="45">
        <v>2912.387</v>
      </c>
      <c r="F31" s="44">
        <v>3306.83</v>
      </c>
      <c r="G31" s="44">
        <v>3590.5790000000006</v>
      </c>
      <c r="H31" s="44">
        <v>2720.026</v>
      </c>
      <c r="I31" s="44">
        <v>2078.862</v>
      </c>
    </row>
    <row r="32" spans="1:9" ht="15">
      <c r="A32" s="87" t="str">
        <f>HLOOKUP(INDICE!$F$2,Nombres!$C$3:$D$636,53,FALSE)</f>
        <v>Activos financieros a valor razonable</v>
      </c>
      <c r="B32" s="58">
        <v>2913.6949999999997</v>
      </c>
      <c r="C32" s="58">
        <v>2986.973</v>
      </c>
      <c r="D32" s="58">
        <v>3344.2919999999995</v>
      </c>
      <c r="E32" s="64">
        <v>3185.991</v>
      </c>
      <c r="F32" s="44">
        <v>3207.4750000000004</v>
      </c>
      <c r="G32" s="44">
        <v>3033.783</v>
      </c>
      <c r="H32" s="44">
        <v>3031.094</v>
      </c>
      <c r="I32" s="44">
        <v>3976.6839999999997</v>
      </c>
    </row>
    <row r="33" spans="1:9" ht="15">
      <c r="A33" s="43" t="str">
        <f>HLOOKUP(INDICE!$F$2,Nombres!$C$3:$D$636,54,FALSE)</f>
        <v>Activos financieros a coste amortizado</v>
      </c>
      <c r="B33" s="44">
        <v>17268.314000000002</v>
      </c>
      <c r="C33" s="44">
        <v>18041.945</v>
      </c>
      <c r="D33" s="44">
        <v>19025.966000000004</v>
      </c>
      <c r="E33" s="45">
        <v>17303.597999999998</v>
      </c>
      <c r="F33" s="44">
        <v>17628.758999999995</v>
      </c>
      <c r="G33" s="44">
        <v>17872.498</v>
      </c>
      <c r="H33" s="44">
        <v>17869.274</v>
      </c>
      <c r="I33" s="44">
        <v>17748.75</v>
      </c>
    </row>
    <row r="34" spans="1:9" ht="15">
      <c r="A34" s="87" t="str">
        <f>HLOOKUP(INDICE!$F$2,Nombres!$C$3:$D$636,55,FALSE)</f>
        <v>    de los que préstamos y anticipos a la clientela</v>
      </c>
      <c r="B34" s="44">
        <v>16947.196</v>
      </c>
      <c r="C34" s="44">
        <v>17677.086</v>
      </c>
      <c r="D34" s="44">
        <v>18066.41</v>
      </c>
      <c r="E34" s="45">
        <v>16998.711</v>
      </c>
      <c r="F34" s="44">
        <v>17099.629999999997</v>
      </c>
      <c r="G34" s="44">
        <v>17526.069</v>
      </c>
      <c r="H34" s="44">
        <v>17364.415</v>
      </c>
      <c r="I34" s="44">
        <v>17288.597999999998</v>
      </c>
    </row>
    <row r="35" spans="1:9" ht="15" customHeight="1" hidden="1">
      <c r="A35" s="87"/>
      <c r="B35" s="44"/>
      <c r="C35" s="44"/>
      <c r="D35" s="44"/>
      <c r="E35" s="45"/>
      <c r="F35" s="44"/>
      <c r="G35" s="44"/>
      <c r="H35" s="44"/>
      <c r="I35" s="44"/>
    </row>
    <row r="36" spans="1:9" ht="15">
      <c r="A36" s="43" t="str">
        <f>HLOOKUP(INDICE!$F$2,Nombres!$C$3:$D$636,56,FALSE)</f>
        <v>Activos tangibles</v>
      </c>
      <c r="B36" s="44">
        <v>288.717</v>
      </c>
      <c r="C36" s="44">
        <v>298.78</v>
      </c>
      <c r="D36" s="44">
        <v>315.13899999999995</v>
      </c>
      <c r="E36" s="45">
        <v>310.281</v>
      </c>
      <c r="F36" s="44">
        <v>306.857</v>
      </c>
      <c r="G36" s="44">
        <v>320.765</v>
      </c>
      <c r="H36" s="44">
        <v>321.632</v>
      </c>
      <c r="I36" s="44">
        <v>346.73400000000004</v>
      </c>
    </row>
    <row r="37" spans="1:9" ht="15">
      <c r="A37" s="87" t="str">
        <f>HLOOKUP(INDICE!$F$2,Nombres!$C$3:$D$636,57,FALSE)</f>
        <v>Otros activos</v>
      </c>
      <c r="B37" s="58">
        <f aca="true" t="shared" si="5" ref="B37:I37">+B38-B36-B33-B32-B31</f>
        <v>443.0927348899986</v>
      </c>
      <c r="C37" s="58">
        <f t="shared" si="5"/>
        <v>470.6485883399964</v>
      </c>
      <c r="D37" s="58">
        <f t="shared" si="5"/>
        <v>469.59934287000215</v>
      </c>
      <c r="E37" s="64">
        <f t="shared" si="5"/>
        <v>507.7397496300041</v>
      </c>
      <c r="F37" s="44">
        <f t="shared" si="5"/>
        <v>539.4309179800039</v>
      </c>
      <c r="G37" s="44">
        <f t="shared" si="5"/>
        <v>555.8143992700034</v>
      </c>
      <c r="H37" s="44">
        <f t="shared" si="5"/>
        <v>605.7566416400032</v>
      </c>
      <c r="I37" s="44">
        <f t="shared" si="5"/>
        <v>669.5240675600021</v>
      </c>
    </row>
    <row r="38" spans="1:9" ht="15">
      <c r="A38" s="90" t="str">
        <f>HLOOKUP(INDICE!$F$2,Nombres!$C$3:$D$636,58,FALSE)</f>
        <v>Total activo / pasivo</v>
      </c>
      <c r="B38" s="47">
        <v>24383.98673489</v>
      </c>
      <c r="C38" s="47">
        <v>25527.366588339995</v>
      </c>
      <c r="D38" s="47">
        <v>27538.273342870005</v>
      </c>
      <c r="E38" s="47">
        <v>24219.99674963</v>
      </c>
      <c r="F38" s="51">
        <v>24989.35191798</v>
      </c>
      <c r="G38" s="51">
        <v>25373.439399270002</v>
      </c>
      <c r="H38" s="51">
        <v>24547.782641640006</v>
      </c>
      <c r="I38" s="51">
        <v>24820.554067560002</v>
      </c>
    </row>
    <row r="39" spans="1:9" ht="15">
      <c r="A39" s="87" t="str">
        <f>HLOOKUP(INDICE!$F$2,Nombres!$C$3:$D$636,59,FALSE)</f>
        <v>Pasivos financieros mantenidos para negociar y designados a valor razonable con cambios en resultados</v>
      </c>
      <c r="B39" s="58">
        <v>421.15200000000004</v>
      </c>
      <c r="C39" s="58">
        <v>410.173</v>
      </c>
      <c r="D39" s="58">
        <v>459.85699999999997</v>
      </c>
      <c r="E39" s="64">
        <v>376.86699999999996</v>
      </c>
      <c r="F39" s="44">
        <v>366.334</v>
      </c>
      <c r="G39" s="44">
        <v>363.961</v>
      </c>
      <c r="H39" s="44">
        <v>330.72999999999996</v>
      </c>
      <c r="I39" s="44">
        <v>351.536</v>
      </c>
    </row>
    <row r="40" spans="1:9" ht="15.75" customHeight="1">
      <c r="A40" s="87" t="str">
        <f>HLOOKUP(INDICE!$F$2,Nombres!$C$3:$D$636,60,FALSE)</f>
        <v>Depósitos de bancos centrales y entidades de crédito</v>
      </c>
      <c r="B40" s="58">
        <v>4168.018</v>
      </c>
      <c r="C40" s="58">
        <v>4008.562</v>
      </c>
      <c r="D40" s="58">
        <v>3885.9220000000005</v>
      </c>
      <c r="E40" s="64">
        <v>3097.4950000000003</v>
      </c>
      <c r="F40" s="44">
        <v>3043.391</v>
      </c>
      <c r="G40" s="44">
        <v>3286.7799999999997</v>
      </c>
      <c r="H40" s="44">
        <v>2852.206</v>
      </c>
      <c r="I40" s="44">
        <v>2857.3320000000003</v>
      </c>
    </row>
    <row r="41" spans="1:9" ht="15">
      <c r="A41" s="87" t="str">
        <f>HLOOKUP(INDICE!$F$2,Nombres!$C$3:$D$636,61,FALSE)</f>
        <v>Depósitos de la clientela</v>
      </c>
      <c r="B41" s="58">
        <v>14966.210000000001</v>
      </c>
      <c r="C41" s="58">
        <v>16149.865000000002</v>
      </c>
      <c r="D41" s="58">
        <v>18199.582000000002</v>
      </c>
      <c r="E41" s="64">
        <v>16220.615999999998</v>
      </c>
      <c r="F41" s="44">
        <v>16431.888</v>
      </c>
      <c r="G41" s="44">
        <v>16847.688000000002</v>
      </c>
      <c r="H41" s="44">
        <v>16758.216999999997</v>
      </c>
      <c r="I41" s="44">
        <v>16938.622</v>
      </c>
    </row>
    <row r="42" spans="1:9" ht="15">
      <c r="A42" s="43" t="str">
        <f>HLOOKUP(INDICE!$F$2,Nombres!$C$3:$D$636,62,FALSE)</f>
        <v>Valores representativos de deuda emitidos</v>
      </c>
      <c r="B42" s="44">
        <v>1371.86706993</v>
      </c>
      <c r="C42" s="44">
        <v>1657.98805191</v>
      </c>
      <c r="D42" s="44">
        <v>1109.12309372</v>
      </c>
      <c r="E42" s="45">
        <v>947.3668865199999</v>
      </c>
      <c r="F42" s="44">
        <v>937.72618743</v>
      </c>
      <c r="G42" s="44">
        <v>1023.74412112</v>
      </c>
      <c r="H42" s="44">
        <v>878.70133697</v>
      </c>
      <c r="I42" s="44">
        <v>813.78500324</v>
      </c>
    </row>
    <row r="43" spans="1:9" ht="15" customHeight="1" hidden="1">
      <c r="A43" s="43"/>
      <c r="B43" s="44"/>
      <c r="C43" s="44"/>
      <c r="D43" s="44"/>
      <c r="E43" s="45"/>
      <c r="F43" s="44"/>
      <c r="G43" s="44"/>
      <c r="H43" s="44"/>
      <c r="I43" s="44"/>
    </row>
    <row r="44" spans="1:9" ht="15">
      <c r="A44" s="87" t="str">
        <f>HLOOKUP(INDICE!$F$2,Nombres!$C$3:$D$636,63,FALSE)</f>
        <v>Otros pasivos</v>
      </c>
      <c r="B44" s="58">
        <f aca="true" t="shared" si="6" ref="B44:I44">+B38-B39-B40-B41-B42-B45</f>
        <v>1103.4058635199976</v>
      </c>
      <c r="C44" s="58">
        <f t="shared" si="6"/>
        <v>826.3090805699935</v>
      </c>
      <c r="D44" s="58">
        <f t="shared" si="6"/>
        <v>1301.7892427900042</v>
      </c>
      <c r="E44" s="64">
        <f t="shared" si="6"/>
        <v>1148.868887300006</v>
      </c>
      <c r="F44" s="44">
        <f t="shared" si="6"/>
        <v>1919.808729630001</v>
      </c>
      <c r="G44" s="44">
        <f t="shared" si="6"/>
        <v>1423.7388248200018</v>
      </c>
      <c r="H44" s="44">
        <f t="shared" si="6"/>
        <v>1365.913226930007</v>
      </c>
      <c r="I44" s="44">
        <f t="shared" si="6"/>
        <v>1484.1762140800042</v>
      </c>
    </row>
    <row r="45" spans="1:9" ht="15">
      <c r="A45" s="43" t="str">
        <f>HLOOKUP(INDICE!$F$2,Nombres!$C$3:$D$636,282,FALSE)</f>
        <v>Dotación de capital regulatorio</v>
      </c>
      <c r="B45" s="58">
        <v>2353.33380144</v>
      </c>
      <c r="C45" s="58">
        <v>2474.46945586</v>
      </c>
      <c r="D45" s="58">
        <v>2582.00000636</v>
      </c>
      <c r="E45" s="64">
        <v>2428.78297581</v>
      </c>
      <c r="F45" s="44">
        <v>2290.20400092</v>
      </c>
      <c r="G45" s="44">
        <v>2427.5274533300003</v>
      </c>
      <c r="H45" s="44">
        <v>2362.0150777400004</v>
      </c>
      <c r="I45" s="44">
        <v>2375.10285024</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92" t="str">
        <f>HLOOKUP(INDICE!$F$2,Nombres!$C$3:$D$636,65,FALSE)</f>
        <v>Indicadores relevantes y de gestión</v>
      </c>
      <c r="B48" s="34"/>
      <c r="C48" s="34"/>
      <c r="D48" s="34"/>
      <c r="E48" s="34"/>
      <c r="F48" s="68"/>
      <c r="G48" s="68"/>
      <c r="H48" s="68"/>
      <c r="I48" s="68"/>
    </row>
    <row r="49" spans="1:9" ht="15">
      <c r="A49" s="83" t="str">
        <f>HLOOKUP(INDICE!$F$2,Nombres!$C$3:$D$636,32,FALSE)</f>
        <v>(Millones de euros)</v>
      </c>
      <c r="B49" s="30"/>
      <c r="C49" s="30"/>
      <c r="D49" s="30"/>
      <c r="E49" s="30"/>
      <c r="F49" s="69"/>
      <c r="G49" s="44"/>
      <c r="H49" s="44"/>
      <c r="I49" s="44"/>
    </row>
    <row r="50" spans="1:9" ht="15.75">
      <c r="A50" s="30"/>
      <c r="B50" s="53">
        <f aca="true" t="shared" si="7" ref="B50:I50">+B$30</f>
        <v>44651</v>
      </c>
      <c r="C50" s="53">
        <f t="shared" si="7"/>
        <v>44742</v>
      </c>
      <c r="D50" s="53">
        <f t="shared" si="7"/>
        <v>44834</v>
      </c>
      <c r="E50" s="67">
        <f t="shared" si="7"/>
        <v>44926</v>
      </c>
      <c r="F50" s="53">
        <f t="shared" si="7"/>
        <v>45016</v>
      </c>
      <c r="G50" s="53">
        <f t="shared" si="7"/>
        <v>45107</v>
      </c>
      <c r="H50" s="53">
        <f t="shared" si="7"/>
        <v>45199</v>
      </c>
      <c r="I50" s="53">
        <f t="shared" si="7"/>
        <v>45291</v>
      </c>
    </row>
    <row r="51" spans="1:9" ht="15">
      <c r="A51" s="87" t="str">
        <f>HLOOKUP(INDICE!$F$2,Nombres!$C$3:$D$636,66,FALSE)</f>
        <v>Préstamos y anticipos a la clientela bruto (*)</v>
      </c>
      <c r="B51" s="44">
        <v>17794.426000000003</v>
      </c>
      <c r="C51" s="44">
        <v>18602.682999999997</v>
      </c>
      <c r="D51" s="44">
        <v>19009.434</v>
      </c>
      <c r="E51" s="45">
        <v>17879.666</v>
      </c>
      <c r="F51" s="44">
        <v>17990.935999999998</v>
      </c>
      <c r="G51" s="44">
        <v>18397.748000000003</v>
      </c>
      <c r="H51" s="44">
        <v>18329.148</v>
      </c>
      <c r="I51" s="44">
        <v>18255.029</v>
      </c>
    </row>
    <row r="52" spans="1:9" ht="15">
      <c r="A52" s="87" t="str">
        <f>HLOOKUP(INDICE!$F$2,Nombres!$C$3:$D$636,67,FALSE)</f>
        <v>Depósitos de clientes en gestión (**)</v>
      </c>
      <c r="B52" s="44">
        <v>14966.21</v>
      </c>
      <c r="C52" s="44">
        <v>16149.865</v>
      </c>
      <c r="D52" s="44">
        <v>18199.582</v>
      </c>
      <c r="E52" s="45">
        <v>16220.616</v>
      </c>
      <c r="F52" s="44">
        <v>16431.888</v>
      </c>
      <c r="G52" s="44">
        <v>16847.688</v>
      </c>
      <c r="H52" s="44">
        <v>16758.217</v>
      </c>
      <c r="I52" s="44">
        <v>16938.622000000003</v>
      </c>
    </row>
    <row r="53" spans="1:9" ht="15">
      <c r="A53" s="43" t="str">
        <f>HLOOKUP(INDICE!$F$2,Nombres!$C$3:$D$636,68,FALSE)</f>
        <v>Fondos de inversión y carteras gestionadas</v>
      </c>
      <c r="B53" s="44">
        <v>1538.61888528</v>
      </c>
      <c r="C53" s="44">
        <v>1445.36195728</v>
      </c>
      <c r="D53" s="44">
        <v>1516.4828849299997</v>
      </c>
      <c r="E53" s="45">
        <v>1452.6608816399998</v>
      </c>
      <c r="F53" s="44">
        <v>1447.26335048</v>
      </c>
      <c r="G53" s="44">
        <v>1468.0727990799999</v>
      </c>
      <c r="H53" s="44">
        <v>1754.57628241</v>
      </c>
      <c r="I53" s="44">
        <v>1572.4242738</v>
      </c>
    </row>
    <row r="54" spans="1:9" ht="15">
      <c r="A54" s="87" t="str">
        <f>HLOOKUP(INDICE!$F$2,Nombres!$C$3:$D$636,69,FALSE)</f>
        <v>Fondos de pensiones</v>
      </c>
      <c r="B54" s="44">
        <v>0</v>
      </c>
      <c r="C54" s="44">
        <v>0</v>
      </c>
      <c r="D54" s="44">
        <v>0</v>
      </c>
      <c r="E54" s="45">
        <v>0</v>
      </c>
      <c r="F54" s="44">
        <v>0</v>
      </c>
      <c r="G54" s="44">
        <v>0</v>
      </c>
      <c r="H54" s="44">
        <v>0</v>
      </c>
      <c r="I54" s="44">
        <v>0</v>
      </c>
    </row>
    <row r="55" spans="1:9" ht="15">
      <c r="A55" s="87" t="str">
        <f>HLOOKUP(INDICE!$F$2,Nombres!$C$3:$D$636,70,FALSE)</f>
        <v>Otros recursos fuera de balance</v>
      </c>
      <c r="B55" s="44">
        <v>0</v>
      </c>
      <c r="C55" s="44">
        <v>0</v>
      </c>
      <c r="D55" s="44">
        <v>0</v>
      </c>
      <c r="E55" s="45">
        <v>0</v>
      </c>
      <c r="F55" s="44">
        <v>0</v>
      </c>
      <c r="G55" s="44">
        <v>0</v>
      </c>
      <c r="H55" s="44">
        <v>0</v>
      </c>
      <c r="I55" s="44">
        <v>0</v>
      </c>
    </row>
    <row r="56" spans="1:9" ht="15">
      <c r="A56" s="91" t="str">
        <f>HLOOKUP(INDICE!$F$2,Nombres!$C$3:$D$636,71,FALSE)</f>
        <v>(*) No incluye las adquisiciones temporales de activos.</v>
      </c>
      <c r="B56" s="58"/>
      <c r="C56" s="58"/>
      <c r="D56" s="58"/>
      <c r="E56" s="58"/>
      <c r="F56" s="58"/>
      <c r="G56" s="58"/>
      <c r="H56" s="58"/>
      <c r="I56" s="58"/>
    </row>
    <row r="57" spans="1:9" ht="15">
      <c r="A57" s="91"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92" t="str">
        <f>HLOOKUP(INDICE!$F$2,Nombres!$C$3:$D$636,31,FALSE)</f>
        <v>Cuenta de resultados  </v>
      </c>
      <c r="B59" s="34"/>
      <c r="C59" s="34"/>
      <c r="D59" s="34"/>
      <c r="E59" s="34"/>
      <c r="F59" s="34"/>
      <c r="G59" s="34"/>
      <c r="H59" s="34"/>
      <c r="I59" s="34"/>
    </row>
    <row r="60" spans="1:9" ht="15">
      <c r="A60" s="83"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1">
        <f>+B$6</f>
        <v>2022</v>
      </c>
      <c r="C62" s="301"/>
      <c r="D62" s="301"/>
      <c r="E62" s="302"/>
      <c r="F62" s="301">
        <f>+F$6</f>
        <v>2023</v>
      </c>
      <c r="G62" s="301"/>
      <c r="H62" s="301"/>
      <c r="I62" s="301"/>
    </row>
    <row r="63" spans="1:9" ht="15.75">
      <c r="A63" s="38"/>
      <c r="B63" s="84" t="str">
        <f aca="true" t="shared" si="8" ref="B63:I63">+B$7</f>
        <v>1er Trim.</v>
      </c>
      <c r="C63" s="84" t="str">
        <f t="shared" si="8"/>
        <v>2º Trim.</v>
      </c>
      <c r="D63" s="84" t="str">
        <f t="shared" si="8"/>
        <v>3er Trim.</v>
      </c>
      <c r="E63" s="85" t="str">
        <f t="shared" si="8"/>
        <v>4º Trim.</v>
      </c>
      <c r="F63" s="84" t="str">
        <f t="shared" si="8"/>
        <v>1er Trim.</v>
      </c>
      <c r="G63" s="84" t="str">
        <f t="shared" si="8"/>
        <v>2º Trim.</v>
      </c>
      <c r="H63" s="84" t="str">
        <f t="shared" si="8"/>
        <v>3er Trim.</v>
      </c>
      <c r="I63" s="84" t="str">
        <f t="shared" si="8"/>
        <v>4º Trim.</v>
      </c>
    </row>
    <row r="64" spans="1:9" ht="15">
      <c r="A64" s="41" t="str">
        <f>HLOOKUP(INDICE!$F$2,Nombres!$C$3:$D$636,33,FALSE)</f>
        <v>Margen de intereses</v>
      </c>
      <c r="B64" s="41">
        <v>230.339720837103</v>
      </c>
      <c r="C64" s="41">
        <v>260.14658214324885</v>
      </c>
      <c r="D64" s="41">
        <v>284.596307983458</v>
      </c>
      <c r="E64" s="42">
        <v>302.1271937360796</v>
      </c>
      <c r="F64" s="50">
        <v>307.6672849397776</v>
      </c>
      <c r="G64" s="50">
        <v>318.42580676604155</v>
      </c>
      <c r="H64" s="50">
        <v>333.87575376851794</v>
      </c>
      <c r="I64" s="50">
        <v>344.0381545256631</v>
      </c>
    </row>
    <row r="65" spans="1:9" ht="15">
      <c r="A65" s="87" t="str">
        <f>HLOOKUP(INDICE!$F$2,Nombres!$C$3:$D$636,34,FALSE)</f>
        <v>Comisiones netas</v>
      </c>
      <c r="B65" s="44">
        <v>67.04748815514144</v>
      </c>
      <c r="C65" s="44">
        <v>74.87431450867646</v>
      </c>
      <c r="D65" s="44">
        <v>69.68061176580711</v>
      </c>
      <c r="E65" s="45">
        <v>66.44099230450371</v>
      </c>
      <c r="F65" s="44">
        <v>74.27020479583176</v>
      </c>
      <c r="G65" s="44">
        <v>74.07231019053017</v>
      </c>
      <c r="H65" s="44">
        <v>67.67744704546148</v>
      </c>
      <c r="I65" s="44">
        <v>71.9547583481766</v>
      </c>
    </row>
    <row r="66" spans="1:9" ht="15">
      <c r="A66" s="87" t="str">
        <f>HLOOKUP(INDICE!$F$2,Nombres!$C$3:$D$636,35,FALSE)</f>
        <v>Resultados de operaciones financieras</v>
      </c>
      <c r="B66" s="44">
        <v>35.050443271712744</v>
      </c>
      <c r="C66" s="44">
        <v>41.08300145375431</v>
      </c>
      <c r="D66" s="44">
        <v>43.97261322500688</v>
      </c>
      <c r="E66" s="45">
        <v>41.35264414852964</v>
      </c>
      <c r="F66" s="44">
        <v>47.95957439020686</v>
      </c>
      <c r="G66" s="44">
        <v>45.4598715315758</v>
      </c>
      <c r="H66" s="44">
        <v>49.39642011515362</v>
      </c>
      <c r="I66" s="44">
        <v>50.133251733063716</v>
      </c>
    </row>
    <row r="67" spans="1:9" ht="15">
      <c r="A67" s="87" t="str">
        <f>HLOOKUP(INDICE!$F$2,Nombres!$C$3:$D$636,36,FALSE)</f>
        <v>Otros ingresos y cargas de explotación</v>
      </c>
      <c r="B67" s="44">
        <v>-8.954793916982021</v>
      </c>
      <c r="C67" s="44">
        <v>-8.741991994332784</v>
      </c>
      <c r="D67" s="44">
        <v>-8.056768605072977</v>
      </c>
      <c r="E67" s="45">
        <v>-10.37458620044877</v>
      </c>
      <c r="F67" s="44">
        <v>-13.116628260989453</v>
      </c>
      <c r="G67" s="44">
        <v>-9.014862673465732</v>
      </c>
      <c r="H67" s="44">
        <v>-10.191757851325288</v>
      </c>
      <c r="I67" s="44">
        <v>-10.362751214219527</v>
      </c>
    </row>
    <row r="68" spans="1:9" ht="15">
      <c r="A68" s="41" t="str">
        <f>HLOOKUP(INDICE!$F$2,Nombres!$C$3:$D$636,37,FALSE)</f>
        <v>Margen bruto</v>
      </c>
      <c r="B68" s="41">
        <f aca="true" t="shared" si="9" ref="B68:I68">+SUM(B64:B67)</f>
        <v>323.4828583469752</v>
      </c>
      <c r="C68" s="41">
        <f t="shared" si="9"/>
        <v>367.36190611134685</v>
      </c>
      <c r="D68" s="41">
        <f t="shared" si="9"/>
        <v>390.19276436919904</v>
      </c>
      <c r="E68" s="42">
        <f t="shared" si="9"/>
        <v>399.5462439886642</v>
      </c>
      <c r="F68" s="50">
        <f t="shared" si="9"/>
        <v>416.78043586482676</v>
      </c>
      <c r="G68" s="50">
        <f t="shared" si="9"/>
        <v>428.94312581468176</v>
      </c>
      <c r="H68" s="50">
        <f t="shared" si="9"/>
        <v>440.7578630778077</v>
      </c>
      <c r="I68" s="50">
        <f t="shared" si="9"/>
        <v>455.7634133926839</v>
      </c>
    </row>
    <row r="69" spans="1:9" ht="15">
      <c r="A69" s="87" t="str">
        <f>HLOOKUP(INDICE!$F$2,Nombres!$C$3:$D$636,38,FALSE)</f>
        <v>Gastos de explotación</v>
      </c>
      <c r="B69" s="44">
        <v>-125.62859843033227</v>
      </c>
      <c r="C69" s="44">
        <v>-129.5412817844645</v>
      </c>
      <c r="D69" s="44">
        <v>-144.0760786048539</v>
      </c>
      <c r="E69" s="45">
        <v>-151.54158754810845</v>
      </c>
      <c r="F69" s="44">
        <v>-155.573895867134</v>
      </c>
      <c r="G69" s="44">
        <v>-154.2812479106187</v>
      </c>
      <c r="H69" s="44">
        <v>-161.20150496038036</v>
      </c>
      <c r="I69" s="44">
        <v>-162.65541085186692</v>
      </c>
    </row>
    <row r="70" spans="1:9" ht="15">
      <c r="A70" s="87" t="str">
        <f>HLOOKUP(INDICE!$F$2,Nombres!$C$3:$D$636,39,FALSE)</f>
        <v>  Gastos de administración</v>
      </c>
      <c r="B70" s="44">
        <v>-108.21831715333302</v>
      </c>
      <c r="C70" s="44">
        <v>-111.89692016427723</v>
      </c>
      <c r="D70" s="44">
        <v>-126.67393698439201</v>
      </c>
      <c r="E70" s="45">
        <v>-134.17337991844306</v>
      </c>
      <c r="F70" s="44">
        <v>-136.00271625999432</v>
      </c>
      <c r="G70" s="44">
        <v>-134.81610786100433</v>
      </c>
      <c r="H70" s="44">
        <v>-142.36622249380213</v>
      </c>
      <c r="I70" s="44">
        <v>-142.71601297519922</v>
      </c>
    </row>
    <row r="71" spans="1:9" ht="15">
      <c r="A71" s="88" t="str">
        <f>HLOOKUP(INDICE!$F$2,Nombres!$C$3:$D$636,40,FALSE)</f>
        <v>  Gastos de personal</v>
      </c>
      <c r="B71" s="44">
        <v>-56.57576093135111</v>
      </c>
      <c r="C71" s="44">
        <v>-58.44773270577966</v>
      </c>
      <c r="D71" s="44">
        <v>-65.35167049974561</v>
      </c>
      <c r="E71" s="45">
        <v>-71.30467975280617</v>
      </c>
      <c r="F71" s="44">
        <v>-69.12423613067398</v>
      </c>
      <c r="G71" s="44">
        <v>-69.66240224143678</v>
      </c>
      <c r="H71" s="44">
        <v>-70.55024789933385</v>
      </c>
      <c r="I71" s="44">
        <v>-70.2160174585554</v>
      </c>
    </row>
    <row r="72" spans="1:9" ht="15">
      <c r="A72" s="88" t="str">
        <f>HLOOKUP(INDICE!$F$2,Nombres!$C$3:$D$636,41,FALSE)</f>
        <v>  Otros gastos de administración</v>
      </c>
      <c r="B72" s="44">
        <v>-51.64255622198192</v>
      </c>
      <c r="C72" s="44">
        <v>-53.44918745849758</v>
      </c>
      <c r="D72" s="44">
        <v>-61.32226648464642</v>
      </c>
      <c r="E72" s="45">
        <v>-62.86870016563692</v>
      </c>
      <c r="F72" s="44">
        <v>-66.87848012932035</v>
      </c>
      <c r="G72" s="44">
        <v>-65.15370561956756</v>
      </c>
      <c r="H72" s="44">
        <v>-71.81597459446826</v>
      </c>
      <c r="I72" s="44">
        <v>-72.49999551664384</v>
      </c>
    </row>
    <row r="73" spans="1:9" ht="15">
      <c r="A73" s="87" t="str">
        <f>HLOOKUP(INDICE!$F$2,Nombres!$C$3:$D$636,42,FALSE)</f>
        <v>  Amortización</v>
      </c>
      <c r="B73" s="44">
        <v>-17.410281276999232</v>
      </c>
      <c r="C73" s="44">
        <v>-17.644361620187258</v>
      </c>
      <c r="D73" s="44">
        <v>-17.402141620461915</v>
      </c>
      <c r="E73" s="45">
        <v>-17.368207629665356</v>
      </c>
      <c r="F73" s="44">
        <v>-19.571179607139698</v>
      </c>
      <c r="G73" s="44">
        <v>-19.465140049614362</v>
      </c>
      <c r="H73" s="44">
        <v>-18.835282466578235</v>
      </c>
      <c r="I73" s="44">
        <v>-19.939397876667705</v>
      </c>
    </row>
    <row r="74" spans="1:9" ht="15">
      <c r="A74" s="41" t="str">
        <f>HLOOKUP(INDICE!$F$2,Nombres!$C$3:$D$636,43,FALSE)</f>
        <v>Margen neto</v>
      </c>
      <c r="B74" s="41">
        <f aca="true" t="shared" si="10" ref="B74:I74">+B68+B69</f>
        <v>197.85425991664295</v>
      </c>
      <c r="C74" s="41">
        <f t="shared" si="10"/>
        <v>237.82062432688235</v>
      </c>
      <c r="D74" s="41">
        <f t="shared" si="10"/>
        <v>246.11668576434514</v>
      </c>
      <c r="E74" s="42">
        <f t="shared" si="10"/>
        <v>248.00465644055572</v>
      </c>
      <c r="F74" s="50">
        <f t="shared" si="10"/>
        <v>261.20653999769274</v>
      </c>
      <c r="G74" s="50">
        <f t="shared" si="10"/>
        <v>274.6618779040631</v>
      </c>
      <c r="H74" s="50">
        <f t="shared" si="10"/>
        <v>279.55635811742735</v>
      </c>
      <c r="I74" s="50">
        <f t="shared" si="10"/>
        <v>293.108002540817</v>
      </c>
    </row>
    <row r="75" spans="1:9" ht="15">
      <c r="A75" s="87" t="str">
        <f>HLOOKUP(INDICE!$F$2,Nombres!$C$3:$D$636,44,FALSE)</f>
        <v>Deterioro de activos financieros no valorados a valor razonable con cambios en resultados</v>
      </c>
      <c r="B75" s="44">
        <v>-32.54148674747198</v>
      </c>
      <c r="C75" s="44">
        <v>-43.28160987733817</v>
      </c>
      <c r="D75" s="44">
        <v>-87.12597363599943</v>
      </c>
      <c r="E75" s="45">
        <v>-122.70896423815739</v>
      </c>
      <c r="F75" s="44">
        <v>-93.15468466500813</v>
      </c>
      <c r="G75" s="44">
        <v>-114.87771583074849</v>
      </c>
      <c r="H75" s="44">
        <v>-166.9176847059005</v>
      </c>
      <c r="I75" s="44">
        <v>-173.8069147983428</v>
      </c>
    </row>
    <row r="76" spans="1:9" ht="15">
      <c r="A76" s="87" t="str">
        <f>HLOOKUP(INDICE!$F$2,Nombres!$C$3:$D$636,45,FALSE)</f>
        <v>Provisiones o reversión de provisiones y otros resultados</v>
      </c>
      <c r="B76" s="44">
        <v>-9.550161566301586</v>
      </c>
      <c r="C76" s="44">
        <v>-8.284441829756648</v>
      </c>
      <c r="D76" s="44">
        <v>-11.377695309692175</v>
      </c>
      <c r="E76" s="45">
        <v>-9.093726505186435</v>
      </c>
      <c r="F76" s="44">
        <v>2.112711521238326</v>
      </c>
      <c r="G76" s="44">
        <v>-1.1910680500974316</v>
      </c>
      <c r="H76" s="44">
        <v>6.150720496842017</v>
      </c>
      <c r="I76" s="44">
        <v>-19.716363967982918</v>
      </c>
    </row>
    <row r="77" spans="1:9" ht="15">
      <c r="A77" s="89" t="str">
        <f>HLOOKUP(INDICE!$F$2,Nombres!$C$3:$D$636,46,FALSE)</f>
        <v>Resultado antes de impuestos</v>
      </c>
      <c r="B77" s="41">
        <f aca="true" t="shared" si="11" ref="B77:I77">+B74+B75+B76</f>
        <v>155.76261160286936</v>
      </c>
      <c r="C77" s="41">
        <f t="shared" si="11"/>
        <v>186.25457261978755</v>
      </c>
      <c r="D77" s="41">
        <f t="shared" si="11"/>
        <v>147.61301681865353</v>
      </c>
      <c r="E77" s="42">
        <f t="shared" si="11"/>
        <v>116.20196569721189</v>
      </c>
      <c r="F77" s="50">
        <f t="shared" si="11"/>
        <v>170.16456685392296</v>
      </c>
      <c r="G77" s="50">
        <f t="shared" si="11"/>
        <v>158.59309402321716</v>
      </c>
      <c r="H77" s="50">
        <f t="shared" si="11"/>
        <v>118.78939390836885</v>
      </c>
      <c r="I77" s="50">
        <f t="shared" si="11"/>
        <v>99.58472377449127</v>
      </c>
    </row>
    <row r="78" spans="1:9" ht="15">
      <c r="A78" s="43" t="str">
        <f>HLOOKUP(INDICE!$F$2,Nombres!$C$3:$D$636,47,FALSE)</f>
        <v>Impuesto sobre beneficios</v>
      </c>
      <c r="B78" s="44">
        <v>-39.62361223145133</v>
      </c>
      <c r="C78" s="44">
        <v>-50.069992238263374</v>
      </c>
      <c r="D78" s="44">
        <v>-38.12018477099039</v>
      </c>
      <c r="E78" s="45">
        <v>-37.70601481271325</v>
      </c>
      <c r="F78" s="44">
        <v>-46.932401462202264</v>
      </c>
      <c r="G78" s="44">
        <v>-40.9704993629155</v>
      </c>
      <c r="H78" s="44">
        <v>-25.549589348336283</v>
      </c>
      <c r="I78" s="44">
        <v>4.586422513454053</v>
      </c>
    </row>
    <row r="79" spans="1:9" ht="15">
      <c r="A79" s="89" t="str">
        <f>HLOOKUP(INDICE!$F$2,Nombres!$C$3:$D$636,48,FALSE)</f>
        <v>Resultado del ejercicio</v>
      </c>
      <c r="B79" s="41">
        <f aca="true" t="shared" si="12" ref="B79:I79">+B77+B78</f>
        <v>116.13899937141802</v>
      </c>
      <c r="C79" s="41">
        <f t="shared" si="12"/>
        <v>136.18458038152417</v>
      </c>
      <c r="D79" s="41">
        <f t="shared" si="12"/>
        <v>109.49283204766314</v>
      </c>
      <c r="E79" s="42">
        <f t="shared" si="12"/>
        <v>78.49595088449864</v>
      </c>
      <c r="F79" s="50">
        <f t="shared" si="12"/>
        <v>123.2321653917207</v>
      </c>
      <c r="G79" s="50">
        <f t="shared" si="12"/>
        <v>117.62259466030167</v>
      </c>
      <c r="H79" s="50">
        <f t="shared" si="12"/>
        <v>93.23980456003257</v>
      </c>
      <c r="I79" s="50">
        <f t="shared" si="12"/>
        <v>104.17114628794532</v>
      </c>
    </row>
    <row r="80" spans="1:9" ht="15">
      <c r="A80" s="87" t="str">
        <f>HLOOKUP(INDICE!$F$2,Nombres!$C$3:$D$636,49,FALSE)</f>
        <v>Minoritarios</v>
      </c>
      <c r="B80" s="44">
        <v>-62.65435817198996</v>
      </c>
      <c r="C80" s="44">
        <v>-69.80456999484417</v>
      </c>
      <c r="D80" s="44">
        <v>-60.55976329200094</v>
      </c>
      <c r="E80" s="45">
        <v>-42.25653420208145</v>
      </c>
      <c r="F80" s="44">
        <v>-65.34601594934506</v>
      </c>
      <c r="G80" s="44">
        <v>-63.96177389848137</v>
      </c>
      <c r="H80" s="44">
        <v>-50.203498501785866</v>
      </c>
      <c r="I80" s="44">
        <v>-55.7581869603877</v>
      </c>
    </row>
    <row r="81" spans="1:9" ht="15">
      <c r="A81" s="90" t="str">
        <f>HLOOKUP(INDICE!$F$2,Nombres!$C$3:$D$636,50,FALSE)</f>
        <v>Resultado atribuido</v>
      </c>
      <c r="B81" s="47">
        <f aca="true" t="shared" si="13" ref="B81:I81">+B79+B80</f>
        <v>53.48464119942806</v>
      </c>
      <c r="C81" s="47">
        <f t="shared" si="13"/>
        <v>66.38001038668</v>
      </c>
      <c r="D81" s="47">
        <f t="shared" si="13"/>
        <v>48.933068755662205</v>
      </c>
      <c r="E81" s="47">
        <f t="shared" si="13"/>
        <v>36.23941668241719</v>
      </c>
      <c r="F81" s="51">
        <f t="shared" si="13"/>
        <v>57.88614944237564</v>
      </c>
      <c r="G81" s="51">
        <f t="shared" si="13"/>
        <v>53.660820761820304</v>
      </c>
      <c r="H81" s="51">
        <f t="shared" si="13"/>
        <v>43.0363060582467</v>
      </c>
      <c r="I81" s="51">
        <f t="shared" si="13"/>
        <v>48.41295932755762</v>
      </c>
    </row>
    <row r="82" spans="1:9" ht="15">
      <c r="A82" s="91"/>
      <c r="B82" s="63">
        <v>0</v>
      </c>
      <c r="C82" s="63">
        <v>0</v>
      </c>
      <c r="D82" s="63">
        <v>5.684341886080802E-14</v>
      </c>
      <c r="E82" s="63">
        <v>0</v>
      </c>
      <c r="F82" s="63">
        <v>1.2079226507921703E-13</v>
      </c>
      <c r="G82" s="63">
        <v>0</v>
      </c>
      <c r="H82" s="63">
        <v>-6.394884621840902E-14</v>
      </c>
      <c r="I82" s="63">
        <v>7.815970093361102E-14</v>
      </c>
    </row>
    <row r="83" spans="1:9" ht="15">
      <c r="A83" s="89"/>
      <c r="B83" s="41"/>
      <c r="C83" s="41"/>
      <c r="D83" s="41"/>
      <c r="E83" s="41"/>
      <c r="F83" s="50"/>
      <c r="G83" s="50"/>
      <c r="H83" s="50"/>
      <c r="I83" s="50"/>
    </row>
    <row r="84" spans="1:9" ht="18">
      <c r="A84" s="92" t="str">
        <f>HLOOKUP(INDICE!$F$2,Nombres!$C$3:$D$636,51,FALSE)</f>
        <v>Balances</v>
      </c>
      <c r="B84" s="34"/>
      <c r="C84" s="34"/>
      <c r="D84" s="34"/>
      <c r="E84" s="34"/>
      <c r="F84" s="68"/>
      <c r="G84" s="68"/>
      <c r="H84" s="68"/>
      <c r="I84" s="68"/>
    </row>
    <row r="85" spans="1:9" ht="15">
      <c r="A85" s="83" t="str">
        <f>HLOOKUP(INDICE!$F$2,Nombres!$C$3:$D$636,73,FALSE)</f>
        <v>(Millones de euros constantes)</v>
      </c>
      <c r="B85" s="30"/>
      <c r="C85" s="52"/>
      <c r="D85" s="52"/>
      <c r="E85" s="52"/>
      <c r="F85" s="69"/>
      <c r="G85" s="44"/>
      <c r="H85" s="44"/>
      <c r="I85" s="44"/>
    </row>
    <row r="86" spans="1:9" ht="15.75">
      <c r="A86" s="30"/>
      <c r="B86" s="53">
        <f aca="true" t="shared" si="14" ref="B86:I86">+B$30</f>
        <v>44651</v>
      </c>
      <c r="C86" s="53">
        <f t="shared" si="14"/>
        <v>44742</v>
      </c>
      <c r="D86" s="53">
        <f t="shared" si="14"/>
        <v>44834</v>
      </c>
      <c r="E86" s="67">
        <f t="shared" si="14"/>
        <v>44926</v>
      </c>
      <c r="F86" s="53">
        <f t="shared" si="14"/>
        <v>45016</v>
      </c>
      <c r="G86" s="53">
        <f t="shared" si="14"/>
        <v>45107</v>
      </c>
      <c r="H86" s="53">
        <f t="shared" si="14"/>
        <v>45199</v>
      </c>
      <c r="I86" s="53">
        <f t="shared" si="14"/>
        <v>45291</v>
      </c>
    </row>
    <row r="87" spans="1:9" ht="15">
      <c r="A87" s="87" t="str">
        <f>HLOOKUP(INDICE!$F$2,Nombres!$C$3:$D$636,52,FALSE)</f>
        <v>Efectivo, saldos en efectivo en bancos centrales y otros depósitos a la vista</v>
      </c>
      <c r="B87" s="44">
        <v>3482.2419992416553</v>
      </c>
      <c r="C87" s="44">
        <v>3565.5840418272064</v>
      </c>
      <c r="D87" s="44">
        <v>4133.530482330527</v>
      </c>
      <c r="E87" s="45">
        <v>2879.069963328926</v>
      </c>
      <c r="F87" s="44">
        <v>3295.553944407856</v>
      </c>
      <c r="G87" s="44">
        <v>3447.1357455354655</v>
      </c>
      <c r="H87" s="44">
        <v>2648.6418952024214</v>
      </c>
      <c r="I87" s="44">
        <v>2078.862</v>
      </c>
    </row>
    <row r="88" spans="1:9" ht="15">
      <c r="A88" s="87" t="str">
        <f>HLOOKUP(INDICE!$F$2,Nombres!$C$3:$D$636,53,FALSE)</f>
        <v>Activos financieros a valor razonable</v>
      </c>
      <c r="B88" s="58">
        <v>2923.832823650156</v>
      </c>
      <c r="C88" s="58">
        <v>2856.059571192629</v>
      </c>
      <c r="D88" s="58">
        <v>3153.7438596315324</v>
      </c>
      <c r="E88" s="64">
        <v>3149.543996569236</v>
      </c>
      <c r="F88" s="44">
        <v>3196.5377379059664</v>
      </c>
      <c r="G88" s="44">
        <v>2912.583687337842</v>
      </c>
      <c r="H88" s="44">
        <v>2951.5462560639817</v>
      </c>
      <c r="I88" s="44">
        <v>3976.6839999999997</v>
      </c>
    </row>
    <row r="89" spans="1:9" ht="15">
      <c r="A89" s="43" t="str">
        <f>HLOOKUP(INDICE!$F$2,Nombres!$C$3:$D$636,54,FALSE)</f>
        <v>Activos financieros a coste amortizado</v>
      </c>
      <c r="B89" s="44">
        <v>17328.396857700453</v>
      </c>
      <c r="C89" s="44">
        <v>17251.200362434138</v>
      </c>
      <c r="D89" s="44">
        <v>17941.921173766612</v>
      </c>
      <c r="E89" s="45">
        <v>17105.648823222487</v>
      </c>
      <c r="F89" s="44">
        <v>17568.646183041008</v>
      </c>
      <c r="G89" s="44">
        <v>17158.493579395166</v>
      </c>
      <c r="H89" s="44">
        <v>17400.3144651012</v>
      </c>
      <c r="I89" s="44">
        <v>17748.75</v>
      </c>
    </row>
    <row r="90" spans="1:9" ht="15">
      <c r="A90" s="87" t="str">
        <f>HLOOKUP(INDICE!$F$2,Nombres!$C$3:$D$636,55,FALSE)</f>
        <v>    de los que préstamos y anticipos a la clientela</v>
      </c>
      <c r="B90" s="44">
        <v>17006.161569290067</v>
      </c>
      <c r="C90" s="44">
        <v>16902.33244863453</v>
      </c>
      <c r="D90" s="44">
        <v>17037.037915076104</v>
      </c>
      <c r="E90" s="45">
        <v>16804.249660298927</v>
      </c>
      <c r="F90" s="44">
        <v>17041.32147537518</v>
      </c>
      <c r="G90" s="44">
        <v>16825.904381611163</v>
      </c>
      <c r="H90" s="44">
        <v>16908.704936894486</v>
      </c>
      <c r="I90" s="44">
        <v>17288.597999999998</v>
      </c>
    </row>
    <row r="91" spans="1:9" ht="15" customHeight="1" hidden="1">
      <c r="A91" s="87"/>
      <c r="B91" s="44"/>
      <c r="C91" s="44"/>
      <c r="D91" s="44"/>
      <c r="E91" s="45"/>
      <c r="F91" s="44"/>
      <c r="G91" s="44"/>
      <c r="H91" s="44"/>
      <c r="I91" s="44"/>
    </row>
    <row r="92" spans="1:9" ht="15">
      <c r="A92" s="43" t="str">
        <f>HLOOKUP(INDICE!$F$2,Nombres!$C$3:$D$636,56,FALSE)</f>
        <v>Activos tangibles</v>
      </c>
      <c r="B92" s="44">
        <v>289.72155333547335</v>
      </c>
      <c r="C92" s="44">
        <v>285.6850325332481</v>
      </c>
      <c r="D92" s="44">
        <v>297.18328608280063</v>
      </c>
      <c r="E92" s="45">
        <v>306.7314568055902</v>
      </c>
      <c r="F92" s="44">
        <v>305.81063940969494</v>
      </c>
      <c r="G92" s="44">
        <v>307.9504718923281</v>
      </c>
      <c r="H92" s="44">
        <v>313.1911202458158</v>
      </c>
      <c r="I92" s="44">
        <v>346.73400000000004</v>
      </c>
    </row>
    <row r="93" spans="1:9" ht="15">
      <c r="A93" s="87" t="str">
        <f>HLOOKUP(INDICE!$F$2,Nombres!$C$3:$D$636,57,FALSE)</f>
        <v>Otros activos</v>
      </c>
      <c r="B93" s="58">
        <f aca="true" t="shared" si="15" ref="B93:I93">+B94-B92-B89-B88-B87</f>
        <v>444.63441856209965</v>
      </c>
      <c r="C93" s="58">
        <f t="shared" si="15"/>
        <v>450.0209427392756</v>
      </c>
      <c r="D93" s="58">
        <f t="shared" si="15"/>
        <v>442.8429228258983</v>
      </c>
      <c r="E93" s="64">
        <f t="shared" si="15"/>
        <v>501.9313238068489</v>
      </c>
      <c r="F93" s="44">
        <f t="shared" si="15"/>
        <v>537.5914968367133</v>
      </c>
      <c r="G93" s="44">
        <f t="shared" si="15"/>
        <v>533.609672313838</v>
      </c>
      <c r="H93" s="44">
        <f t="shared" si="15"/>
        <v>589.8592216930383</v>
      </c>
      <c r="I93" s="44">
        <f t="shared" si="15"/>
        <v>669.5240675600021</v>
      </c>
    </row>
    <row r="94" spans="1:9" ht="15">
      <c r="A94" s="90" t="str">
        <f>HLOOKUP(INDICE!$F$2,Nombres!$C$3:$D$636,58,FALSE)</f>
        <v>Total activo / pasivo</v>
      </c>
      <c r="B94" s="47">
        <v>24468.827652489836</v>
      </c>
      <c r="C94" s="47">
        <v>24408.549950726498</v>
      </c>
      <c r="D94" s="47">
        <v>25969.22172463737</v>
      </c>
      <c r="E94" s="47">
        <v>23942.92556373309</v>
      </c>
      <c r="F94" s="51">
        <v>24904.140001601238</v>
      </c>
      <c r="G94" s="51">
        <v>24359.77315647464</v>
      </c>
      <c r="H94" s="51">
        <v>23903.552958306456</v>
      </c>
      <c r="I94" s="51">
        <v>24820.554067560002</v>
      </c>
    </row>
    <row r="95" spans="1:9" ht="15">
      <c r="A95" s="87" t="str">
        <f>HLOOKUP(INDICE!$F$2,Nombres!$C$3:$D$636,59,FALSE)</f>
        <v>Pasivos financieros mantenidos para negociar y designados a valor razonable con cambios en resultados</v>
      </c>
      <c r="B95" s="58">
        <v>422.61734373224056</v>
      </c>
      <c r="C95" s="58">
        <v>392.1958861010107</v>
      </c>
      <c r="D95" s="58">
        <v>433.65567063479426</v>
      </c>
      <c r="E95" s="64">
        <v>372.55572829774417</v>
      </c>
      <c r="F95" s="44">
        <v>365.0848270611757</v>
      </c>
      <c r="G95" s="44">
        <v>349.42079622279124</v>
      </c>
      <c r="H95" s="44">
        <v>322.0503531952624</v>
      </c>
      <c r="I95" s="44">
        <v>351.536</v>
      </c>
    </row>
    <row r="96" spans="1:9" ht="15">
      <c r="A96" s="87" t="str">
        <f>HLOOKUP(INDICE!$F$2,Nombres!$C$3:$D$636,60,FALSE)</f>
        <v>Depósitos de bancos centrales y entidades de crédito</v>
      </c>
      <c r="B96" s="58">
        <v>4182.520077758542</v>
      </c>
      <c r="C96" s="58">
        <v>3832.8742398471854</v>
      </c>
      <c r="D96" s="58">
        <v>3664.5133398958833</v>
      </c>
      <c r="E96" s="64">
        <v>3062.0603704320647</v>
      </c>
      <c r="F96" s="44">
        <v>3033.0132526998273</v>
      </c>
      <c r="G96" s="44">
        <v>3155.4734837225574</v>
      </c>
      <c r="H96" s="44">
        <v>2777.352975797922</v>
      </c>
      <c r="I96" s="44">
        <v>2857.3320000000003</v>
      </c>
    </row>
    <row r="97" spans="1:9" ht="15">
      <c r="A97" s="87" t="str">
        <f>HLOOKUP(INDICE!$F$2,Nombres!$C$3:$D$636,61,FALSE)</f>
        <v>Depósitos de la clientela</v>
      </c>
      <c r="B97" s="58">
        <v>15018.28298557028</v>
      </c>
      <c r="C97" s="58">
        <v>15442.046682952556</v>
      </c>
      <c r="D97" s="58">
        <v>17162.62215750316</v>
      </c>
      <c r="E97" s="64">
        <v>16035.055887934053</v>
      </c>
      <c r="F97" s="44">
        <v>16375.856428201061</v>
      </c>
      <c r="G97" s="44">
        <v>16174.62463141151</v>
      </c>
      <c r="H97" s="44">
        <v>16318.415939808458</v>
      </c>
      <c r="I97" s="44">
        <v>16938.622</v>
      </c>
    </row>
    <row r="98" spans="1:9" ht="15">
      <c r="A98" s="43" t="str">
        <f>HLOOKUP(INDICE!$F$2,Nombres!$C$3:$D$636,62,FALSE)</f>
        <v>Valores representativos de deuda emitidos</v>
      </c>
      <c r="B98" s="44">
        <v>1376.6403033763308</v>
      </c>
      <c r="C98" s="44">
        <v>1585.3215427727591</v>
      </c>
      <c r="D98" s="44">
        <v>1045.9284495477602</v>
      </c>
      <c r="E98" s="45">
        <v>936.5292274797871</v>
      </c>
      <c r="F98" s="44">
        <v>934.528607687567</v>
      </c>
      <c r="G98" s="44">
        <v>982.845650853119</v>
      </c>
      <c r="H98" s="44">
        <v>855.6407822826409</v>
      </c>
      <c r="I98" s="44">
        <v>813.78500324</v>
      </c>
    </row>
    <row r="99" spans="1:9" ht="15" customHeight="1" hidden="1">
      <c r="A99" s="43"/>
      <c r="B99" s="44"/>
      <c r="C99" s="44"/>
      <c r="D99" s="44"/>
      <c r="E99" s="45"/>
      <c r="F99" s="44"/>
      <c r="G99" s="44"/>
      <c r="H99" s="44"/>
      <c r="I99" s="44"/>
    </row>
    <row r="100" spans="1:9" ht="15">
      <c r="A100" s="87" t="str">
        <f>HLOOKUP(INDICE!$F$2,Nombres!$C$3:$D$636,63,FALSE)</f>
        <v>Otros pasivos</v>
      </c>
      <c r="B100" s="58">
        <f aca="true" t="shared" si="16" ref="B100:I100">+B94-B95-B96-B97-B98-B101</f>
        <v>1107.2450210361158</v>
      </c>
      <c r="C100" s="58">
        <f t="shared" si="16"/>
        <v>790.0935021258424</v>
      </c>
      <c r="D100" s="58">
        <f t="shared" si="16"/>
        <v>1227.6170355289955</v>
      </c>
      <c r="E100" s="64">
        <f t="shared" si="16"/>
        <v>1135.7260917688936</v>
      </c>
      <c r="F100" s="44">
        <f t="shared" si="16"/>
        <v>1913.2623181236381</v>
      </c>
      <c r="G100" s="44">
        <f t="shared" si="16"/>
        <v>1366.8606080923678</v>
      </c>
      <c r="H100" s="44">
        <f t="shared" si="16"/>
        <v>1330.0663295343224</v>
      </c>
      <c r="I100" s="44">
        <f t="shared" si="16"/>
        <v>1484.1762140800042</v>
      </c>
    </row>
    <row r="101" spans="1:9" ht="15">
      <c r="A101" s="43" t="str">
        <f>HLOOKUP(INDICE!$F$2,Nombres!$C$3:$D$636,282,FALSE)</f>
        <v>Dotación de capital regulatorio</v>
      </c>
      <c r="B101" s="58">
        <v>2361.5219210163277</v>
      </c>
      <c r="C101" s="58">
        <v>2366.0180969271464</v>
      </c>
      <c r="D101" s="58">
        <v>2434.8850715267768</v>
      </c>
      <c r="E101" s="64">
        <v>2400.9982578205495</v>
      </c>
      <c r="F101" s="44">
        <v>2282.3945678279683</v>
      </c>
      <c r="G101" s="44">
        <v>2330.547986172291</v>
      </c>
      <c r="H101" s="44">
        <v>2300.0265776878487</v>
      </c>
      <c r="I101" s="44">
        <v>2375.10285024</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92" t="str">
        <f>HLOOKUP(INDICE!$F$2,Nombres!$C$3:$D$636,65,FALSE)</f>
        <v>Indicadores relevantes y de gestión</v>
      </c>
      <c r="B104" s="34"/>
      <c r="C104" s="34"/>
      <c r="D104" s="34"/>
      <c r="E104" s="34"/>
      <c r="F104" s="68"/>
      <c r="G104" s="68"/>
      <c r="H104" s="68"/>
      <c r="I104" s="68"/>
    </row>
    <row r="105" spans="1:9" ht="15">
      <c r="A105" s="83" t="str">
        <f>HLOOKUP(INDICE!$F$2,Nombres!$C$3:$D$636,73,FALSE)</f>
        <v>(Millones de euros constantes)</v>
      </c>
      <c r="B105" s="30"/>
      <c r="C105" s="30"/>
      <c r="D105" s="30"/>
      <c r="E105" s="30"/>
      <c r="F105" s="69"/>
      <c r="G105" s="44"/>
      <c r="H105" s="44"/>
      <c r="I105" s="44"/>
    </row>
    <row r="106" spans="1:9" ht="15.75">
      <c r="A106" s="30"/>
      <c r="B106" s="53">
        <f aca="true" t="shared" si="17" ref="B106:I106">+B$30</f>
        <v>44651</v>
      </c>
      <c r="C106" s="53">
        <f t="shared" si="17"/>
        <v>44742</v>
      </c>
      <c r="D106" s="53">
        <f t="shared" si="17"/>
        <v>44834</v>
      </c>
      <c r="E106" s="67">
        <f t="shared" si="17"/>
        <v>44926</v>
      </c>
      <c r="F106" s="53">
        <f t="shared" si="17"/>
        <v>45016</v>
      </c>
      <c r="G106" s="53">
        <f t="shared" si="17"/>
        <v>45107</v>
      </c>
      <c r="H106" s="53">
        <f t="shared" si="17"/>
        <v>45199</v>
      </c>
      <c r="I106" s="53">
        <f t="shared" si="17"/>
        <v>45291</v>
      </c>
    </row>
    <row r="107" spans="1:9" ht="15">
      <c r="A107" s="87" t="str">
        <f>HLOOKUP(INDICE!$F$2,Nombres!$C$3:$D$636,66,FALSE)</f>
        <v>Préstamos y anticipos a la clientela bruto (*)</v>
      </c>
      <c r="B107" s="44">
        <v>17856.33939613232</v>
      </c>
      <c r="C107" s="44">
        <v>17787.362266753804</v>
      </c>
      <c r="D107" s="44">
        <v>17926.331119582523</v>
      </c>
      <c r="E107" s="45">
        <v>17675.126737948438</v>
      </c>
      <c r="F107" s="44">
        <v>17929.588185177134</v>
      </c>
      <c r="G107" s="44">
        <v>17662.759896984193</v>
      </c>
      <c r="H107" s="44">
        <v>17848.119575388497</v>
      </c>
      <c r="I107" s="44">
        <v>18255.029</v>
      </c>
    </row>
    <row r="108" spans="1:9" ht="15">
      <c r="A108" s="87" t="str">
        <f>HLOOKUP(INDICE!$F$2,Nombres!$C$3:$D$636,67,FALSE)</f>
        <v>Depósitos de clientes en gestión (**)</v>
      </c>
      <c r="B108" s="44">
        <v>15018.28298557028</v>
      </c>
      <c r="C108" s="44">
        <v>15442.046682952556</v>
      </c>
      <c r="D108" s="44">
        <v>17162.62215750316</v>
      </c>
      <c r="E108" s="45">
        <v>16035.055887934051</v>
      </c>
      <c r="F108" s="44">
        <v>16375.856428201061</v>
      </c>
      <c r="G108" s="44">
        <v>16174.62463141151</v>
      </c>
      <c r="H108" s="44">
        <v>16318.415939808458</v>
      </c>
      <c r="I108" s="44">
        <v>16938.622000000003</v>
      </c>
    </row>
    <row r="109" spans="1:9" ht="15">
      <c r="A109" s="43" t="str">
        <f>HLOOKUP(INDICE!$F$2,Nombres!$C$3:$D$636,68,FALSE)</f>
        <v>Fondos de inversión y carteras gestionadas</v>
      </c>
      <c r="B109" s="44">
        <v>1543.9723100289077</v>
      </c>
      <c r="C109" s="44">
        <v>1382.0144513951936</v>
      </c>
      <c r="D109" s="44">
        <v>1430.0780513735938</v>
      </c>
      <c r="E109" s="45">
        <v>1436.0427756450772</v>
      </c>
      <c r="F109" s="44">
        <v>1442.3282851768288</v>
      </c>
      <c r="G109" s="44">
        <v>1409.423444730494</v>
      </c>
      <c r="H109" s="44">
        <v>1708.5293485869774</v>
      </c>
      <c r="I109" s="44">
        <v>1572.4242738</v>
      </c>
    </row>
    <row r="110" spans="1:9" ht="15">
      <c r="A110" s="87" t="str">
        <f>HLOOKUP(INDICE!$F$2,Nombres!$C$3:$D$636,69,FALSE)</f>
        <v>Fondos de pensiones</v>
      </c>
      <c r="B110" s="44">
        <v>0</v>
      </c>
      <c r="C110" s="44">
        <v>0</v>
      </c>
      <c r="D110" s="44">
        <v>0</v>
      </c>
      <c r="E110" s="45">
        <v>0</v>
      </c>
      <c r="F110" s="44">
        <v>0</v>
      </c>
      <c r="G110" s="44">
        <v>0</v>
      </c>
      <c r="H110" s="44">
        <v>0</v>
      </c>
      <c r="I110" s="44">
        <v>0</v>
      </c>
    </row>
    <row r="111" spans="1:9" ht="15">
      <c r="A111" s="87" t="str">
        <f>HLOOKUP(INDICE!$F$2,Nombres!$C$3:$D$636,70,FALSE)</f>
        <v>Otros recursos fuera de balance</v>
      </c>
      <c r="B111" s="44">
        <v>0</v>
      </c>
      <c r="C111" s="44">
        <v>0</v>
      </c>
      <c r="D111" s="44">
        <v>0</v>
      </c>
      <c r="E111" s="45">
        <v>0</v>
      </c>
      <c r="F111" s="44">
        <v>0</v>
      </c>
      <c r="G111" s="44">
        <v>0</v>
      </c>
      <c r="H111" s="44">
        <v>0</v>
      </c>
      <c r="I111" s="44">
        <v>0</v>
      </c>
    </row>
    <row r="112" spans="1:9" ht="15">
      <c r="A112" s="91" t="str">
        <f>HLOOKUP(INDICE!$F$2,Nombres!$C$3:$D$636,71,FALSE)</f>
        <v>(*) No incluye las adquisiciones temporales de activos.</v>
      </c>
      <c r="B112" s="58"/>
      <c r="C112" s="58"/>
      <c r="D112" s="58"/>
      <c r="E112" s="58"/>
      <c r="F112" s="58"/>
      <c r="G112" s="58"/>
      <c r="H112" s="58"/>
      <c r="I112" s="58"/>
    </row>
    <row r="113" spans="1:9" ht="15">
      <c r="A113" s="91"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92" t="str">
        <f>HLOOKUP(INDICE!$F$2,Nombres!$C$3:$D$636,31,FALSE)</f>
        <v>Cuenta de resultados  </v>
      </c>
      <c r="B115" s="34"/>
      <c r="C115" s="34"/>
      <c r="D115" s="34"/>
      <c r="E115" s="34"/>
      <c r="F115" s="34"/>
      <c r="G115" s="34"/>
      <c r="H115" s="34"/>
      <c r="I115" s="34"/>
    </row>
    <row r="116" spans="1:9" ht="15">
      <c r="A116" s="83" t="str">
        <f>HLOOKUP(INDICE!$F$2,Nombres!$C$3:$D$636,79,FALSE)</f>
        <v>(Millones de soles peruanos)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1">
        <f>+B$6</f>
        <v>2022</v>
      </c>
      <c r="C118" s="301"/>
      <c r="D118" s="301"/>
      <c r="E118" s="302"/>
      <c r="F118" s="301">
        <f>+F$6</f>
        <v>2023</v>
      </c>
      <c r="G118" s="301"/>
      <c r="H118" s="301"/>
      <c r="I118" s="301"/>
    </row>
    <row r="119" spans="1:9" ht="15.75">
      <c r="A119" s="38"/>
      <c r="B119" s="84" t="str">
        <f aca="true" t="shared" si="18" ref="B119:I119">+B$7</f>
        <v>1er Trim.</v>
      </c>
      <c r="C119" s="84" t="str">
        <f t="shared" si="18"/>
        <v>2º Trim.</v>
      </c>
      <c r="D119" s="84" t="str">
        <f t="shared" si="18"/>
        <v>3er Trim.</v>
      </c>
      <c r="E119" s="85" t="str">
        <f t="shared" si="18"/>
        <v>4º Trim.</v>
      </c>
      <c r="F119" s="84" t="str">
        <f t="shared" si="18"/>
        <v>1er Trim.</v>
      </c>
      <c r="G119" s="84" t="str">
        <f t="shared" si="18"/>
        <v>2º Trim.</v>
      </c>
      <c r="H119" s="84" t="str">
        <f t="shared" si="18"/>
        <v>3er Trim.</v>
      </c>
      <c r="I119" s="84" t="str">
        <f t="shared" si="18"/>
        <v>4º Trim.</v>
      </c>
    </row>
    <row r="120" spans="1:9" ht="15">
      <c r="A120" s="41" t="str">
        <f>HLOOKUP(INDICE!$F$2,Nombres!$C$3:$D$636,33,FALSE)</f>
        <v>Margen de intereses</v>
      </c>
      <c r="B120" s="41">
        <v>930.6625350120972</v>
      </c>
      <c r="C120" s="41">
        <v>1051.0939091716139</v>
      </c>
      <c r="D120" s="41">
        <v>1149.880361408794</v>
      </c>
      <c r="E120" s="42">
        <v>1220.711994425664</v>
      </c>
      <c r="F120" s="50">
        <v>1243.0961290642495</v>
      </c>
      <c r="G120" s="50">
        <v>1286.56476382436</v>
      </c>
      <c r="H120" s="50">
        <v>1348.9885906435995</v>
      </c>
      <c r="I120" s="50">
        <v>1390.048663201133</v>
      </c>
    </row>
    <row r="121" spans="1:9" ht="15">
      <c r="A121" s="87" t="str">
        <f>HLOOKUP(INDICE!$F$2,Nombres!$C$3:$D$636,34,FALSE)</f>
        <v>Comisiones netas</v>
      </c>
      <c r="B121" s="44">
        <v>270.89806771445194</v>
      </c>
      <c r="C121" s="44">
        <v>302.5215064718157</v>
      </c>
      <c r="D121" s="44">
        <v>281.5369166528658</v>
      </c>
      <c r="E121" s="45">
        <v>268.4475873379996</v>
      </c>
      <c r="F121" s="44">
        <v>300.0806670250271</v>
      </c>
      <c r="G121" s="44">
        <v>299.2810954428187</v>
      </c>
      <c r="H121" s="44">
        <v>273.44334794526935</v>
      </c>
      <c r="I121" s="44">
        <v>290.72535803694575</v>
      </c>
    </row>
    <row r="122" spans="1:9" ht="15">
      <c r="A122" s="87" t="str">
        <f>HLOOKUP(INDICE!$F$2,Nombres!$C$3:$D$636,35,FALSE)</f>
        <v>Resultados de operaciones financieras</v>
      </c>
      <c r="B122" s="44">
        <v>141.61749554094038</v>
      </c>
      <c r="C122" s="44">
        <v>165.99138932662055</v>
      </c>
      <c r="D122" s="44">
        <v>177.66655072067545</v>
      </c>
      <c r="E122" s="45">
        <v>167.0808512438058</v>
      </c>
      <c r="F122" s="44">
        <v>193.77543272988777</v>
      </c>
      <c r="G122" s="44">
        <v>183.6756557972076</v>
      </c>
      <c r="H122" s="44">
        <v>199.580851265347</v>
      </c>
      <c r="I122" s="44">
        <v>202.5579391028644</v>
      </c>
    </row>
    <row r="123" spans="1:9" ht="15">
      <c r="A123" s="87" t="str">
        <f>HLOOKUP(INDICE!$F$2,Nombres!$C$3:$D$636,36,FALSE)</f>
        <v>Otros ingresos y cargas de explotación</v>
      </c>
      <c r="B123" s="44">
        <v>-36.18086874900378</v>
      </c>
      <c r="C123" s="44">
        <v>-35.321065775949705</v>
      </c>
      <c r="D123" s="44">
        <v>-32.552495360996815</v>
      </c>
      <c r="E123" s="45">
        <v>-41.917384712988294</v>
      </c>
      <c r="F123" s="44">
        <v>-52.99630677601063</v>
      </c>
      <c r="G123" s="44">
        <v>-36.42357001208161</v>
      </c>
      <c r="H123" s="44">
        <v>-41.17868669664543</v>
      </c>
      <c r="I123" s="44">
        <v>-41.86956674114258</v>
      </c>
    </row>
    <row r="124" spans="1:9" ht="15">
      <c r="A124" s="41" t="str">
        <f>HLOOKUP(INDICE!$F$2,Nombres!$C$3:$D$636,37,FALSE)</f>
        <v>Margen bruto</v>
      </c>
      <c r="B124" s="41">
        <f aca="true" t="shared" si="19" ref="B124:I124">+SUM(B120:B123)</f>
        <v>1306.9972295184857</v>
      </c>
      <c r="C124" s="41">
        <f t="shared" si="19"/>
        <v>1484.2857391941002</v>
      </c>
      <c r="D124" s="41">
        <f t="shared" si="19"/>
        <v>1576.5313334213386</v>
      </c>
      <c r="E124" s="42">
        <f t="shared" si="19"/>
        <v>1614.323048294481</v>
      </c>
      <c r="F124" s="50">
        <f t="shared" si="19"/>
        <v>1683.9559220431538</v>
      </c>
      <c r="G124" s="50">
        <f t="shared" si="19"/>
        <v>1733.0979450523046</v>
      </c>
      <c r="H124" s="50">
        <f t="shared" si="19"/>
        <v>1780.8341031575706</v>
      </c>
      <c r="I124" s="50">
        <f t="shared" si="19"/>
        <v>1841.4623935998004</v>
      </c>
    </row>
    <row r="125" spans="1:9" ht="15">
      <c r="A125" s="87" t="str">
        <f>HLOOKUP(INDICE!$F$2,Nombres!$C$3:$D$636,38,FALSE)</f>
        <v>Gastos de explotación</v>
      </c>
      <c r="B125" s="44">
        <v>-507.58865844017606</v>
      </c>
      <c r="C125" s="44">
        <v>-523.397429050051</v>
      </c>
      <c r="D125" s="44">
        <v>-582.1236913099403</v>
      </c>
      <c r="E125" s="45">
        <v>-612.2872664546642</v>
      </c>
      <c r="F125" s="44">
        <v>-628.5793686960691</v>
      </c>
      <c r="G125" s="44">
        <v>-623.3565655263999</v>
      </c>
      <c r="H125" s="44">
        <v>-651.3171098279237</v>
      </c>
      <c r="I125" s="44">
        <v>-657.191458106729</v>
      </c>
    </row>
    <row r="126" spans="1:9" ht="15">
      <c r="A126" s="87" t="str">
        <f>HLOOKUP(INDICE!$F$2,Nombres!$C$3:$D$636,39,FALSE)</f>
        <v>  Gastos de administración</v>
      </c>
      <c r="B126" s="44">
        <v>-437.24431466116874</v>
      </c>
      <c r="C126" s="44">
        <v>-452.10730915915036</v>
      </c>
      <c r="D126" s="44">
        <v>-511.8122349259495</v>
      </c>
      <c r="E126" s="45">
        <v>-542.1129166616817</v>
      </c>
      <c r="F126" s="44">
        <v>-549.5041507520532</v>
      </c>
      <c r="G126" s="44">
        <v>-544.7097888562531</v>
      </c>
      <c r="H126" s="44">
        <v>-575.2152040675561</v>
      </c>
      <c r="I126" s="44">
        <v>-576.6284943804776</v>
      </c>
    </row>
    <row r="127" spans="1:9" ht="15">
      <c r="A127" s="88" t="str">
        <f>HLOOKUP(INDICE!$F$2,Nombres!$C$3:$D$636,40,FALSE)</f>
        <v>  Gastos de personal</v>
      </c>
      <c r="B127" s="44">
        <v>-228.58819528502391</v>
      </c>
      <c r="C127" s="44">
        <v>-236.15169319467384</v>
      </c>
      <c r="D127" s="44">
        <v>-264.0463013219543</v>
      </c>
      <c r="E127" s="45">
        <v>-288.09878633092023</v>
      </c>
      <c r="F127" s="44">
        <v>-279.28894154405606</v>
      </c>
      <c r="G127" s="44">
        <v>-281.4633430544857</v>
      </c>
      <c r="H127" s="44">
        <v>-285.0505866600394</v>
      </c>
      <c r="I127" s="44">
        <v>-283.70016499519306</v>
      </c>
    </row>
    <row r="128" spans="1:9" ht="15">
      <c r="A128" s="88" t="str">
        <f>HLOOKUP(INDICE!$F$2,Nombres!$C$3:$D$636,41,FALSE)</f>
        <v>  Otros gastos de administración</v>
      </c>
      <c r="B128" s="44">
        <v>-208.6561193761449</v>
      </c>
      <c r="C128" s="44">
        <v>-215.9556159644765</v>
      </c>
      <c r="D128" s="44">
        <v>-247.76593360399517</v>
      </c>
      <c r="E128" s="45">
        <v>-254.01413033076142</v>
      </c>
      <c r="F128" s="44">
        <v>-270.21520920799713</v>
      </c>
      <c r="G128" s="44">
        <v>-263.2464458017675</v>
      </c>
      <c r="H128" s="44">
        <v>-290.16461740751674</v>
      </c>
      <c r="I128" s="44">
        <v>-292.92832938528454</v>
      </c>
    </row>
    <row r="129" spans="1:9" ht="15">
      <c r="A129" s="87" t="str">
        <f>HLOOKUP(INDICE!$F$2,Nombres!$C$3:$D$636,42,FALSE)</f>
        <v>  Amortización</v>
      </c>
      <c r="B129" s="44">
        <v>-70.34434377900736</v>
      </c>
      <c r="C129" s="44">
        <v>-71.2901198909005</v>
      </c>
      <c r="D129" s="44">
        <v>-70.31145638399093</v>
      </c>
      <c r="E129" s="45">
        <v>-70.17434979298251</v>
      </c>
      <c r="F129" s="44">
        <v>-79.07521794401588</v>
      </c>
      <c r="G129" s="44">
        <v>-78.64677667014683</v>
      </c>
      <c r="H129" s="44">
        <v>-76.10190576036763</v>
      </c>
      <c r="I129" s="44">
        <v>-80.56296372625138</v>
      </c>
    </row>
    <row r="130" spans="1:9" ht="15">
      <c r="A130" s="41" t="str">
        <f>HLOOKUP(INDICE!$F$2,Nombres!$C$3:$D$636,43,FALSE)</f>
        <v>Margen neto</v>
      </c>
      <c r="B130" s="41">
        <f aca="true" t="shared" si="20" ref="B130:I130">+B124+B125</f>
        <v>799.4085710783097</v>
      </c>
      <c r="C130" s="41">
        <f t="shared" si="20"/>
        <v>960.8883101440492</v>
      </c>
      <c r="D130" s="41">
        <f t="shared" si="20"/>
        <v>994.4076421113982</v>
      </c>
      <c r="E130" s="42">
        <f t="shared" si="20"/>
        <v>1002.0357818398168</v>
      </c>
      <c r="F130" s="50">
        <f t="shared" si="20"/>
        <v>1055.3765533470846</v>
      </c>
      <c r="G130" s="50">
        <f t="shared" si="20"/>
        <v>1109.7413795259047</v>
      </c>
      <c r="H130" s="50">
        <f t="shared" si="20"/>
        <v>1129.516993329647</v>
      </c>
      <c r="I130" s="50">
        <f t="shared" si="20"/>
        <v>1184.2709354930714</v>
      </c>
    </row>
    <row r="131" spans="1:9" ht="15">
      <c r="A131" s="87" t="str">
        <f>HLOOKUP(INDICE!$F$2,Nombres!$C$3:$D$636,44,FALSE)</f>
        <v>Deterioro de activos financieros no valorados a valor razonable con cambios en resultados</v>
      </c>
      <c r="B131" s="44">
        <v>-131.48033018101378</v>
      </c>
      <c r="C131" s="44">
        <v>-174.87462701378718</v>
      </c>
      <c r="D131" s="44">
        <v>-352.02299974488494</v>
      </c>
      <c r="E131" s="45">
        <v>-495.79219472682894</v>
      </c>
      <c r="F131" s="44">
        <v>-376.3813495280754</v>
      </c>
      <c r="G131" s="44">
        <v>-464.1508891427916</v>
      </c>
      <c r="H131" s="44">
        <v>-674.4127110260899</v>
      </c>
      <c r="I131" s="44">
        <v>-702.2478942885036</v>
      </c>
    </row>
    <row r="132" spans="1:9" ht="15">
      <c r="A132" s="87" t="str">
        <f>HLOOKUP(INDICE!$F$2,Nombres!$C$3:$D$636,45,FALSE)</f>
        <v>Provisiones o reversión de provisiones y otros resultados</v>
      </c>
      <c r="B132" s="44">
        <v>-38.58638684100403</v>
      </c>
      <c r="C132" s="44">
        <v>-33.47238420894908</v>
      </c>
      <c r="D132" s="44">
        <v>-45.97033772999054</v>
      </c>
      <c r="E132" s="45">
        <v>-36.74221072799123</v>
      </c>
      <c r="F132" s="44">
        <v>8.536180616001715</v>
      </c>
      <c r="G132" s="44">
        <v>-4.8123806299978735</v>
      </c>
      <c r="H132" s="44">
        <v>24.851315738938773</v>
      </c>
      <c r="I132" s="44">
        <v>-79.66181952890715</v>
      </c>
    </row>
    <row r="133" spans="1:9" ht="15">
      <c r="A133" s="89" t="str">
        <f>HLOOKUP(INDICE!$F$2,Nombres!$C$3:$D$636,46,FALSE)</f>
        <v>Resultado antes de impuestos</v>
      </c>
      <c r="B133" s="41">
        <f aca="true" t="shared" si="21" ref="B133:I133">+B130+B131+B132</f>
        <v>629.3418540562919</v>
      </c>
      <c r="C133" s="41">
        <f t="shared" si="21"/>
        <v>752.541298921313</v>
      </c>
      <c r="D133" s="41">
        <f t="shared" si="21"/>
        <v>596.4143046365227</v>
      </c>
      <c r="E133" s="42">
        <f t="shared" si="21"/>
        <v>469.5013763849966</v>
      </c>
      <c r="F133" s="50">
        <f t="shared" si="21"/>
        <v>687.531384435011</v>
      </c>
      <c r="G133" s="50">
        <f t="shared" si="21"/>
        <v>640.7781097531152</v>
      </c>
      <c r="H133" s="50">
        <f t="shared" si="21"/>
        <v>479.9555980424958</v>
      </c>
      <c r="I133" s="50">
        <f t="shared" si="21"/>
        <v>402.36122167566066</v>
      </c>
    </row>
    <row r="134" spans="1:9" ht="15">
      <c r="A134" s="43" t="str">
        <f>HLOOKUP(INDICE!$F$2,Nombres!$C$3:$D$636,47,FALSE)</f>
        <v>Impuesto sobre beneficios</v>
      </c>
      <c r="B134" s="44">
        <v>-160.0948862473347</v>
      </c>
      <c r="C134" s="44">
        <v>-202.3023460094087</v>
      </c>
      <c r="D134" s="44">
        <v>-154.02045146693968</v>
      </c>
      <c r="E134" s="45">
        <v>-152.34704289504754</v>
      </c>
      <c r="F134" s="44">
        <v>-189.62525247613715</v>
      </c>
      <c r="G134" s="44">
        <v>-165.5368368913146</v>
      </c>
      <c r="H134" s="44">
        <v>-103.23033085664204</v>
      </c>
      <c r="I134" s="44">
        <v>18.530940245544244</v>
      </c>
    </row>
    <row r="135" spans="1:9" ht="15">
      <c r="A135" s="89" t="str">
        <f>HLOOKUP(INDICE!$F$2,Nombres!$C$3:$D$636,48,FALSE)</f>
        <v>Resultado del ejercicio</v>
      </c>
      <c r="B135" s="41">
        <f aca="true" t="shared" si="22" ref="B135:I135">+B133+B134</f>
        <v>469.24696780895727</v>
      </c>
      <c r="C135" s="41">
        <f t="shared" si="22"/>
        <v>550.2389529119043</v>
      </c>
      <c r="D135" s="41">
        <f t="shared" si="22"/>
        <v>442.39385316958305</v>
      </c>
      <c r="E135" s="42">
        <f t="shared" si="22"/>
        <v>317.15433348994907</v>
      </c>
      <c r="F135" s="50">
        <f t="shared" si="22"/>
        <v>497.90613195887386</v>
      </c>
      <c r="G135" s="50">
        <f t="shared" si="22"/>
        <v>475.24127286180067</v>
      </c>
      <c r="H135" s="50">
        <f t="shared" si="22"/>
        <v>376.7252671858538</v>
      </c>
      <c r="I135" s="50">
        <f t="shared" si="22"/>
        <v>420.8921619212049</v>
      </c>
    </row>
    <row r="136" spans="1:9" ht="15">
      <c r="A136" s="87" t="str">
        <f>HLOOKUP(INDICE!$F$2,Nombres!$C$3:$D$636,49,FALSE)</f>
        <v>Minoritarios</v>
      </c>
      <c r="B136" s="44">
        <v>-253.14810486870897</v>
      </c>
      <c r="C136" s="44">
        <v>-282.03775636584254</v>
      </c>
      <c r="D136" s="44">
        <v>-244.68512256696124</v>
      </c>
      <c r="E136" s="45">
        <v>-170.73292048116338</v>
      </c>
      <c r="F136" s="44">
        <v>-264.02345472740683</v>
      </c>
      <c r="G136" s="44">
        <v>-258.4305756032797</v>
      </c>
      <c r="H136" s="44">
        <v>-202.8417635149882</v>
      </c>
      <c r="I136" s="44">
        <v>-225.28487677091135</v>
      </c>
    </row>
    <row r="137" spans="1:9" ht="15">
      <c r="A137" s="90" t="str">
        <f>HLOOKUP(INDICE!$F$2,Nombres!$C$3:$D$636,50,FALSE)</f>
        <v>Resultado atribuido</v>
      </c>
      <c r="B137" s="47">
        <f aca="true" t="shared" si="23" ref="B137:I137">+B135+B136</f>
        <v>216.0988629402483</v>
      </c>
      <c r="C137" s="47">
        <f t="shared" si="23"/>
        <v>268.2011965460618</v>
      </c>
      <c r="D137" s="47">
        <f t="shared" si="23"/>
        <v>197.7087306026218</v>
      </c>
      <c r="E137" s="47">
        <f t="shared" si="23"/>
        <v>146.4214130087857</v>
      </c>
      <c r="F137" s="51">
        <f t="shared" si="23"/>
        <v>233.88267723146703</v>
      </c>
      <c r="G137" s="51">
        <f t="shared" si="23"/>
        <v>216.81069725852097</v>
      </c>
      <c r="H137" s="51">
        <f t="shared" si="23"/>
        <v>173.8835036708656</v>
      </c>
      <c r="I137" s="51">
        <f t="shared" si="23"/>
        <v>195.60728515029354</v>
      </c>
    </row>
    <row r="138" spans="1:9" ht="15">
      <c r="A138" s="91"/>
      <c r="B138" s="63">
        <v>0</v>
      </c>
      <c r="C138" s="63">
        <v>0</v>
      </c>
      <c r="D138" s="63">
        <v>2.8421709430404007E-13</v>
      </c>
      <c r="E138" s="63">
        <v>0</v>
      </c>
      <c r="F138" s="63">
        <v>0</v>
      </c>
      <c r="G138" s="63">
        <v>0</v>
      </c>
      <c r="H138" s="63">
        <v>5.400124791776761E-13</v>
      </c>
      <c r="I138" s="63">
        <v>0</v>
      </c>
    </row>
    <row r="139" spans="1:9" ht="15">
      <c r="A139" s="89"/>
      <c r="B139" s="41"/>
      <c r="C139" s="41"/>
      <c r="D139" s="41"/>
      <c r="E139" s="41"/>
      <c r="F139" s="50"/>
      <c r="G139" s="50"/>
      <c r="H139" s="50"/>
      <c r="I139" s="50"/>
    </row>
    <row r="140" spans="1:9" ht="18">
      <c r="A140" s="92" t="str">
        <f>HLOOKUP(INDICE!$F$2,Nombres!$C$3:$D$636,51,FALSE)</f>
        <v>Balances</v>
      </c>
      <c r="B140" s="34"/>
      <c r="C140" s="34"/>
      <c r="D140" s="34"/>
      <c r="E140" s="34"/>
      <c r="F140" s="68"/>
      <c r="G140" s="68"/>
      <c r="H140" s="68"/>
      <c r="I140" s="68"/>
    </row>
    <row r="141" spans="1:9" ht="15">
      <c r="A141" s="83" t="str">
        <f>HLOOKUP(INDICE!$F$2,Nombres!$C$3:$D$636,79,FALSE)</f>
        <v>(Millones de soles peruanos)</v>
      </c>
      <c r="B141" s="30"/>
      <c r="C141" s="52"/>
      <c r="D141" s="52"/>
      <c r="E141" s="52"/>
      <c r="F141" s="69"/>
      <c r="G141" s="44"/>
      <c r="H141" s="44"/>
      <c r="I141" s="44"/>
    </row>
    <row r="142" spans="1:9" ht="15.75">
      <c r="A142" s="30"/>
      <c r="B142" s="53">
        <f aca="true" t="shared" si="24" ref="B142:I142">+B$30</f>
        <v>44651</v>
      </c>
      <c r="C142" s="53">
        <f t="shared" si="24"/>
        <v>44742</v>
      </c>
      <c r="D142" s="53">
        <f t="shared" si="24"/>
        <v>44834</v>
      </c>
      <c r="E142" s="67">
        <f t="shared" si="24"/>
        <v>44926</v>
      </c>
      <c r="F142" s="53">
        <f t="shared" si="24"/>
        <v>45016</v>
      </c>
      <c r="G142" s="53">
        <f t="shared" si="24"/>
        <v>45107</v>
      </c>
      <c r="H142" s="53">
        <f t="shared" si="24"/>
        <v>45199</v>
      </c>
      <c r="I142" s="53">
        <f t="shared" si="24"/>
        <v>45291</v>
      </c>
    </row>
    <row r="143" spans="1:9" ht="15">
      <c r="A143" s="87" t="str">
        <f>HLOOKUP(INDICE!$F$2,Nombres!$C$3:$D$636,52,FALSE)</f>
        <v>Efectivo, saldos en efectivo en bancos centrales y otros depósitos a la vista</v>
      </c>
      <c r="B143" s="44">
        <v>14291.78627312295</v>
      </c>
      <c r="C143" s="44">
        <v>14633.837934224506</v>
      </c>
      <c r="D143" s="44">
        <v>16964.798603822444</v>
      </c>
      <c r="E143" s="45">
        <v>11816.253031875938</v>
      </c>
      <c r="F143" s="44">
        <v>13525.58283866585</v>
      </c>
      <c r="G143" s="44">
        <v>14147.703502618155</v>
      </c>
      <c r="H143" s="44">
        <v>10870.53222852287</v>
      </c>
      <c r="I143" s="44">
        <v>8532.046710649964</v>
      </c>
    </row>
    <row r="144" spans="1:9" ht="15">
      <c r="A144" s="87" t="str">
        <f>HLOOKUP(INDICE!$F$2,Nombres!$C$3:$D$636,53,FALSE)</f>
        <v>Activos financieros a valor razonable</v>
      </c>
      <c r="B144" s="58">
        <v>11999.96836034076</v>
      </c>
      <c r="C144" s="58">
        <v>11721.81398756359</v>
      </c>
      <c r="D144" s="58">
        <v>12943.567165017079</v>
      </c>
      <c r="E144" s="64">
        <v>12926.330124835556</v>
      </c>
      <c r="F144" s="44">
        <v>13119.201415086274</v>
      </c>
      <c r="G144" s="44">
        <v>11953.799756329943</v>
      </c>
      <c r="H144" s="44">
        <v>12113.7095802328</v>
      </c>
      <c r="I144" s="44">
        <v>16321.070682659238</v>
      </c>
    </row>
    <row r="145" spans="1:9" ht="15">
      <c r="A145" s="43" t="str">
        <f>HLOOKUP(INDICE!$F$2,Nombres!$C$3:$D$636,54,FALSE)</f>
        <v>Activos financieros a coste amortizado</v>
      </c>
      <c r="B145" s="44">
        <v>71119.05042786886</v>
      </c>
      <c r="C145" s="44">
        <v>70802.22126676503</v>
      </c>
      <c r="D145" s="44">
        <v>73637.07140415112</v>
      </c>
      <c r="E145" s="45">
        <v>70204.84994949587</v>
      </c>
      <c r="F145" s="44">
        <v>72105.07954668856</v>
      </c>
      <c r="G145" s="44">
        <v>70421.73492217716</v>
      </c>
      <c r="H145" s="44">
        <v>71414.21402490482</v>
      </c>
      <c r="I145" s="44">
        <v>72844.26001131802</v>
      </c>
    </row>
    <row r="146" spans="1:9" ht="15">
      <c r="A146" s="87" t="str">
        <f>HLOOKUP(INDICE!$F$2,Nombres!$C$3:$D$636,55,FALSE)</f>
        <v>    de los que préstamos y anticipos a la clientela</v>
      </c>
      <c r="B146" s="44">
        <v>69796.53525729133</v>
      </c>
      <c r="C146" s="44">
        <v>69370.40071475857</v>
      </c>
      <c r="D146" s="44">
        <v>69923.2576777794</v>
      </c>
      <c r="E146" s="45">
        <v>68967.85021761629</v>
      </c>
      <c r="F146" s="44">
        <v>69940.83822740681</v>
      </c>
      <c r="G146" s="44">
        <v>69056.72532993354</v>
      </c>
      <c r="H146" s="44">
        <v>69396.55462372268</v>
      </c>
      <c r="I146" s="44">
        <v>70955.70831428423</v>
      </c>
    </row>
    <row r="147" spans="1:9" ht="15" customHeight="1" hidden="1">
      <c r="A147" s="87"/>
      <c r="B147" s="44"/>
      <c r="C147" s="44"/>
      <c r="D147" s="44"/>
      <c r="E147" s="45"/>
      <c r="F147" s="44"/>
      <c r="G147" s="44"/>
      <c r="H147" s="44"/>
      <c r="I147" s="44"/>
    </row>
    <row r="148" spans="1:9" ht="15">
      <c r="A148" s="43" t="str">
        <f>HLOOKUP(INDICE!$F$2,Nombres!$C$3:$D$636,56,FALSE)</f>
        <v>Activos tangibles</v>
      </c>
      <c r="B148" s="44">
        <v>1189.0725917065797</v>
      </c>
      <c r="C148" s="44">
        <v>1172.5059393587585</v>
      </c>
      <c r="D148" s="44">
        <v>1219.696968092594</v>
      </c>
      <c r="E148" s="45">
        <v>1258.8844844395674</v>
      </c>
      <c r="F148" s="44">
        <v>1255.1052739706868</v>
      </c>
      <c r="G148" s="44">
        <v>1263.8875551874257</v>
      </c>
      <c r="H148" s="44">
        <v>1285.396176993995</v>
      </c>
      <c r="I148" s="44">
        <v>1423.0625621953284</v>
      </c>
    </row>
    <row r="149" spans="1:9" ht="15">
      <c r="A149" s="87" t="str">
        <f>HLOOKUP(INDICE!$F$2,Nombres!$C$3:$D$636,57,FALSE)</f>
        <v>Otros activos</v>
      </c>
      <c r="B149" s="58">
        <f aca="true" t="shared" si="25" ref="B149:I149">+B150-B148-B145-B144-B143</f>
        <v>1824.864578954488</v>
      </c>
      <c r="C149" s="58">
        <f t="shared" si="25"/>
        <v>1846.9719030037995</v>
      </c>
      <c r="D149" s="58">
        <f t="shared" si="25"/>
        <v>1817.5119382774392</v>
      </c>
      <c r="E149" s="64">
        <f t="shared" si="25"/>
        <v>2060.022021788114</v>
      </c>
      <c r="F149" s="44">
        <f t="shared" si="25"/>
        <v>2206.3781829958134</v>
      </c>
      <c r="G149" s="44">
        <f t="shared" si="25"/>
        <v>2190.036014625439</v>
      </c>
      <c r="H149" s="44">
        <f t="shared" si="25"/>
        <v>2420.894908941833</v>
      </c>
      <c r="I149" s="44">
        <f t="shared" si="25"/>
        <v>2747.854652365704</v>
      </c>
    </row>
    <row r="150" spans="1:9" ht="15">
      <c r="A150" s="90" t="str">
        <f>HLOOKUP(INDICE!$F$2,Nombres!$C$3:$D$636,58,FALSE)</f>
        <v>Total activo / pasivo</v>
      </c>
      <c r="B150" s="47">
        <v>100424.74223199364</v>
      </c>
      <c r="C150" s="47">
        <v>100177.35103091568</v>
      </c>
      <c r="D150" s="47">
        <v>106582.64607936068</v>
      </c>
      <c r="E150" s="47">
        <v>98266.33961243504</v>
      </c>
      <c r="F150" s="51">
        <v>102211.3472574072</v>
      </c>
      <c r="G150" s="51">
        <v>99977.16175093812</v>
      </c>
      <c r="H150" s="51">
        <v>98104.74691959632</v>
      </c>
      <c r="I150" s="51">
        <v>101868.29461918825</v>
      </c>
    </row>
    <row r="151" spans="1:9" ht="15">
      <c r="A151" s="87" t="str">
        <f>HLOOKUP(INDICE!$F$2,Nombres!$C$3:$D$636,59,FALSE)</f>
        <v>Pasivos financieros mantenidos para negociar y designados a valor razonable con cambios en resultados</v>
      </c>
      <c r="B151" s="58">
        <v>1734.5022985913872</v>
      </c>
      <c r="C151" s="58">
        <v>1609.646825974296</v>
      </c>
      <c r="D151" s="58">
        <v>1779.8057005199482</v>
      </c>
      <c r="E151" s="64">
        <v>1529.0398670794743</v>
      </c>
      <c r="F151" s="44">
        <v>1498.3778614624325</v>
      </c>
      <c r="G151" s="44">
        <v>1434.0896870717525</v>
      </c>
      <c r="H151" s="44">
        <v>1321.7561611320511</v>
      </c>
      <c r="I151" s="44">
        <v>1442.7708873773468</v>
      </c>
    </row>
    <row r="152" spans="1:9" ht="15">
      <c r="A152" s="87" t="str">
        <f>HLOOKUP(INDICE!$F$2,Nombres!$C$3:$D$636,60,FALSE)</f>
        <v>Depósitos de bancos centrales y entidades de crédito</v>
      </c>
      <c r="B152" s="58">
        <v>17165.861260471935</v>
      </c>
      <c r="C152" s="58">
        <v>15730.847959327344</v>
      </c>
      <c r="D152" s="58">
        <v>15039.862668994665</v>
      </c>
      <c r="E152" s="64">
        <v>12567.28061379568</v>
      </c>
      <c r="F152" s="44">
        <v>12448.065694622976</v>
      </c>
      <c r="G152" s="44">
        <v>12950.665872644859</v>
      </c>
      <c r="H152" s="44">
        <v>11398.78708710369</v>
      </c>
      <c r="I152" s="44">
        <v>11727.036278422947</v>
      </c>
    </row>
    <row r="153" spans="1:9" ht="15">
      <c r="A153" s="87" t="str">
        <f>HLOOKUP(INDICE!$F$2,Nombres!$C$3:$D$636,61,FALSE)</f>
        <v>Depósitos de la clientela</v>
      </c>
      <c r="B153" s="58">
        <v>61637.90186488822</v>
      </c>
      <c r="C153" s="58">
        <v>63377.109017812894</v>
      </c>
      <c r="D153" s="58">
        <v>70438.6793952908</v>
      </c>
      <c r="E153" s="64">
        <v>65810.93205981737</v>
      </c>
      <c r="F153" s="44">
        <v>67209.6425699777</v>
      </c>
      <c r="G153" s="44">
        <v>66383.74884067941</v>
      </c>
      <c r="H153" s="44">
        <v>66973.89583448094</v>
      </c>
      <c r="I153" s="44">
        <v>69519.3399648669</v>
      </c>
    </row>
    <row r="154" spans="1:9" ht="15">
      <c r="A154" s="43" t="str">
        <f>HLOOKUP(INDICE!$F$2,Nombres!$C$3:$D$636,62,FALSE)</f>
        <v>Valores representativos de deuda emitidos</v>
      </c>
      <c r="B154" s="44">
        <v>5649.994743359681</v>
      </c>
      <c r="C154" s="44">
        <v>6506.462407960147</v>
      </c>
      <c r="D154" s="44">
        <v>4292.690129281878</v>
      </c>
      <c r="E154" s="45">
        <v>3843.6948266630834</v>
      </c>
      <c r="F154" s="44">
        <v>3835.4839009174234</v>
      </c>
      <c r="G154" s="44">
        <v>4033.786274624279</v>
      </c>
      <c r="H154" s="44">
        <v>3511.713197880653</v>
      </c>
      <c r="I154" s="44">
        <v>3339.929086235697</v>
      </c>
    </row>
    <row r="155" spans="1:9" ht="15" customHeight="1" hidden="1">
      <c r="A155" s="43"/>
      <c r="B155" s="44"/>
      <c r="C155" s="44"/>
      <c r="D155" s="44"/>
      <c r="E155" s="45"/>
      <c r="F155" s="44"/>
      <c r="G155" s="44"/>
      <c r="H155" s="44"/>
      <c r="I155" s="44"/>
    </row>
    <row r="156" spans="1:9" ht="15.75" customHeight="1">
      <c r="A156" s="87" t="str">
        <f>HLOOKUP(INDICE!$F$2,Nombres!$C$3:$D$636,63,FALSE)</f>
        <v>Otros pasivos</v>
      </c>
      <c r="B156" s="58">
        <f aca="true" t="shared" si="26" ref="B156:I156">+B150-B151-B152-B153-B154-B157</f>
        <v>4544.345050135451</v>
      </c>
      <c r="C156" s="58">
        <f t="shared" si="26"/>
        <v>3242.6946405864055</v>
      </c>
      <c r="D156" s="58">
        <f t="shared" si="26"/>
        <v>5038.374788669496</v>
      </c>
      <c r="E156" s="64">
        <f t="shared" si="26"/>
        <v>4661.236804307466</v>
      </c>
      <c r="F156" s="44">
        <f t="shared" si="26"/>
        <v>7852.393986689482</v>
      </c>
      <c r="G156" s="44">
        <f t="shared" si="26"/>
        <v>5609.857005992431</v>
      </c>
      <c r="H156" s="44">
        <f t="shared" si="26"/>
        <v>5458.846259082902</v>
      </c>
      <c r="I156" s="44">
        <f t="shared" si="26"/>
        <v>6091.3426602468935</v>
      </c>
    </row>
    <row r="157" spans="1:9" ht="15.75" customHeight="1">
      <c r="A157" s="43" t="str">
        <f>HLOOKUP(INDICE!$F$2,Nombres!$C$3:$D$636,282,FALSE)</f>
        <v>Dotación de capital regulatorio</v>
      </c>
      <c r="B157" s="58">
        <v>9692.137014546974</v>
      </c>
      <c r="C157" s="58">
        <v>9710.590179254588</v>
      </c>
      <c r="D157" s="58">
        <v>9993.233396603882</v>
      </c>
      <c r="E157" s="64">
        <v>9854.15544077198</v>
      </c>
      <c r="F157" s="44">
        <v>9367.38324373718</v>
      </c>
      <c r="G157" s="44">
        <v>9565.014069925372</v>
      </c>
      <c r="H157" s="44">
        <v>9439.748379916085</v>
      </c>
      <c r="I157" s="44">
        <v>9747.875742038457</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92" t="str">
        <f>HLOOKUP(INDICE!$F$2,Nombres!$C$3:$D$636,65,FALSE)</f>
        <v>Indicadores relevantes y de gestión</v>
      </c>
      <c r="B160" s="34"/>
      <c r="C160" s="34"/>
      <c r="D160" s="34"/>
      <c r="E160" s="34"/>
      <c r="F160" s="68"/>
      <c r="G160" s="68"/>
      <c r="H160" s="68"/>
      <c r="I160" s="68"/>
    </row>
    <row r="161" spans="1:9" ht="15">
      <c r="A161" s="83" t="str">
        <f>HLOOKUP(INDICE!$F$2,Nombres!$C$3:$D$636,79,FALSE)</f>
        <v>(Millones de soles peruanos)</v>
      </c>
      <c r="B161" s="30"/>
      <c r="C161" s="30"/>
      <c r="D161" s="30"/>
      <c r="E161" s="30"/>
      <c r="F161" s="69"/>
      <c r="G161" s="44"/>
      <c r="H161" s="44"/>
      <c r="I161" s="44"/>
    </row>
    <row r="162" spans="1:9" ht="15.75">
      <c r="A162" s="30"/>
      <c r="B162" s="53">
        <f aca="true" t="shared" si="27" ref="B162:I162">+B$30</f>
        <v>44651</v>
      </c>
      <c r="C162" s="53">
        <f t="shared" si="27"/>
        <v>44742</v>
      </c>
      <c r="D162" s="53">
        <f t="shared" si="27"/>
        <v>44834</v>
      </c>
      <c r="E162" s="67">
        <f t="shared" si="27"/>
        <v>44926</v>
      </c>
      <c r="F162" s="53">
        <f t="shared" si="27"/>
        <v>45016</v>
      </c>
      <c r="G162" s="53">
        <f t="shared" si="27"/>
        <v>45107</v>
      </c>
      <c r="H162" s="53">
        <f t="shared" si="27"/>
        <v>45199</v>
      </c>
      <c r="I162" s="53">
        <f t="shared" si="27"/>
        <v>45291</v>
      </c>
    </row>
    <row r="163" spans="1:9" ht="15">
      <c r="A163" s="87" t="str">
        <f>HLOOKUP(INDICE!$F$2,Nombres!$C$3:$D$636,66,FALSE)</f>
        <v>Préstamos y anticipos a la clientela bruto (*)</v>
      </c>
      <c r="B163" s="44">
        <v>73285.82744262011</v>
      </c>
      <c r="C163" s="44">
        <v>73002.73212901871</v>
      </c>
      <c r="D163" s="44">
        <v>73573.0868440792</v>
      </c>
      <c r="E163" s="45">
        <v>72542.09608181506</v>
      </c>
      <c r="F163" s="44">
        <v>73586.454463379</v>
      </c>
      <c r="G163" s="44">
        <v>72491.34020443114</v>
      </c>
      <c r="H163" s="44">
        <v>73252.09172830169</v>
      </c>
      <c r="I163" s="44">
        <v>74922.12572660894</v>
      </c>
    </row>
    <row r="164" spans="1:9" ht="15">
      <c r="A164" s="87" t="str">
        <f>HLOOKUP(INDICE!$F$2,Nombres!$C$3:$D$636,67,FALSE)</f>
        <v>Depósitos de clientes en gestión (**)</v>
      </c>
      <c r="B164" s="44">
        <v>61637.90186488821</v>
      </c>
      <c r="C164" s="44">
        <v>63377.1090178129</v>
      </c>
      <c r="D164" s="44">
        <v>70438.67939529082</v>
      </c>
      <c r="E164" s="45">
        <v>65810.93205981738</v>
      </c>
      <c r="F164" s="44">
        <v>67209.64256997769</v>
      </c>
      <c r="G164" s="44">
        <v>66383.74884067941</v>
      </c>
      <c r="H164" s="44">
        <v>66973.89583448094</v>
      </c>
      <c r="I164" s="44">
        <v>69519.3399648669</v>
      </c>
    </row>
    <row r="165" spans="1:9" ht="15">
      <c r="A165" s="43" t="str">
        <f>HLOOKUP(INDICE!$F$2,Nombres!$C$3:$D$636,68,FALSE)</f>
        <v>Fondos de inversión y carteras gestionadas</v>
      </c>
      <c r="B165" s="44">
        <v>6336.757259075768</v>
      </c>
      <c r="C165" s="44">
        <v>5672.051273291387</v>
      </c>
      <c r="D165" s="44">
        <v>5869.31346775052</v>
      </c>
      <c r="E165" s="45">
        <v>5893.793835423048</v>
      </c>
      <c r="F165" s="44">
        <v>5919.590767073701</v>
      </c>
      <c r="G165" s="44">
        <v>5784.543017057293</v>
      </c>
      <c r="H165" s="44">
        <v>7012.130775713082</v>
      </c>
      <c r="I165" s="44">
        <v>6453.529552717519</v>
      </c>
    </row>
    <row r="166" spans="1:9" ht="15">
      <c r="A166" s="87" t="str">
        <f>HLOOKUP(INDICE!$F$2,Nombres!$C$3:$D$636,69,FALSE)</f>
        <v>Fondos de pensiones</v>
      </c>
      <c r="B166" s="44">
        <v>0</v>
      </c>
      <c r="C166" s="44">
        <v>0</v>
      </c>
      <c r="D166" s="44">
        <v>0</v>
      </c>
      <c r="E166" s="45">
        <v>0</v>
      </c>
      <c r="F166" s="44">
        <v>0</v>
      </c>
      <c r="G166" s="44">
        <v>0</v>
      </c>
      <c r="H166" s="44">
        <v>0</v>
      </c>
      <c r="I166" s="44">
        <v>0</v>
      </c>
    </row>
    <row r="167" spans="1:15" ht="15">
      <c r="A167" s="87" t="str">
        <f>HLOOKUP(INDICE!$F$2,Nombres!$C$3:$D$636,70,FALSE)</f>
        <v>Otros recursos fuera de balance</v>
      </c>
      <c r="B167" s="44">
        <v>0</v>
      </c>
      <c r="C167" s="44">
        <v>0</v>
      </c>
      <c r="D167" s="44">
        <v>0</v>
      </c>
      <c r="E167" s="45">
        <v>0</v>
      </c>
      <c r="F167" s="44">
        <v>0</v>
      </c>
      <c r="G167" s="44">
        <v>0</v>
      </c>
      <c r="H167" s="44">
        <v>0</v>
      </c>
      <c r="I167" s="44">
        <v>0</v>
      </c>
      <c r="N167" s="73"/>
      <c r="O167" s="73"/>
    </row>
    <row r="168" spans="1:15" ht="15">
      <c r="A168" s="91" t="str">
        <f>HLOOKUP(INDICE!$F$2,Nombres!$C$3:$D$636,71,FALSE)</f>
        <v>(*) No incluye las adquisiciones temporales de activos.</v>
      </c>
      <c r="B168" s="58"/>
      <c r="C168" s="58"/>
      <c r="D168" s="58"/>
      <c r="E168" s="58"/>
      <c r="F168" s="44"/>
      <c r="G168" s="44"/>
      <c r="H168" s="44"/>
      <c r="I168" s="44"/>
      <c r="N168" s="73"/>
      <c r="O168" s="73"/>
    </row>
    <row r="169" spans="1:15" ht="15">
      <c r="A169" s="91"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sheetData>
  <sheetProtection/>
  <mergeCells count="6">
    <mergeCell ref="B118:E118"/>
    <mergeCell ref="F118:I118"/>
    <mergeCell ref="B6:E6"/>
    <mergeCell ref="F6:I6"/>
    <mergeCell ref="B62:E62"/>
    <mergeCell ref="F62:I62"/>
  </mergeCells>
  <conditionalFormatting sqref="B26:I26">
    <cfRule type="cellIs" priority="3" dxfId="132" operator="notBetween">
      <formula>0.5</formula>
      <formula>-0.5</formula>
    </cfRule>
  </conditionalFormatting>
  <conditionalFormatting sqref="B82:I82">
    <cfRule type="cellIs" priority="2" dxfId="132" operator="notBetween">
      <formula>0.5</formula>
      <formula>-0.5</formula>
    </cfRule>
  </conditionalFormatting>
  <conditionalFormatting sqref="B138:I138">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N1000"/>
  <sheetViews>
    <sheetView showGridLines="0" zoomScalePageLayoutView="0" workbookViewId="0" topLeftCell="A25">
      <selection activeCell="A1" sqref="A1"/>
    </sheetView>
  </sheetViews>
  <sheetFormatPr defaultColWidth="11.421875" defaultRowHeight="15"/>
  <cols>
    <col min="1" max="1" width="53.28125" style="31" customWidth="1"/>
    <col min="2" max="16384" width="11.421875" style="31" customWidth="1"/>
  </cols>
  <sheetData>
    <row r="1" spans="1:9" ht="18">
      <c r="A1" s="82" t="str">
        <f>HLOOKUP(INDICE!$F$2,Nombres!$C$3:$D$636,263,FALSE)</f>
        <v>Resto de Negocios</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83"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1">
        <f>+España!B6</f>
        <v>2022</v>
      </c>
      <c r="C6" s="301"/>
      <c r="D6" s="301"/>
      <c r="E6" s="302"/>
      <c r="F6" s="301">
        <f>+España!F6</f>
        <v>2023</v>
      </c>
      <c r="G6" s="301"/>
      <c r="H6" s="301"/>
      <c r="I6" s="301"/>
    </row>
    <row r="7" spans="1:9" ht="15.75">
      <c r="A7" s="38"/>
      <c r="B7" s="84" t="str">
        <f>+España!B7</f>
        <v>1er Trim.</v>
      </c>
      <c r="C7" s="84" t="str">
        <f>+España!C7</f>
        <v>2º Trim.</v>
      </c>
      <c r="D7" s="84" t="str">
        <f>+España!D7</f>
        <v>3er Trim.</v>
      </c>
      <c r="E7" s="85" t="str">
        <f>+España!E7</f>
        <v>4º Trim.</v>
      </c>
      <c r="F7" s="84" t="str">
        <f>+España!F7</f>
        <v>1er Trim.</v>
      </c>
      <c r="G7" s="84" t="str">
        <f>+España!G7</f>
        <v>2º Trim.</v>
      </c>
      <c r="H7" s="84" t="str">
        <f>+España!H7</f>
        <v>3er Trim.</v>
      </c>
      <c r="I7" s="84" t="str">
        <f>+España!I7</f>
        <v>4º Trim.</v>
      </c>
    </row>
    <row r="8" spans="1:14" ht="15">
      <c r="A8" s="41" t="str">
        <f>HLOOKUP(INDICE!$F$2,Nombres!$C$3:$D$636,33,FALSE)</f>
        <v>Margen de intereses</v>
      </c>
      <c r="B8" s="41">
        <v>75.46230687</v>
      </c>
      <c r="C8" s="41">
        <v>79.58295258</v>
      </c>
      <c r="D8" s="41">
        <v>88.08364433</v>
      </c>
      <c r="E8" s="42">
        <v>88.86750015000001</v>
      </c>
      <c r="F8" s="50">
        <v>113.4408263</v>
      </c>
      <c r="G8" s="237">
        <v>146.27007221000005</v>
      </c>
      <c r="H8" s="237">
        <v>145.31661066999996</v>
      </c>
      <c r="I8" s="237">
        <v>133.83507401</v>
      </c>
      <c r="J8" s="86"/>
      <c r="K8" s="86"/>
      <c r="L8" s="86"/>
      <c r="M8" s="86"/>
      <c r="N8" s="86"/>
    </row>
    <row r="9" spans="1:9" ht="15">
      <c r="A9" s="87" t="str">
        <f>HLOOKUP(INDICE!$F$2,Nombres!$C$3:$D$636,34,FALSE)</f>
        <v>Comisiones netas</v>
      </c>
      <c r="B9" s="44">
        <v>56.093056250000004</v>
      </c>
      <c r="C9" s="44">
        <v>65.45785438</v>
      </c>
      <c r="D9" s="44">
        <v>64.02634195</v>
      </c>
      <c r="E9" s="45">
        <v>57.09226649</v>
      </c>
      <c r="F9" s="44">
        <v>68.59665174</v>
      </c>
      <c r="G9" s="44">
        <v>63.71958588</v>
      </c>
      <c r="H9" s="44">
        <v>59.77588367000001</v>
      </c>
      <c r="I9" s="44">
        <v>52.31451528</v>
      </c>
    </row>
    <row r="10" spans="1:9" ht="15">
      <c r="A10" s="87" t="str">
        <f>HLOOKUP(INDICE!$F$2,Nombres!$C$3:$D$636,35,FALSE)</f>
        <v>Resultados de operaciones financieras</v>
      </c>
      <c r="B10" s="44">
        <v>68.10386856</v>
      </c>
      <c r="C10" s="44">
        <v>35.36542218999999</v>
      </c>
      <c r="D10" s="44">
        <v>47.0346505</v>
      </c>
      <c r="E10" s="45">
        <v>57.76341672</v>
      </c>
      <c r="F10" s="44">
        <v>76.90762292</v>
      </c>
      <c r="G10" s="44">
        <v>96.2232014</v>
      </c>
      <c r="H10" s="44">
        <v>77.53399744999999</v>
      </c>
      <c r="I10" s="44">
        <v>65.76731712000002</v>
      </c>
    </row>
    <row r="11" spans="1:9" ht="15">
      <c r="A11" s="87" t="str">
        <f>HLOOKUP(INDICE!$F$2,Nombres!$C$3:$D$636,36,FALSE)</f>
        <v>Otros ingresos y cargas de explotación</v>
      </c>
      <c r="B11" s="44">
        <v>2.55566142</v>
      </c>
      <c r="C11" s="44">
        <v>1.1864515800000002</v>
      </c>
      <c r="D11" s="44">
        <v>1.2229506200000009</v>
      </c>
      <c r="E11" s="45">
        <v>1.6406525399999994</v>
      </c>
      <c r="F11" s="44">
        <v>0.8750368000000002</v>
      </c>
      <c r="G11" s="44">
        <v>-0.5343131400000005</v>
      </c>
      <c r="H11" s="44">
        <v>3.5582996400000004</v>
      </c>
      <c r="I11" s="44">
        <v>-0.6039597299999997</v>
      </c>
    </row>
    <row r="12" spans="1:9" ht="15">
      <c r="A12" s="41" t="str">
        <f>HLOOKUP(INDICE!$F$2,Nombres!$C$3:$D$636,37,FALSE)</f>
        <v>Margen bruto</v>
      </c>
      <c r="B12" s="41">
        <f aca="true" t="shared" si="0" ref="B12:I12">+SUM(B8:B11)</f>
        <v>202.2148931</v>
      </c>
      <c r="C12" s="41">
        <f t="shared" si="0"/>
        <v>181.59268073</v>
      </c>
      <c r="D12" s="41">
        <f t="shared" si="0"/>
        <v>200.3675874</v>
      </c>
      <c r="E12" s="42">
        <f t="shared" si="0"/>
        <v>205.3638359</v>
      </c>
      <c r="F12" s="50">
        <f t="shared" si="0"/>
        <v>259.82013775999997</v>
      </c>
      <c r="G12" s="50">
        <f t="shared" si="0"/>
        <v>305.67854635000003</v>
      </c>
      <c r="H12" s="50">
        <f t="shared" si="0"/>
        <v>286.1847914299999</v>
      </c>
      <c r="I12" s="50">
        <f t="shared" si="0"/>
        <v>251.31294668000004</v>
      </c>
    </row>
    <row r="13" spans="1:9" ht="15">
      <c r="A13" s="87" t="str">
        <f>HLOOKUP(INDICE!$F$2,Nombres!$C$3:$D$636,38,FALSE)</f>
        <v>Gastos de explotación</v>
      </c>
      <c r="B13" s="44">
        <v>-114.80448189</v>
      </c>
      <c r="C13" s="44">
        <v>-118.83271633999999</v>
      </c>
      <c r="D13" s="44">
        <v>-133.60820512</v>
      </c>
      <c r="E13" s="45">
        <v>-146.22540250000003</v>
      </c>
      <c r="F13" s="44">
        <v>-137.88793054</v>
      </c>
      <c r="G13" s="44">
        <v>-139.23686811000002</v>
      </c>
      <c r="H13" s="44">
        <v>-150.70624378000002</v>
      </c>
      <c r="I13" s="44">
        <v>-167.84430176</v>
      </c>
    </row>
    <row r="14" spans="1:9" ht="15">
      <c r="A14" s="87" t="str">
        <f>HLOOKUP(INDICE!$F$2,Nombres!$C$3:$D$636,39,FALSE)</f>
        <v>  Gastos de administración</v>
      </c>
      <c r="B14" s="44">
        <v>-109.53336089999999</v>
      </c>
      <c r="C14" s="44">
        <v>-113.24101933</v>
      </c>
      <c r="D14" s="44">
        <v>-127.18100712</v>
      </c>
      <c r="E14" s="45">
        <v>-140.7551885</v>
      </c>
      <c r="F14" s="44">
        <v>-131.95176544</v>
      </c>
      <c r="G14" s="44">
        <v>-133.07292911</v>
      </c>
      <c r="H14" s="44">
        <v>-143.95508578000002</v>
      </c>
      <c r="I14" s="44">
        <v>-160.49390375999997</v>
      </c>
    </row>
    <row r="15" spans="1:9" ht="15">
      <c r="A15" s="88" t="str">
        <f>HLOOKUP(INDICE!$F$2,Nombres!$C$3:$D$636,40,FALSE)</f>
        <v>  Gastos de personal</v>
      </c>
      <c r="B15" s="44">
        <v>-61.2703584</v>
      </c>
      <c r="C15" s="44">
        <v>-59.588169300000004</v>
      </c>
      <c r="D15" s="44">
        <v>-71.74279032</v>
      </c>
      <c r="E15" s="45">
        <v>-74.03581346</v>
      </c>
      <c r="F15" s="44">
        <v>-69.73872700000001</v>
      </c>
      <c r="G15" s="44">
        <v>-64.55413551</v>
      </c>
      <c r="H15" s="44">
        <v>-76.86409476</v>
      </c>
      <c r="I15" s="44">
        <v>-91.451717</v>
      </c>
    </row>
    <row r="16" spans="1:9" ht="15">
      <c r="A16" s="88" t="str">
        <f>HLOOKUP(INDICE!$F$2,Nombres!$C$3:$D$636,41,FALSE)</f>
        <v>  Otros gastos de administración</v>
      </c>
      <c r="B16" s="44">
        <v>-48.2630025</v>
      </c>
      <c r="C16" s="44">
        <v>-53.652850029999996</v>
      </c>
      <c r="D16" s="44">
        <v>-55.43821679999999</v>
      </c>
      <c r="E16" s="45">
        <v>-66.71937504000002</v>
      </c>
      <c r="F16" s="44">
        <v>-62.21303844</v>
      </c>
      <c r="G16" s="44">
        <v>-68.5187936</v>
      </c>
      <c r="H16" s="44">
        <v>-67.09099102</v>
      </c>
      <c r="I16" s="44">
        <v>-69.04218675999999</v>
      </c>
    </row>
    <row r="17" spans="1:9" ht="15">
      <c r="A17" s="87" t="str">
        <f>HLOOKUP(INDICE!$F$2,Nombres!$C$3:$D$636,42,FALSE)</f>
        <v>  Amortización</v>
      </c>
      <c r="B17" s="44">
        <v>-5.27112099</v>
      </c>
      <c r="C17" s="44">
        <v>-5.591697010000001</v>
      </c>
      <c r="D17" s="44">
        <v>-6.427198</v>
      </c>
      <c r="E17" s="45">
        <v>-5.470214</v>
      </c>
      <c r="F17" s="44">
        <v>-5.9361651</v>
      </c>
      <c r="G17" s="44">
        <v>-6.163939000000001</v>
      </c>
      <c r="H17" s="44">
        <v>-6.751158</v>
      </c>
      <c r="I17" s="44">
        <v>-7.350398</v>
      </c>
    </row>
    <row r="18" spans="1:9" ht="15">
      <c r="A18" s="41" t="str">
        <f>HLOOKUP(INDICE!$F$2,Nombres!$C$3:$D$636,43,FALSE)</f>
        <v>Margen neto</v>
      </c>
      <c r="B18" s="41">
        <f aca="true" t="shared" si="1" ref="B18:I18">+B12+B13</f>
        <v>87.41041121</v>
      </c>
      <c r="C18" s="41">
        <f t="shared" si="1"/>
        <v>62.75996439000002</v>
      </c>
      <c r="D18" s="41">
        <f t="shared" si="1"/>
        <v>66.75938227999998</v>
      </c>
      <c r="E18" s="42">
        <f t="shared" si="1"/>
        <v>59.13843339999997</v>
      </c>
      <c r="F18" s="50">
        <f t="shared" si="1"/>
        <v>121.93220721999995</v>
      </c>
      <c r="G18" s="50">
        <f t="shared" si="1"/>
        <v>166.44167824000002</v>
      </c>
      <c r="H18" s="50">
        <f t="shared" si="1"/>
        <v>135.47854764999988</v>
      </c>
      <c r="I18" s="50">
        <f t="shared" si="1"/>
        <v>83.46864492000003</v>
      </c>
    </row>
    <row r="19" spans="1:9" ht="15">
      <c r="A19" s="87" t="str">
        <f>HLOOKUP(INDICE!$F$2,Nombres!$C$3:$D$636,44,FALSE)</f>
        <v>Deterioro de activos financieros no valorados a valor razonable con cambios en resultados</v>
      </c>
      <c r="B19" s="44">
        <v>7.381874779999999</v>
      </c>
      <c r="C19" s="44">
        <v>-7.522930580000001</v>
      </c>
      <c r="D19" s="44">
        <v>-3.6630166199999987</v>
      </c>
      <c r="E19" s="45">
        <v>-9.524007400000002</v>
      </c>
      <c r="F19" s="44">
        <v>-18.47068316</v>
      </c>
      <c r="G19" s="44">
        <v>-4.571854229999998</v>
      </c>
      <c r="H19" s="44">
        <v>-1.5653930000000036</v>
      </c>
      <c r="I19" s="44">
        <v>-3.03128611</v>
      </c>
    </row>
    <row r="20" spans="1:9" ht="15">
      <c r="A20" s="87" t="str">
        <f>HLOOKUP(INDICE!$F$2,Nombres!$C$3:$D$636,45,FALSE)</f>
        <v>Provisiones o reversión de provisiones y otros resultados</v>
      </c>
      <c r="B20" s="44">
        <v>9.783666000000004</v>
      </c>
      <c r="C20" s="44">
        <v>2.5324270000000015</v>
      </c>
      <c r="D20" s="44">
        <v>3.1083999999999983</v>
      </c>
      <c r="E20" s="45">
        <v>-1.2586537599999987</v>
      </c>
      <c r="F20" s="44">
        <v>7.387534990000002</v>
      </c>
      <c r="G20" s="44">
        <v>-0.962882</v>
      </c>
      <c r="H20" s="44">
        <v>3.9072129999999996</v>
      </c>
      <c r="I20" s="44">
        <v>-10.961449</v>
      </c>
    </row>
    <row r="21" spans="1:9" ht="15">
      <c r="A21" s="89" t="str">
        <f>HLOOKUP(INDICE!$F$2,Nombres!$C$3:$D$636,46,FALSE)</f>
        <v>Resultado antes de impuestos</v>
      </c>
      <c r="B21" s="41">
        <f aca="true" t="shared" si="2" ref="B21:I21">+B18+B19+B20</f>
        <v>104.57595199000002</v>
      </c>
      <c r="C21" s="41">
        <f t="shared" si="2"/>
        <v>57.76946081000002</v>
      </c>
      <c r="D21" s="41">
        <f t="shared" si="2"/>
        <v>66.20476565999998</v>
      </c>
      <c r="E21" s="42">
        <f t="shared" si="2"/>
        <v>48.355772239999965</v>
      </c>
      <c r="F21" s="50">
        <f t="shared" si="2"/>
        <v>110.84905904999997</v>
      </c>
      <c r="G21" s="50">
        <f t="shared" si="2"/>
        <v>160.90694201000002</v>
      </c>
      <c r="H21" s="50">
        <f t="shared" si="2"/>
        <v>137.8203676499999</v>
      </c>
      <c r="I21" s="50">
        <f t="shared" si="2"/>
        <v>69.47590981000003</v>
      </c>
    </row>
    <row r="22" spans="1:9" ht="15">
      <c r="A22" s="43" t="str">
        <f>HLOOKUP(INDICE!$F$2,Nombres!$C$3:$D$636,47,FALSE)</f>
        <v>Impuesto sobre beneficios</v>
      </c>
      <c r="B22" s="44">
        <v>-23.111153390000005</v>
      </c>
      <c r="C22" s="44">
        <v>-11.20893343</v>
      </c>
      <c r="D22" s="44">
        <v>-11.964383910000002</v>
      </c>
      <c r="E22" s="45">
        <v>8.913919939999996</v>
      </c>
      <c r="F22" s="44">
        <v>-19.25269747</v>
      </c>
      <c r="G22" s="44">
        <v>-40.00369817</v>
      </c>
      <c r="H22" s="44">
        <v>-28.33375288</v>
      </c>
      <c r="I22" s="44">
        <v>-2.0963536799999947</v>
      </c>
    </row>
    <row r="23" spans="1:9" ht="15">
      <c r="A23" s="89" t="str">
        <f>HLOOKUP(INDICE!$F$2,Nombres!$C$3:$D$636,48,FALSE)</f>
        <v>Resultado del ejercicio</v>
      </c>
      <c r="B23" s="41">
        <f aca="true" t="shared" si="3" ref="B23:I23">+B21+B22</f>
        <v>81.46479860000002</v>
      </c>
      <c r="C23" s="41">
        <f t="shared" si="3"/>
        <v>46.56052738000002</v>
      </c>
      <c r="D23" s="41">
        <f t="shared" si="3"/>
        <v>54.240381749999976</v>
      </c>
      <c r="E23" s="42">
        <f t="shared" si="3"/>
        <v>57.269692179999964</v>
      </c>
      <c r="F23" s="50">
        <f t="shared" si="3"/>
        <v>91.59636157999996</v>
      </c>
      <c r="G23" s="50">
        <f t="shared" si="3"/>
        <v>120.90324384000002</v>
      </c>
      <c r="H23" s="50">
        <f t="shared" si="3"/>
        <v>109.4866147699999</v>
      </c>
      <c r="I23" s="50">
        <f t="shared" si="3"/>
        <v>67.37955613000004</v>
      </c>
    </row>
    <row r="24" spans="1:9" ht="15">
      <c r="A24" s="87" t="str">
        <f>HLOOKUP(INDICE!$F$2,Nombres!$C$3:$D$636,49,FALSE)</f>
        <v>Minoritarios</v>
      </c>
      <c r="B24" s="44">
        <v>0</v>
      </c>
      <c r="C24" s="44">
        <v>0</v>
      </c>
      <c r="D24" s="44">
        <v>0</v>
      </c>
      <c r="E24" s="45">
        <v>0</v>
      </c>
      <c r="F24" s="44">
        <v>0</v>
      </c>
      <c r="G24" s="44">
        <v>0</v>
      </c>
      <c r="H24" s="44">
        <v>0</v>
      </c>
      <c r="I24" s="44">
        <v>0</v>
      </c>
    </row>
    <row r="25" spans="1:9" ht="15">
      <c r="A25" s="90" t="str">
        <f>HLOOKUP(INDICE!$F$2,Nombres!$C$3:$D$636,50,FALSE)</f>
        <v>Resultado atribuido</v>
      </c>
      <c r="B25" s="47">
        <f aca="true" t="shared" si="4" ref="B25:I25">+B23+B24</f>
        <v>81.46479860000002</v>
      </c>
      <c r="C25" s="47">
        <f t="shared" si="4"/>
        <v>46.56052738000002</v>
      </c>
      <c r="D25" s="47">
        <f t="shared" si="4"/>
        <v>54.240381749999976</v>
      </c>
      <c r="E25" s="47">
        <f t="shared" si="4"/>
        <v>57.269692179999964</v>
      </c>
      <c r="F25" s="51">
        <f t="shared" si="4"/>
        <v>91.59636157999996</v>
      </c>
      <c r="G25" s="51">
        <f t="shared" si="4"/>
        <v>120.90324384000002</v>
      </c>
      <c r="H25" s="51">
        <f t="shared" si="4"/>
        <v>109.4866147699999</v>
      </c>
      <c r="I25" s="51">
        <f t="shared" si="4"/>
        <v>67.37955613000004</v>
      </c>
    </row>
    <row r="26" spans="1:9" ht="23.25" customHeight="1">
      <c r="A26" s="91"/>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92" t="str">
        <f>HLOOKUP(INDICE!$F$2,Nombres!$C$3:$D$636,51,FALSE)</f>
        <v>Balances</v>
      </c>
      <c r="B28" s="34"/>
      <c r="C28" s="34"/>
      <c r="D28" s="34"/>
      <c r="E28" s="34"/>
      <c r="F28" s="34"/>
      <c r="G28" s="34"/>
      <c r="H28" s="34"/>
      <c r="I28" s="34"/>
    </row>
    <row r="29" spans="1:9" ht="15">
      <c r="A29" s="83"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9" ht="15">
      <c r="A31" s="87" t="str">
        <f>HLOOKUP(INDICE!$F$2,Nombres!$C$3:$D$636,52,FALSE)</f>
        <v>Efectivo, saldos en efectivo en bancos centrales y otros depósitos a la vista</v>
      </c>
      <c r="B31" s="44">
        <v>3807.8076</v>
      </c>
      <c r="C31" s="44">
        <v>5108.223216</v>
      </c>
      <c r="D31" s="44">
        <v>4917.510686999999</v>
      </c>
      <c r="E31" s="45">
        <v>4015.1228420099997</v>
      </c>
      <c r="F31" s="44">
        <v>4135.12968</v>
      </c>
      <c r="G31" s="44">
        <v>5634.49838</v>
      </c>
      <c r="H31" s="44">
        <v>4394.581397</v>
      </c>
      <c r="I31" s="44">
        <v>4748.2834649999995</v>
      </c>
    </row>
    <row r="32" spans="1:9" ht="15">
      <c r="A32" s="87" t="str">
        <f>HLOOKUP(INDICE!$F$2,Nombres!$C$3:$D$636,53,FALSE)</f>
        <v>Activos financieros a valor razonable</v>
      </c>
      <c r="B32" s="58">
        <v>8584.09004439</v>
      </c>
      <c r="C32" s="58">
        <v>5714.56048539</v>
      </c>
      <c r="D32" s="58">
        <v>3967.1003933899997</v>
      </c>
      <c r="E32" s="64">
        <v>5090.235998390001</v>
      </c>
      <c r="F32" s="44">
        <v>6651.864088390001</v>
      </c>
      <c r="G32" s="44">
        <v>8646.473309140001</v>
      </c>
      <c r="H32" s="44">
        <v>9466.177423000001</v>
      </c>
      <c r="I32" s="44">
        <v>15474.809394999998</v>
      </c>
    </row>
    <row r="33" spans="1:9" ht="15">
      <c r="A33" s="43" t="str">
        <f>HLOOKUP(INDICE!$F$2,Nombres!$C$3:$D$636,54,FALSE)</f>
        <v>Activos financieros a coste amortizado</v>
      </c>
      <c r="B33" s="44">
        <v>34733.303306</v>
      </c>
      <c r="C33" s="44">
        <v>34949.66198401</v>
      </c>
      <c r="D33" s="44">
        <v>38111.899728000004</v>
      </c>
      <c r="E33" s="45">
        <v>40425.476668339994</v>
      </c>
      <c r="F33" s="44">
        <v>39166.61628133</v>
      </c>
      <c r="G33" s="44">
        <v>39509.65080833001</v>
      </c>
      <c r="H33" s="44">
        <v>41295.679064330005</v>
      </c>
      <c r="I33" s="44">
        <v>43363.194665999996</v>
      </c>
    </row>
    <row r="34" spans="1:9" ht="15">
      <c r="A34" s="87" t="str">
        <f>HLOOKUP(INDICE!$F$2,Nombres!$C$3:$D$636,55,FALSE)</f>
        <v>    de los que préstamos y anticipos a la clientela</v>
      </c>
      <c r="B34" s="44">
        <v>31494.501316</v>
      </c>
      <c r="C34" s="44">
        <v>32141.867406</v>
      </c>
      <c r="D34" s="44">
        <v>35319.185594</v>
      </c>
      <c r="E34" s="45">
        <v>37374.89568433</v>
      </c>
      <c r="F34" s="44">
        <v>35946.05568833</v>
      </c>
      <c r="G34" s="44">
        <v>36174.519111329995</v>
      </c>
      <c r="H34" s="44">
        <v>37861.97020433</v>
      </c>
      <c r="I34" s="44">
        <v>39321.714008</v>
      </c>
    </row>
    <row r="35" spans="1:9" ht="15">
      <c r="A35" s="87" t="str">
        <f>HLOOKUP(INDICE!$F$2,Nombres!$C$3:$D$636,121,FALSE)</f>
        <v>Posiciones inter-áreas activo</v>
      </c>
      <c r="B35" s="44">
        <v>0</v>
      </c>
      <c r="C35" s="44">
        <v>0</v>
      </c>
      <c r="D35" s="44">
        <v>0</v>
      </c>
      <c r="E35" s="45">
        <v>0</v>
      </c>
      <c r="F35" s="44">
        <v>0</v>
      </c>
      <c r="G35" s="44">
        <v>0</v>
      </c>
      <c r="H35" s="44">
        <v>0</v>
      </c>
      <c r="I35" s="44">
        <v>0</v>
      </c>
    </row>
    <row r="36" spans="1:9" ht="15">
      <c r="A36" s="43" t="str">
        <f>HLOOKUP(INDICE!$F$2,Nombres!$C$3:$D$636,56,FALSE)</f>
        <v>Activos tangibles</v>
      </c>
      <c r="B36" s="44">
        <v>79.44900999000001</v>
      </c>
      <c r="C36" s="44">
        <v>76.86584500000001</v>
      </c>
      <c r="D36" s="44">
        <v>80.27694999</v>
      </c>
      <c r="E36" s="45">
        <v>78.23120098999999</v>
      </c>
      <c r="F36" s="44">
        <v>74.864499</v>
      </c>
      <c r="G36" s="44">
        <v>71.467564</v>
      </c>
      <c r="H36" s="44">
        <v>150.88233300000002</v>
      </c>
      <c r="I36" s="44">
        <v>151.08536</v>
      </c>
    </row>
    <row r="37" spans="1:9" ht="15">
      <c r="A37" s="87" t="str">
        <f>HLOOKUP(INDICE!$F$2,Nombres!$C$3:$D$636,57,FALSE)</f>
        <v>Otros activos</v>
      </c>
      <c r="B37" s="58">
        <f>+B38-B36-B33-B32-B31-B35</f>
        <v>366.1890509900004</v>
      </c>
      <c r="C37" s="58">
        <f aca="true" t="shared" si="5" ref="C37:I37">+C38-C36-C33-C32-C31</f>
        <v>326.22490300000027</v>
      </c>
      <c r="D37" s="58">
        <f t="shared" si="5"/>
        <v>454.8457270000026</v>
      </c>
      <c r="E37" s="64">
        <f t="shared" si="5"/>
        <v>343.35330900001554</v>
      </c>
      <c r="F37" s="44">
        <f t="shared" si="5"/>
        <v>378.8485239999991</v>
      </c>
      <c r="G37" s="44">
        <f t="shared" si="5"/>
        <v>380.00578799999585</v>
      </c>
      <c r="H37" s="44">
        <f t="shared" si="5"/>
        <v>433.05369699999756</v>
      </c>
      <c r="I37" s="44">
        <f t="shared" si="5"/>
        <v>536.7929480000084</v>
      </c>
    </row>
    <row r="38" spans="1:9" ht="15">
      <c r="A38" s="90" t="str">
        <f>HLOOKUP(INDICE!$F$2,Nombres!$C$3:$D$636,58,FALSE)</f>
        <v>Total activo / pasivo</v>
      </c>
      <c r="B38" s="47">
        <v>47570.83901137</v>
      </c>
      <c r="C38" s="47">
        <v>46175.536433400004</v>
      </c>
      <c r="D38" s="47">
        <v>47531.63348538001</v>
      </c>
      <c r="E38" s="70">
        <v>49952.42001873001</v>
      </c>
      <c r="F38" s="47">
        <v>50407.323072720006</v>
      </c>
      <c r="G38" s="47">
        <v>54242.09584947</v>
      </c>
      <c r="H38" s="47">
        <v>55740.373914330004</v>
      </c>
      <c r="I38" s="47">
        <v>64274.165834</v>
      </c>
    </row>
    <row r="39" spans="1:9" ht="15">
      <c r="A39" s="87" t="str">
        <f>HLOOKUP(INDICE!$F$2,Nombres!$C$3:$D$636,59,FALSE)</f>
        <v>Pasivos financieros mantenidos para negociar y designados a valor razonable con cambios en resultados</v>
      </c>
      <c r="B39" s="58">
        <v>7913.3688489999995</v>
      </c>
      <c r="C39" s="58">
        <v>5024.269488</v>
      </c>
      <c r="D39" s="58">
        <v>3274.364747</v>
      </c>
      <c r="E39" s="64">
        <v>4397.298547</v>
      </c>
      <c r="F39" s="44">
        <v>5941.912052999999</v>
      </c>
      <c r="G39" s="44">
        <v>7805.2974300000005</v>
      </c>
      <c r="H39" s="44">
        <v>8598.164453999998</v>
      </c>
      <c r="I39" s="44">
        <v>14830.603615</v>
      </c>
    </row>
    <row r="40" spans="1:9" ht="15">
      <c r="A40" s="87" t="str">
        <f>HLOOKUP(INDICE!$F$2,Nombres!$C$3:$D$636,60,FALSE)</f>
        <v>Depósitos de bancos centrales y entidades de crédito</v>
      </c>
      <c r="B40" s="58">
        <v>1842.218038</v>
      </c>
      <c r="C40" s="58">
        <v>1838.9726120000003</v>
      </c>
      <c r="D40" s="58">
        <v>1890.8802230000001</v>
      </c>
      <c r="E40" s="64">
        <v>2744.888522</v>
      </c>
      <c r="F40" s="44">
        <v>1776.660061</v>
      </c>
      <c r="G40" s="44">
        <v>2217.362082</v>
      </c>
      <c r="H40" s="44">
        <v>1304.9046969999997</v>
      </c>
      <c r="I40" s="44">
        <v>3085.3244210000003</v>
      </c>
    </row>
    <row r="41" spans="1:9" ht="15.75" customHeight="1">
      <c r="A41" s="87" t="str">
        <f>HLOOKUP(INDICE!$F$2,Nombres!$C$3:$D$636,61,FALSE)</f>
        <v>Depósitos de la clientela</v>
      </c>
      <c r="B41" s="58">
        <v>6649.53784499</v>
      </c>
      <c r="C41" s="58">
        <v>7734.917937</v>
      </c>
      <c r="D41" s="58">
        <v>8750.6499</v>
      </c>
      <c r="E41" s="64">
        <v>9826.938752</v>
      </c>
      <c r="F41" s="44">
        <v>10069.638223</v>
      </c>
      <c r="G41" s="44">
        <v>10470.415051999998</v>
      </c>
      <c r="H41" s="44">
        <v>10204.104506</v>
      </c>
      <c r="I41" s="44">
        <v>13055.538751000002</v>
      </c>
    </row>
    <row r="42" spans="1:9" ht="15">
      <c r="A42" s="43" t="str">
        <f>HLOOKUP(INDICE!$F$2,Nombres!$C$3:$D$636,62,FALSE)</f>
        <v>Valores representativos de deuda emitidos</v>
      </c>
      <c r="B42" s="44">
        <v>1348.27974588</v>
      </c>
      <c r="C42" s="44">
        <v>1413.9869129499998</v>
      </c>
      <c r="D42" s="44">
        <v>1458.80188354</v>
      </c>
      <c r="E42" s="45">
        <v>1560.66128746</v>
      </c>
      <c r="F42" s="44">
        <v>1453.3502919300001</v>
      </c>
      <c r="G42" s="44">
        <v>1360.0521206100002</v>
      </c>
      <c r="H42" s="44">
        <v>1379.86573023</v>
      </c>
      <c r="I42" s="44">
        <v>1413.32426826</v>
      </c>
    </row>
    <row r="43" spans="1:9" ht="15">
      <c r="A43" s="87" t="str">
        <f>HLOOKUP(INDICE!$F$2,Nombres!$C$3:$D$636,122,FALSE)</f>
        <v>Posiciones inter-áreas pasivo</v>
      </c>
      <c r="B43" s="44">
        <v>25205.49448506</v>
      </c>
      <c r="C43" s="44">
        <v>25140.77080198</v>
      </c>
      <c r="D43" s="44">
        <v>26776.706594110005</v>
      </c>
      <c r="E43" s="45">
        <v>26060.3068663</v>
      </c>
      <c r="F43" s="44">
        <v>25944.50101301001</v>
      </c>
      <c r="G43" s="44">
        <v>27284.150869800007</v>
      </c>
      <c r="H43" s="44">
        <v>28853.459249710002</v>
      </c>
      <c r="I43" s="44">
        <v>26475.577622650002</v>
      </c>
    </row>
    <row r="44" spans="1:9" ht="15">
      <c r="A44" s="43" t="str">
        <f>HLOOKUP(INDICE!$F$2,Nombres!$C$3:$D$636,63,FALSE)</f>
        <v>Otros pasivos</v>
      </c>
      <c r="B44" s="58">
        <f aca="true" t="shared" si="6" ref="B44:I44">+B38-B39-B40-B41-B42-B45-B43</f>
        <v>897.8703605199989</v>
      </c>
      <c r="C44" s="58">
        <f t="shared" si="6"/>
        <v>964.6381493100089</v>
      </c>
      <c r="D44" s="58">
        <f t="shared" si="6"/>
        <v>1080.5010808199986</v>
      </c>
      <c r="E44" s="64">
        <f t="shared" si="6"/>
        <v>1014.2815201500052</v>
      </c>
      <c r="F44" s="58">
        <f t="shared" si="6"/>
        <v>1039.3679199199942</v>
      </c>
      <c r="G44" s="58">
        <f t="shared" si="6"/>
        <v>1065.7877947300003</v>
      </c>
      <c r="H44" s="58">
        <f t="shared" si="6"/>
        <v>1333.5942191600116</v>
      </c>
      <c r="I44" s="58">
        <f t="shared" si="6"/>
        <v>1222.6042284600007</v>
      </c>
    </row>
    <row r="45" spans="1:9" ht="15">
      <c r="A45" s="43" t="str">
        <f>HLOOKUP(INDICE!$F$2,Nombres!$C$3:$D$636,282,FALSE)</f>
        <v>Dotación de capital regulatorio</v>
      </c>
      <c r="B45" s="58">
        <v>3714.0696879199995</v>
      </c>
      <c r="C45" s="58">
        <v>4057.9805321600006</v>
      </c>
      <c r="D45" s="58">
        <v>4299.7290569100005</v>
      </c>
      <c r="E45" s="64">
        <v>4348.044523819999</v>
      </c>
      <c r="F45" s="58">
        <v>4181.89351086</v>
      </c>
      <c r="G45" s="58">
        <v>4039.0305003299995</v>
      </c>
      <c r="H45" s="58">
        <v>4066.2810582299994</v>
      </c>
      <c r="I45" s="58">
        <v>4191.192927630001</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92" t="str">
        <f>HLOOKUP(INDICE!$F$2,Nombres!$C$3:$D$636,65,FALSE)</f>
        <v>Indicadores relevantes y de gestión</v>
      </c>
      <c r="B48" s="34"/>
      <c r="C48" s="34"/>
      <c r="D48" s="34"/>
      <c r="E48" s="34"/>
      <c r="F48" s="68"/>
      <c r="G48" s="68"/>
      <c r="H48" s="68"/>
      <c r="I48" s="68"/>
    </row>
    <row r="49" spans="1:9" ht="15">
      <c r="A49" s="83" t="str">
        <f>HLOOKUP(INDICE!$F$2,Nombres!$C$3:$D$636,32,FALSE)</f>
        <v>(Millones de euros)</v>
      </c>
      <c r="B49" s="30"/>
      <c r="C49" s="30"/>
      <c r="D49" s="30"/>
      <c r="E49" s="30"/>
      <c r="F49" s="69"/>
      <c r="G49" s="44"/>
      <c r="H49" s="44"/>
      <c r="I49" s="44"/>
    </row>
    <row r="50" spans="1:9" ht="15.75">
      <c r="A50" s="30"/>
      <c r="B50" s="53">
        <f aca="true" t="shared" si="7" ref="B50:I50">+B$30</f>
        <v>44651</v>
      </c>
      <c r="C50" s="53">
        <f t="shared" si="7"/>
        <v>44742</v>
      </c>
      <c r="D50" s="53">
        <f t="shared" si="7"/>
        <v>44834</v>
      </c>
      <c r="E50" s="67">
        <f t="shared" si="7"/>
        <v>44926</v>
      </c>
      <c r="F50" s="53">
        <f t="shared" si="7"/>
        <v>45016</v>
      </c>
      <c r="G50" s="53">
        <f t="shared" si="7"/>
        <v>45107</v>
      </c>
      <c r="H50" s="53">
        <f t="shared" si="7"/>
        <v>45199</v>
      </c>
      <c r="I50" s="53">
        <f t="shared" si="7"/>
        <v>45291</v>
      </c>
    </row>
    <row r="51" spans="1:9" ht="15">
      <c r="A51" s="87" t="str">
        <f>HLOOKUP(INDICE!$F$2,Nombres!$C$3:$D$636,66,FALSE)</f>
        <v>Préstamos y anticipos a la clientela bruto (*)</v>
      </c>
      <c r="B51" s="44">
        <v>31768.864961999996</v>
      </c>
      <c r="C51" s="44">
        <v>32427.772833999996</v>
      </c>
      <c r="D51" s="44">
        <v>35605.997004000004</v>
      </c>
      <c r="E51" s="45">
        <v>37613.089421</v>
      </c>
      <c r="F51" s="44">
        <v>36188.648453</v>
      </c>
      <c r="G51" s="44">
        <v>36407.027642999994</v>
      </c>
      <c r="H51" s="44">
        <v>38093.899092</v>
      </c>
      <c r="I51" s="44">
        <v>39560.986686000004</v>
      </c>
    </row>
    <row r="52" spans="1:9" ht="15">
      <c r="A52" s="87" t="str">
        <f>HLOOKUP(INDICE!$F$2,Nombres!$C$3:$D$636,67,FALSE)</f>
        <v>Depósitos de clientes en gestión (**)</v>
      </c>
      <c r="B52" s="44">
        <v>6649.53784499</v>
      </c>
      <c r="C52" s="44">
        <v>7734.917937000001</v>
      </c>
      <c r="D52" s="44">
        <v>8750.6499</v>
      </c>
      <c r="E52" s="45">
        <v>9826.938752</v>
      </c>
      <c r="F52" s="44">
        <v>10069.638223</v>
      </c>
      <c r="G52" s="44">
        <v>10470.415052</v>
      </c>
      <c r="H52" s="44">
        <v>10204.104506</v>
      </c>
      <c r="I52" s="44">
        <v>13055.538751</v>
      </c>
    </row>
    <row r="53" spans="1:9" ht="15">
      <c r="A53" s="43" t="str">
        <f>HLOOKUP(INDICE!$F$2,Nombres!$C$3:$D$636,68,FALSE)</f>
        <v>Fondos de inversión y carteras gestionadas</v>
      </c>
      <c r="B53" s="44">
        <v>0</v>
      </c>
      <c r="C53" s="44">
        <v>0</v>
      </c>
      <c r="D53" s="44">
        <v>0</v>
      </c>
      <c r="E53" s="45">
        <v>0</v>
      </c>
      <c r="F53" s="44">
        <v>0</v>
      </c>
      <c r="G53" s="44">
        <v>0</v>
      </c>
      <c r="H53" s="44">
        <v>0</v>
      </c>
      <c r="I53" s="44">
        <v>0</v>
      </c>
    </row>
    <row r="54" spans="1:9" ht="15">
      <c r="A54" s="87" t="str">
        <f>HLOOKUP(INDICE!$F$2,Nombres!$C$3:$D$636,69,FALSE)</f>
        <v>Fondos de pensiones</v>
      </c>
      <c r="B54" s="44">
        <v>580.94406159</v>
      </c>
      <c r="C54" s="44">
        <v>522.57530376</v>
      </c>
      <c r="D54" s="44">
        <v>523.75088513</v>
      </c>
      <c r="E54" s="45">
        <v>520.1</v>
      </c>
      <c r="F54" s="44">
        <v>510</v>
      </c>
      <c r="G54" s="44">
        <v>505.7343251</v>
      </c>
      <c r="H54" s="44">
        <v>480</v>
      </c>
      <c r="I54" s="44">
        <v>566</v>
      </c>
    </row>
    <row r="55" spans="1:9" ht="15">
      <c r="A55" s="87" t="str">
        <f>HLOOKUP(INDICE!$F$2,Nombres!$C$3:$D$636,70,FALSE)</f>
        <v>Otros recursos fuera de balance</v>
      </c>
      <c r="B55" s="44">
        <v>0</v>
      </c>
      <c r="C55" s="44">
        <v>0</v>
      </c>
      <c r="D55" s="44">
        <v>0</v>
      </c>
      <c r="E55" s="45">
        <v>0</v>
      </c>
      <c r="F55" s="44">
        <v>0</v>
      </c>
      <c r="G55" s="44">
        <v>0</v>
      </c>
      <c r="H55" s="44">
        <v>0</v>
      </c>
      <c r="I55" s="44">
        <v>0</v>
      </c>
    </row>
    <row r="56" spans="1:9" ht="15">
      <c r="A56" s="91" t="str">
        <f>HLOOKUP(INDICE!$F$2,Nombres!$C$3:$D$636,71,FALSE)</f>
        <v>(*) No incluye las adquisiciones temporales de activos.</v>
      </c>
      <c r="B56" s="58"/>
      <c r="C56" s="58"/>
      <c r="D56" s="58"/>
      <c r="E56" s="58"/>
      <c r="F56" s="44"/>
      <c r="G56" s="44"/>
      <c r="H56" s="44"/>
      <c r="I56" s="44"/>
    </row>
    <row r="57" spans="1:9" ht="15">
      <c r="A57" s="91" t="str">
        <f>HLOOKUP(INDICE!$F$2,Nombres!$C$3:$D$636,72,FALSE)</f>
        <v>(**) No incluye las cesiones temporales de activos.</v>
      </c>
      <c r="B57" s="30"/>
      <c r="C57" s="30"/>
      <c r="D57" s="30"/>
      <c r="E57" s="30"/>
      <c r="F57" s="69"/>
      <c r="G57" s="69"/>
      <c r="H57" s="69"/>
      <c r="I57" s="69"/>
    </row>
    <row r="58" spans="1:9" ht="15">
      <c r="A58" s="62"/>
      <c r="B58" s="30"/>
      <c r="C58" s="30"/>
      <c r="D58" s="30"/>
      <c r="E58" s="30"/>
      <c r="F58" s="69"/>
      <c r="G58" s="69"/>
      <c r="H58" s="69"/>
      <c r="I58" s="69"/>
    </row>
    <row r="59" spans="1:9" ht="18">
      <c r="A59" s="92" t="str">
        <f>HLOOKUP(INDICE!$F$2,Nombres!$C$3:$D$636,31,FALSE)</f>
        <v>Cuenta de resultados  </v>
      </c>
      <c r="B59" s="34"/>
      <c r="C59" s="34"/>
      <c r="D59" s="34"/>
      <c r="E59" s="34"/>
      <c r="F59" s="68"/>
      <c r="G59" s="68"/>
      <c r="H59" s="68"/>
      <c r="I59" s="68"/>
    </row>
    <row r="60" spans="1:9" ht="15">
      <c r="A60" s="83" t="str">
        <f>HLOOKUP(INDICE!$F$2,Nombres!$C$3:$D$636,73,FALSE)</f>
        <v>(Millones de euros constantes)</v>
      </c>
      <c r="B60" s="30"/>
      <c r="C60" s="36"/>
      <c r="D60" s="36"/>
      <c r="E60" s="36"/>
      <c r="F60" s="69"/>
      <c r="G60" s="69"/>
      <c r="H60" s="69"/>
      <c r="I60" s="69"/>
    </row>
    <row r="61" spans="1:9" ht="15">
      <c r="A61" s="37"/>
      <c r="B61" s="30"/>
      <c r="C61" s="36"/>
      <c r="D61" s="36"/>
      <c r="E61" s="36"/>
      <c r="F61" s="30"/>
      <c r="G61" s="30"/>
      <c r="H61" s="30"/>
      <c r="I61" s="30"/>
    </row>
    <row r="62" spans="1:9" ht="15.75">
      <c r="A62" s="38"/>
      <c r="B62" s="301">
        <f>+B$6</f>
        <v>2022</v>
      </c>
      <c r="C62" s="301"/>
      <c r="D62" s="301"/>
      <c r="E62" s="302"/>
      <c r="F62" s="301">
        <f>+F$6</f>
        <v>2023</v>
      </c>
      <c r="G62" s="301"/>
      <c r="H62" s="301"/>
      <c r="I62" s="301"/>
    </row>
    <row r="63" spans="1:9" ht="15.75">
      <c r="A63" s="38"/>
      <c r="B63" s="84" t="str">
        <f aca="true" t="shared" si="8" ref="B63:I63">+B$7</f>
        <v>1er Trim.</v>
      </c>
      <c r="C63" s="84" t="str">
        <f t="shared" si="8"/>
        <v>2º Trim.</v>
      </c>
      <c r="D63" s="84" t="str">
        <f t="shared" si="8"/>
        <v>3er Trim.</v>
      </c>
      <c r="E63" s="85" t="str">
        <f t="shared" si="8"/>
        <v>4º Trim.</v>
      </c>
      <c r="F63" s="84" t="str">
        <f t="shared" si="8"/>
        <v>1er Trim.</v>
      </c>
      <c r="G63" s="84" t="str">
        <f t="shared" si="8"/>
        <v>2º Trim.</v>
      </c>
      <c r="H63" s="84" t="str">
        <f t="shared" si="8"/>
        <v>3er Trim.</v>
      </c>
      <c r="I63" s="84" t="str">
        <f t="shared" si="8"/>
        <v>4º Trim.</v>
      </c>
    </row>
    <row r="64" spans="1:9" ht="15">
      <c r="A64" s="41" t="str">
        <f>HLOOKUP(INDICE!$F$2,Nombres!$C$3:$D$636,33,FALSE)</f>
        <v>Margen de intereses</v>
      </c>
      <c r="B64" s="41">
        <v>75.66504206797727</v>
      </c>
      <c r="C64" s="41">
        <v>77.19393064780716</v>
      </c>
      <c r="D64" s="41">
        <v>82.63604586593925</v>
      </c>
      <c r="E64" s="42">
        <v>93.84958605301739</v>
      </c>
      <c r="F64" s="50">
        <v>113.06310591534097</v>
      </c>
      <c r="G64" s="50">
        <v>145.63350824641728</v>
      </c>
      <c r="H64" s="50">
        <v>142.13902672946907</v>
      </c>
      <c r="I64" s="50">
        <v>138.02694229877267</v>
      </c>
    </row>
    <row r="65" spans="1:9" ht="15">
      <c r="A65" s="87" t="str">
        <f>HLOOKUP(INDICE!$F$2,Nombres!$C$3:$D$636,34,FALSE)</f>
        <v>Comisiones netas</v>
      </c>
      <c r="B65" s="44">
        <v>57.076770925827574</v>
      </c>
      <c r="C65" s="44">
        <v>64.31305664212834</v>
      </c>
      <c r="D65" s="44">
        <v>60.27064402505184</v>
      </c>
      <c r="E65" s="45">
        <v>59.700569848021956</v>
      </c>
      <c r="F65" s="44">
        <v>68.3676392900894</v>
      </c>
      <c r="G65" s="44">
        <v>63.57487645653761</v>
      </c>
      <c r="H65" s="44">
        <v>58.20966295404235</v>
      </c>
      <c r="I65" s="44">
        <v>54.25445786933064</v>
      </c>
    </row>
    <row r="66" spans="1:9" ht="15">
      <c r="A66" s="87" t="str">
        <f>HLOOKUP(INDICE!$F$2,Nombres!$C$3:$D$636,35,FALSE)</f>
        <v>Resultados de operaciones financieras</v>
      </c>
      <c r="B66" s="44">
        <v>68.2998453395358</v>
      </c>
      <c r="C66" s="44">
        <v>33.991354010066026</v>
      </c>
      <c r="D66" s="44">
        <v>44.273498425719424</v>
      </c>
      <c r="E66" s="45">
        <v>59.95835731680315</v>
      </c>
      <c r="F66" s="44">
        <v>76.5662662420129</v>
      </c>
      <c r="G66" s="44">
        <v>95.65698860521553</v>
      </c>
      <c r="H66" s="44">
        <v>74.9166174968758</v>
      </c>
      <c r="I66" s="44">
        <v>69.29226654589577</v>
      </c>
    </row>
    <row r="67" spans="1:9" ht="15">
      <c r="A67" s="87" t="str">
        <f>HLOOKUP(INDICE!$F$2,Nombres!$C$3:$D$636,36,FALSE)</f>
        <v>Otros ingresos y cargas de explotación</v>
      </c>
      <c r="B67" s="44">
        <v>2.4987650068228433</v>
      </c>
      <c r="C67" s="44">
        <v>0.8513549358228201</v>
      </c>
      <c r="D67" s="44">
        <v>0.7025801315360876</v>
      </c>
      <c r="E67" s="45">
        <v>2.3949108126130763</v>
      </c>
      <c r="F67" s="44">
        <v>0.8495936743568658</v>
      </c>
      <c r="G67" s="44">
        <v>-0.622733199342554</v>
      </c>
      <c r="H67" s="44">
        <v>3.2182527115447646</v>
      </c>
      <c r="I67" s="44">
        <v>-0.15004961655907612</v>
      </c>
    </row>
    <row r="68" spans="1:9" ht="15">
      <c r="A68" s="41" t="str">
        <f>HLOOKUP(INDICE!$F$2,Nombres!$C$3:$D$636,37,FALSE)</f>
        <v>Margen bruto</v>
      </c>
      <c r="B68" s="41">
        <f aca="true" t="shared" si="9" ref="B68:I68">+SUM(B64:B67)</f>
        <v>203.5404233401635</v>
      </c>
      <c r="C68" s="41">
        <f t="shared" si="9"/>
        <v>176.34969623582438</v>
      </c>
      <c r="D68" s="41">
        <f t="shared" si="9"/>
        <v>187.8827684482466</v>
      </c>
      <c r="E68" s="42">
        <f t="shared" si="9"/>
        <v>215.90342403045557</v>
      </c>
      <c r="F68" s="50">
        <f t="shared" si="9"/>
        <v>258.8466051218001</v>
      </c>
      <c r="G68" s="50">
        <f t="shared" si="9"/>
        <v>304.24264010882786</v>
      </c>
      <c r="H68" s="50">
        <f t="shared" si="9"/>
        <v>278.48355989193203</v>
      </c>
      <c r="I68" s="50">
        <f t="shared" si="9"/>
        <v>261.42361709744</v>
      </c>
    </row>
    <row r="69" spans="1:9" ht="15">
      <c r="A69" s="87" t="str">
        <f>HLOOKUP(INDICE!$F$2,Nombres!$C$3:$D$636,38,FALSE)</f>
        <v>Gastos de explotación</v>
      </c>
      <c r="B69" s="44">
        <v>-115.91521756775585</v>
      </c>
      <c r="C69" s="44">
        <v>-115.97593631727759</v>
      </c>
      <c r="D69" s="44">
        <v>-125.82905805312326</v>
      </c>
      <c r="E69" s="45">
        <v>-151.60469698700905</v>
      </c>
      <c r="F69" s="44">
        <v>-137.52290444011095</v>
      </c>
      <c r="G69" s="44">
        <v>-138.86035023672358</v>
      </c>
      <c r="H69" s="44">
        <v>-147.67291890916422</v>
      </c>
      <c r="I69" s="44">
        <v>-171.61917060400128</v>
      </c>
    </row>
    <row r="70" spans="1:9" ht="15">
      <c r="A70" s="87" t="str">
        <f>HLOOKUP(INDICE!$F$2,Nombres!$C$3:$D$636,39,FALSE)</f>
        <v>  Gastos de administración</v>
      </c>
      <c r="B70" s="44">
        <v>-110.59032002094455</v>
      </c>
      <c r="C70" s="44">
        <v>-110.41127556665577</v>
      </c>
      <c r="D70" s="44">
        <v>-119.5483671019617</v>
      </c>
      <c r="E70" s="45">
        <v>-146.01038945174918</v>
      </c>
      <c r="F70" s="44">
        <v>-131.5844609460972</v>
      </c>
      <c r="G70" s="44">
        <v>-132.6990025397683</v>
      </c>
      <c r="H70" s="44">
        <v>-140.99967271409577</v>
      </c>
      <c r="I70" s="44">
        <v>-164.19054789003872</v>
      </c>
    </row>
    <row r="71" spans="1:9" ht="15">
      <c r="A71" s="88" t="str">
        <f>HLOOKUP(INDICE!$F$2,Nombres!$C$3:$D$636,40,FALSE)</f>
        <v>  Gastos de personal</v>
      </c>
      <c r="B71" s="44">
        <v>-61.99450285958048</v>
      </c>
      <c r="C71" s="44">
        <v>-58.03276061290052</v>
      </c>
      <c r="D71" s="44">
        <v>-67.12079851182133</v>
      </c>
      <c r="E71" s="45">
        <v>-77.17418545914148</v>
      </c>
      <c r="F71" s="44">
        <v>-69.52249025715163</v>
      </c>
      <c r="G71" s="44">
        <v>-64.41181434169188</v>
      </c>
      <c r="H71" s="44">
        <v>-75.15974705256511</v>
      </c>
      <c r="I71" s="44">
        <v>-93.5146226185914</v>
      </c>
    </row>
    <row r="72" spans="1:9" ht="15">
      <c r="A72" s="88" t="str">
        <f>HLOOKUP(INDICE!$F$2,Nombres!$C$3:$D$636,41,FALSE)</f>
        <v>  Otros gastos de administración</v>
      </c>
      <c r="B72" s="44">
        <v>-48.59581716136408</v>
      </c>
      <c r="C72" s="44">
        <v>-52.37851495375526</v>
      </c>
      <c r="D72" s="44">
        <v>-52.42756859014035</v>
      </c>
      <c r="E72" s="45">
        <v>-68.83620399260771</v>
      </c>
      <c r="F72" s="44">
        <v>-62.06197068894559</v>
      </c>
      <c r="G72" s="44">
        <v>-68.28718819807642</v>
      </c>
      <c r="H72" s="44">
        <v>-65.83992566153066</v>
      </c>
      <c r="I72" s="44">
        <v>-70.67592527144731</v>
      </c>
    </row>
    <row r="73" spans="1:9" ht="15">
      <c r="A73" s="87" t="str">
        <f>HLOOKUP(INDICE!$F$2,Nombres!$C$3:$D$636,42,FALSE)</f>
        <v>  Amortización</v>
      </c>
      <c r="B73" s="44">
        <v>-5.324897546811281</v>
      </c>
      <c r="C73" s="44">
        <v>-5.564660750621822</v>
      </c>
      <c r="D73" s="44">
        <v>-6.280690951161558</v>
      </c>
      <c r="E73" s="45">
        <v>-5.594307535259885</v>
      </c>
      <c r="F73" s="44">
        <v>-5.938443494013717</v>
      </c>
      <c r="G73" s="44">
        <v>-6.1613476969552625</v>
      </c>
      <c r="H73" s="44">
        <v>-6.673246195068459</v>
      </c>
      <c r="I73" s="44">
        <v>-7.428622713962563</v>
      </c>
    </row>
    <row r="74" spans="1:9" ht="15">
      <c r="A74" s="41" t="str">
        <f>HLOOKUP(INDICE!$F$2,Nombres!$C$3:$D$636,43,FALSE)</f>
        <v>Margen neto</v>
      </c>
      <c r="B74" s="41">
        <f aca="true" t="shared" si="10" ref="B74:I74">+B68+B69</f>
        <v>87.62520577240765</v>
      </c>
      <c r="C74" s="41">
        <f t="shared" si="10"/>
        <v>60.373759918546796</v>
      </c>
      <c r="D74" s="41">
        <f t="shared" si="10"/>
        <v>62.05371039512333</v>
      </c>
      <c r="E74" s="42">
        <f t="shared" si="10"/>
        <v>64.29872704344652</v>
      </c>
      <c r="F74" s="50">
        <f t="shared" si="10"/>
        <v>121.32370068168916</v>
      </c>
      <c r="G74" s="50">
        <f t="shared" si="10"/>
        <v>165.38228987210428</v>
      </c>
      <c r="H74" s="50">
        <f t="shared" si="10"/>
        <v>130.8106409827678</v>
      </c>
      <c r="I74" s="50">
        <f t="shared" si="10"/>
        <v>89.80444649343872</v>
      </c>
    </row>
    <row r="75" spans="1:9" ht="15">
      <c r="A75" s="87" t="str">
        <f>HLOOKUP(INDICE!$F$2,Nombres!$C$3:$D$636,44,FALSE)</f>
        <v>Deterioro de activos financieros no valorados a valor razonable con cambios en resultados</v>
      </c>
      <c r="B75" s="44">
        <v>7.393429113602151</v>
      </c>
      <c r="C75" s="44">
        <v>-7.654451644520769</v>
      </c>
      <c r="D75" s="44">
        <v>-2.4798974726334038</v>
      </c>
      <c r="E75" s="45">
        <v>-10.231743827707426</v>
      </c>
      <c r="F75" s="44">
        <v>-18.48721780924434</v>
      </c>
      <c r="G75" s="44">
        <v>-4.524255517585017</v>
      </c>
      <c r="H75" s="44">
        <v>-1.3516329707175396</v>
      </c>
      <c r="I75" s="44">
        <v>-3.2761102024531064</v>
      </c>
    </row>
    <row r="76" spans="1:9" ht="15">
      <c r="A76" s="87" t="str">
        <f>HLOOKUP(INDICE!$F$2,Nombres!$C$3:$D$636,45,FALSE)</f>
        <v>Provisiones o reversión de provisiones y otros resultados</v>
      </c>
      <c r="B76" s="44">
        <v>9.829193580002407</v>
      </c>
      <c r="C76" s="44">
        <v>1.8414560533658595</v>
      </c>
      <c r="D76" s="44">
        <v>1.7994118362205413</v>
      </c>
      <c r="E76" s="45">
        <v>0.25129935328083</v>
      </c>
      <c r="F76" s="44">
        <v>7.391504829524767</v>
      </c>
      <c r="G76" s="44">
        <v>-0.9622001769902255</v>
      </c>
      <c r="H76" s="44">
        <v>3.8603359293245303</v>
      </c>
      <c r="I76" s="44">
        <v>-10.919223591859073</v>
      </c>
    </row>
    <row r="77" spans="1:9" ht="15">
      <c r="A77" s="89" t="str">
        <f>HLOOKUP(INDICE!$F$2,Nombres!$C$3:$D$636,46,FALSE)</f>
        <v>Resultado antes de impuestos</v>
      </c>
      <c r="B77" s="41">
        <f aca="true" t="shared" si="11" ref="B77:I77">+B74+B75+B76</f>
        <v>104.84782846601222</v>
      </c>
      <c r="C77" s="41">
        <f t="shared" si="11"/>
        <v>54.56076432739189</v>
      </c>
      <c r="D77" s="41">
        <f t="shared" si="11"/>
        <v>61.37322475871047</v>
      </c>
      <c r="E77" s="42">
        <f t="shared" si="11"/>
        <v>54.31828256901992</v>
      </c>
      <c r="F77" s="50">
        <f t="shared" si="11"/>
        <v>110.22798770196958</v>
      </c>
      <c r="G77" s="50">
        <f t="shared" si="11"/>
        <v>159.89583417752905</v>
      </c>
      <c r="H77" s="50">
        <f t="shared" si="11"/>
        <v>133.3193439413748</v>
      </c>
      <c r="I77" s="50">
        <f t="shared" si="11"/>
        <v>75.60911269912654</v>
      </c>
    </row>
    <row r="78" spans="1:9" ht="15">
      <c r="A78" s="43" t="str">
        <f>HLOOKUP(INDICE!$F$2,Nombres!$C$3:$D$636,47,FALSE)</f>
        <v>Impuesto sobre beneficios</v>
      </c>
      <c r="B78" s="44">
        <v>-23.158184038788214</v>
      </c>
      <c r="C78" s="44">
        <v>-10.590163190492081</v>
      </c>
      <c r="D78" s="44">
        <v>-11.103954729962894</v>
      </c>
      <c r="E78" s="45">
        <v>7.6130313802889695</v>
      </c>
      <c r="F78" s="44">
        <v>-19.121241061704332</v>
      </c>
      <c r="G78" s="44">
        <v>-39.78083417930921</v>
      </c>
      <c r="H78" s="44">
        <v>-27.346582668726423</v>
      </c>
      <c r="I78" s="44">
        <v>-3.4378442902600277</v>
      </c>
    </row>
    <row r="79" spans="1:9" ht="15">
      <c r="A79" s="89" t="str">
        <f>HLOOKUP(INDICE!$F$2,Nombres!$C$3:$D$636,48,FALSE)</f>
        <v>Resultado del ejercicio</v>
      </c>
      <c r="B79" s="41">
        <f aca="true" t="shared" si="12" ref="B79:I79">+B77+B78</f>
        <v>81.68964442722401</v>
      </c>
      <c r="C79" s="41">
        <f t="shared" si="12"/>
        <v>43.9706011368998</v>
      </c>
      <c r="D79" s="41">
        <f t="shared" si="12"/>
        <v>50.26927002874758</v>
      </c>
      <c r="E79" s="42">
        <f t="shared" si="12"/>
        <v>61.93131394930889</v>
      </c>
      <c r="F79" s="50">
        <f t="shared" si="12"/>
        <v>91.10674664026524</v>
      </c>
      <c r="G79" s="50">
        <f t="shared" si="12"/>
        <v>120.11499999821984</v>
      </c>
      <c r="H79" s="50">
        <f t="shared" si="12"/>
        <v>105.97276127264837</v>
      </c>
      <c r="I79" s="50">
        <f t="shared" si="12"/>
        <v>72.17126840886651</v>
      </c>
    </row>
    <row r="80" spans="1:9" ht="15">
      <c r="A80" s="87" t="str">
        <f>HLOOKUP(INDICE!$F$2,Nombres!$C$3:$D$636,49,FALSE)</f>
        <v>Minoritarios</v>
      </c>
      <c r="B80" s="44">
        <v>0</v>
      </c>
      <c r="C80" s="44">
        <v>0</v>
      </c>
      <c r="D80" s="44">
        <v>0</v>
      </c>
      <c r="E80" s="45">
        <v>0</v>
      </c>
      <c r="F80" s="44">
        <v>0</v>
      </c>
      <c r="G80" s="44">
        <v>0</v>
      </c>
      <c r="H80" s="44">
        <v>0</v>
      </c>
      <c r="I80" s="44">
        <v>0</v>
      </c>
    </row>
    <row r="81" spans="1:9" ht="15">
      <c r="A81" s="90" t="str">
        <f>HLOOKUP(INDICE!$F$2,Nombres!$C$3:$D$636,50,FALSE)</f>
        <v>Resultado atribuido</v>
      </c>
      <c r="B81" s="47">
        <f aca="true" t="shared" si="13" ref="B81:I81">+B79+B80</f>
        <v>81.68964442722401</v>
      </c>
      <c r="C81" s="47">
        <f t="shared" si="13"/>
        <v>43.9706011368998</v>
      </c>
      <c r="D81" s="47">
        <f t="shared" si="13"/>
        <v>50.26927002874758</v>
      </c>
      <c r="E81" s="47">
        <f t="shared" si="13"/>
        <v>61.93131394930889</v>
      </c>
      <c r="F81" s="51">
        <f t="shared" si="13"/>
        <v>91.10674664026524</v>
      </c>
      <c r="G81" s="51">
        <f t="shared" si="13"/>
        <v>120.11499999821984</v>
      </c>
      <c r="H81" s="51">
        <f t="shared" si="13"/>
        <v>105.97276127264837</v>
      </c>
      <c r="I81" s="51">
        <f t="shared" si="13"/>
        <v>72.17126840886651</v>
      </c>
    </row>
    <row r="82" spans="1:9" ht="15">
      <c r="A82" s="91"/>
      <c r="B82" s="63">
        <v>0</v>
      </c>
      <c r="C82" s="63">
        <v>5.684341886080802E-14</v>
      </c>
      <c r="D82" s="63">
        <v>0</v>
      </c>
      <c r="E82" s="63">
        <v>0</v>
      </c>
      <c r="F82" s="63">
        <v>0</v>
      </c>
      <c r="G82" s="63">
        <v>0</v>
      </c>
      <c r="H82" s="63">
        <v>0</v>
      </c>
      <c r="I82" s="63">
        <v>0</v>
      </c>
    </row>
    <row r="83" spans="1:9" ht="15">
      <c r="A83" s="41"/>
      <c r="B83" s="41"/>
      <c r="C83" s="41"/>
      <c r="D83" s="41"/>
      <c r="E83" s="41"/>
      <c r="F83" s="50"/>
      <c r="G83" s="50"/>
      <c r="H83" s="50"/>
      <c r="I83" s="50"/>
    </row>
    <row r="84" spans="1:9" ht="18">
      <c r="A84" s="92" t="str">
        <f>HLOOKUP(INDICE!$F$2,Nombres!$C$3:$D$636,51,FALSE)</f>
        <v>Balances</v>
      </c>
      <c r="B84" s="34"/>
      <c r="C84" s="34"/>
      <c r="D84" s="34"/>
      <c r="E84" s="34"/>
      <c r="F84" s="68"/>
      <c r="G84" s="68"/>
      <c r="H84" s="68"/>
      <c r="I84" s="68"/>
    </row>
    <row r="85" spans="1:9" ht="15">
      <c r="A85" s="83" t="str">
        <f>HLOOKUP(INDICE!$F$2,Nombres!$C$3:$D$636,73,FALSE)</f>
        <v>(Millones de euros constantes)</v>
      </c>
      <c r="B85" s="30"/>
      <c r="C85" s="52"/>
      <c r="D85" s="52"/>
      <c r="E85" s="52"/>
      <c r="F85" s="69"/>
      <c r="G85" s="44"/>
      <c r="H85" s="44"/>
      <c r="I85" s="44"/>
    </row>
    <row r="86" spans="1:9" ht="15.75">
      <c r="A86" s="30"/>
      <c r="B86" s="53">
        <f aca="true" t="shared" si="14" ref="B86:I86">+B$30</f>
        <v>44651</v>
      </c>
      <c r="C86" s="53">
        <f t="shared" si="14"/>
        <v>44742</v>
      </c>
      <c r="D86" s="53">
        <f t="shared" si="14"/>
        <v>44834</v>
      </c>
      <c r="E86" s="67">
        <f t="shared" si="14"/>
        <v>44926</v>
      </c>
      <c r="F86" s="53">
        <f t="shared" si="14"/>
        <v>45016</v>
      </c>
      <c r="G86" s="53">
        <f t="shared" si="14"/>
        <v>45107</v>
      </c>
      <c r="H86" s="53">
        <f t="shared" si="14"/>
        <v>45199</v>
      </c>
      <c r="I86" s="53">
        <f t="shared" si="14"/>
        <v>45291</v>
      </c>
    </row>
    <row r="87" spans="1:9" ht="15">
      <c r="A87" s="87" t="str">
        <f>HLOOKUP(INDICE!$F$2,Nombres!$C$3:$D$636,52,FALSE)</f>
        <v>Efectivo, saldos en efectivo en bancos centrales y otros depósitos a la vista</v>
      </c>
      <c r="B87" s="44">
        <v>3829.930607591855</v>
      </c>
      <c r="C87" s="44">
        <v>4818.143565574891</v>
      </c>
      <c r="D87" s="44">
        <v>4368.239003118376</v>
      </c>
      <c r="E87" s="45">
        <v>3887.555928247521</v>
      </c>
      <c r="F87" s="44">
        <v>4074.228219297705</v>
      </c>
      <c r="G87" s="44">
        <v>5545.200021249381</v>
      </c>
      <c r="H87" s="44">
        <v>4223.469973147008</v>
      </c>
      <c r="I87" s="44">
        <v>4748.2834649999995</v>
      </c>
    </row>
    <row r="88" spans="1:9" ht="15">
      <c r="A88" s="87" t="str">
        <f>HLOOKUP(INDICE!$F$2,Nombres!$C$3:$D$636,53,FALSE)</f>
        <v>Activos financieros a valor razonable</v>
      </c>
      <c r="B88" s="58">
        <v>8623.869195666291</v>
      </c>
      <c r="C88" s="58">
        <v>5407.514525755136</v>
      </c>
      <c r="D88" s="58">
        <v>3568.8063827173883</v>
      </c>
      <c r="E88" s="64">
        <v>4932.758572881608</v>
      </c>
      <c r="F88" s="44">
        <v>6556.252255034758</v>
      </c>
      <c r="G88" s="44">
        <v>8513.652137860146</v>
      </c>
      <c r="H88" s="44">
        <v>9103.694964541677</v>
      </c>
      <c r="I88" s="44">
        <v>15474.809394999998</v>
      </c>
    </row>
    <row r="89" spans="1:9" ht="15">
      <c r="A89" s="43" t="str">
        <f>HLOOKUP(INDICE!$F$2,Nombres!$C$3:$D$636,54,FALSE)</f>
        <v>Activos financieros a coste amortizado</v>
      </c>
      <c r="B89" s="44">
        <v>34869.417282591916</v>
      </c>
      <c r="C89" s="44">
        <v>34522.97419419053</v>
      </c>
      <c r="D89" s="44">
        <v>36910.29757452768</v>
      </c>
      <c r="E89" s="45">
        <v>40090.52798497001</v>
      </c>
      <c r="F89" s="44">
        <v>39037.739223060715</v>
      </c>
      <c r="G89" s="44">
        <v>39360.55190766618</v>
      </c>
      <c r="H89" s="44">
        <v>40807.59991422443</v>
      </c>
      <c r="I89" s="44">
        <v>43363.194665999996</v>
      </c>
    </row>
    <row r="90" spans="1:9" ht="15">
      <c r="A90" s="87" t="str">
        <f>HLOOKUP(INDICE!$F$2,Nombres!$C$3:$D$636,55,FALSE)</f>
        <v>    de los que préstamos y anticipos a la clientela</v>
      </c>
      <c r="B90" s="44">
        <v>31579.18061764812</v>
      </c>
      <c r="C90" s="44">
        <v>31700.072324079276</v>
      </c>
      <c r="D90" s="44">
        <v>34155.51752396497</v>
      </c>
      <c r="E90" s="45">
        <v>37038.05565115087</v>
      </c>
      <c r="F90" s="44">
        <v>35805.82058338852</v>
      </c>
      <c r="G90" s="44">
        <v>36015.79348626163</v>
      </c>
      <c r="H90" s="44">
        <v>37391.815077631414</v>
      </c>
      <c r="I90" s="44">
        <v>39321.714008</v>
      </c>
    </row>
    <row r="91" spans="1:9" ht="15">
      <c r="A91" s="87" t="str">
        <f>HLOOKUP(INDICE!$F$2,Nombres!$C$3:$D$636,121,FALSE)</f>
        <v>Posiciones inter-áreas activo</v>
      </c>
      <c r="B91" s="44">
        <v>0</v>
      </c>
      <c r="C91" s="44">
        <v>0</v>
      </c>
      <c r="D91" s="44">
        <v>0</v>
      </c>
      <c r="E91" s="45">
        <v>0</v>
      </c>
      <c r="F91" s="44">
        <v>0</v>
      </c>
      <c r="G91" s="44">
        <v>0</v>
      </c>
      <c r="H91" s="44">
        <v>0</v>
      </c>
      <c r="I91" s="44">
        <v>0</v>
      </c>
    </row>
    <row r="92" spans="1:9" ht="15">
      <c r="A92" s="43" t="str">
        <f>HLOOKUP(INDICE!$F$2,Nombres!$C$3:$D$636,56,FALSE)</f>
        <v>Activos tangibles</v>
      </c>
      <c r="B92" s="44">
        <v>79.71297442656162</v>
      </c>
      <c r="C92" s="44">
        <v>76.5413854447941</v>
      </c>
      <c r="D92" s="44">
        <v>79.51630226204009</v>
      </c>
      <c r="E92" s="45">
        <v>78.31365393445685</v>
      </c>
      <c r="F92" s="44">
        <v>75.14266193910184</v>
      </c>
      <c r="G92" s="44">
        <v>71.63249851848991</v>
      </c>
      <c r="H92" s="44">
        <v>147.50929659498178</v>
      </c>
      <c r="I92" s="44">
        <v>151.08536</v>
      </c>
    </row>
    <row r="93" spans="1:9" ht="15">
      <c r="A93" s="87" t="str">
        <f>HLOOKUP(INDICE!$F$2,Nombres!$C$3:$D$636,57,FALSE)</f>
        <v>Otros activos</v>
      </c>
      <c r="B93" s="58">
        <f>+B94-B92-B89-B88-B87-B91</f>
        <v>369.27136326824166</v>
      </c>
      <c r="C93" s="58">
        <f aca="true" t="shared" si="15" ref="C93:I93">+C94-C92-C89-C88-C87</f>
        <v>319.7034205188329</v>
      </c>
      <c r="D93" s="58">
        <f t="shared" si="15"/>
        <v>424.62042114792075</v>
      </c>
      <c r="E93" s="64">
        <f t="shared" si="15"/>
        <v>337.82377966295235</v>
      </c>
      <c r="F93" s="44">
        <f t="shared" si="15"/>
        <v>377.0779819868417</v>
      </c>
      <c r="G93" s="44">
        <f t="shared" si="15"/>
        <v>378.00948699646597</v>
      </c>
      <c r="H93" s="44">
        <f t="shared" si="15"/>
        <v>424.7774368893224</v>
      </c>
      <c r="I93" s="44">
        <f t="shared" si="15"/>
        <v>536.7929480000084</v>
      </c>
    </row>
    <row r="94" spans="1:9" ht="15">
      <c r="A94" s="90" t="str">
        <f>HLOOKUP(INDICE!$F$2,Nombres!$C$3:$D$636,58,FALSE)</f>
        <v>Total activo / pasivo</v>
      </c>
      <c r="B94" s="47">
        <v>47772.201423544866</v>
      </c>
      <c r="C94" s="47">
        <v>45144.87709148418</v>
      </c>
      <c r="D94" s="47">
        <v>45351.4796837734</v>
      </c>
      <c r="E94" s="70">
        <v>49326.97991969655</v>
      </c>
      <c r="F94" s="51">
        <v>50120.44034131912</v>
      </c>
      <c r="G94" s="51">
        <v>53869.046052290665</v>
      </c>
      <c r="H94" s="51">
        <v>54707.05158539742</v>
      </c>
      <c r="I94" s="51">
        <v>64274.165834</v>
      </c>
    </row>
    <row r="95" spans="1:9" ht="15">
      <c r="A95" s="87" t="str">
        <f>HLOOKUP(INDICE!$F$2,Nombres!$C$3:$D$636,59,FALSE)</f>
        <v>Pasivos financieros mantenidos para negociar y designados a valor razonable con cambios en resultados</v>
      </c>
      <c r="B95" s="58">
        <v>7949.777760285793</v>
      </c>
      <c r="C95" s="58">
        <v>4724.93923171028</v>
      </c>
      <c r="D95" s="58">
        <v>2893.0733246568393</v>
      </c>
      <c r="E95" s="64">
        <v>4245.540979864064</v>
      </c>
      <c r="F95" s="44">
        <v>5848.288307556757</v>
      </c>
      <c r="G95" s="44">
        <v>7676.245350984752</v>
      </c>
      <c r="H95" s="44">
        <v>8246.080882697494</v>
      </c>
      <c r="I95" s="44">
        <v>14830.603615</v>
      </c>
    </row>
    <row r="96" spans="1:9" ht="15">
      <c r="A96" s="87" t="str">
        <f>HLOOKUP(INDICE!$F$2,Nombres!$C$3:$D$636,60,FALSE)</f>
        <v>Depósitos de bancos centrales y entidades de crédito</v>
      </c>
      <c r="B96" s="58">
        <v>1849.7239042086726</v>
      </c>
      <c r="C96" s="58">
        <v>1770.5629128085004</v>
      </c>
      <c r="D96" s="58">
        <v>1775.6382506567331</v>
      </c>
      <c r="E96" s="64">
        <v>2713.8148515095304</v>
      </c>
      <c r="F96" s="44">
        <v>1767.3447007109414</v>
      </c>
      <c r="G96" s="44">
        <v>2198.577956837175</v>
      </c>
      <c r="H96" s="44">
        <v>1265.8875196320068</v>
      </c>
      <c r="I96" s="44">
        <v>3085.3244210000003</v>
      </c>
    </row>
    <row r="97" spans="1:9" ht="15">
      <c r="A97" s="87" t="str">
        <f>HLOOKUP(INDICE!$F$2,Nombres!$C$3:$D$636,61,FALSE)</f>
        <v>Depósitos de la clientela</v>
      </c>
      <c r="B97" s="58">
        <v>6750.33591335634</v>
      </c>
      <c r="C97" s="58">
        <v>7593.185953988803</v>
      </c>
      <c r="D97" s="58">
        <v>8348.314112626575</v>
      </c>
      <c r="E97" s="64">
        <v>9757.540544558271</v>
      </c>
      <c r="F97" s="44">
        <v>10054.230065383508</v>
      </c>
      <c r="G97" s="44">
        <v>10448.073480749865</v>
      </c>
      <c r="H97" s="44">
        <v>10085.565870663735</v>
      </c>
      <c r="I97" s="44">
        <v>13055.538751000002</v>
      </c>
    </row>
    <row r="98" spans="1:9" ht="15">
      <c r="A98" s="43" t="str">
        <f>HLOOKUP(INDICE!$F$2,Nombres!$C$3:$D$636,62,FALSE)</f>
        <v>Valores representativos de deuda emitidos</v>
      </c>
      <c r="B98" s="44">
        <v>1350.9517613424766</v>
      </c>
      <c r="C98" s="44">
        <v>1388.597525793523</v>
      </c>
      <c r="D98" s="44">
        <v>1409.4620026548407</v>
      </c>
      <c r="E98" s="45">
        <v>1545.0060893799136</v>
      </c>
      <c r="F98" s="44">
        <v>1446.3438716019566</v>
      </c>
      <c r="G98" s="44">
        <v>1352.8409514944863</v>
      </c>
      <c r="H98" s="44">
        <v>1361.6724490545544</v>
      </c>
      <c r="I98" s="44">
        <v>1413.32426826</v>
      </c>
    </row>
    <row r="99" spans="1:9" ht="15">
      <c r="A99" s="87" t="str">
        <f>HLOOKUP(INDICE!$F$2,Nombres!$C$3:$D$636,122,FALSE)</f>
        <v>Posiciones inter-áreas pasivo</v>
      </c>
      <c r="B99" s="44">
        <v>25246.15826457522</v>
      </c>
      <c r="C99" s="44">
        <v>24737.207426628098</v>
      </c>
      <c r="D99" s="44">
        <v>25758.861147525837</v>
      </c>
      <c r="E99" s="45">
        <v>25763.640791286954</v>
      </c>
      <c r="F99" s="44">
        <v>25799.127134983868</v>
      </c>
      <c r="G99" s="44">
        <v>27109.398737689564</v>
      </c>
      <c r="H99" s="44">
        <v>28425.892016426296</v>
      </c>
      <c r="I99" s="44">
        <v>26475.577622650002</v>
      </c>
    </row>
    <row r="100" spans="1:9" ht="15">
      <c r="A100" s="43" t="str">
        <f>HLOOKUP(INDICE!$F$2,Nombres!$C$3:$D$636,63,FALSE)</f>
        <v>Otros pasivos</v>
      </c>
      <c r="B100" s="58">
        <f aca="true" t="shared" si="16" ref="B100:I100">+B94-B95-B96-B97-B98-B101-B99</f>
        <v>903.5809840158436</v>
      </c>
      <c r="C100" s="58">
        <f t="shared" si="16"/>
        <v>941.2874559596239</v>
      </c>
      <c r="D100" s="58">
        <f t="shared" si="16"/>
        <v>1014.9140485132739</v>
      </c>
      <c r="E100" s="64">
        <f t="shared" si="16"/>
        <v>998.2368514348454</v>
      </c>
      <c r="F100" s="58">
        <f t="shared" si="16"/>
        <v>1042.5171350999408</v>
      </c>
      <c r="G100" s="58">
        <f t="shared" si="16"/>
        <v>1065.3817854574336</v>
      </c>
      <c r="H100" s="58">
        <f t="shared" si="16"/>
        <v>1309.098282258059</v>
      </c>
      <c r="I100" s="58">
        <f t="shared" si="16"/>
        <v>1222.6042284600007</v>
      </c>
    </row>
    <row r="101" spans="1:9" ht="15">
      <c r="A101" s="43" t="str">
        <f>HLOOKUP(INDICE!$F$2,Nombres!$C$3:$D$636,282,FALSE)</f>
        <v>Dotación de capital regulatorio</v>
      </c>
      <c r="B101" s="58">
        <v>3721.6728357605234</v>
      </c>
      <c r="C101" s="58">
        <v>3989.096584595352</v>
      </c>
      <c r="D101" s="58">
        <v>4151.216797139305</v>
      </c>
      <c r="E101" s="64">
        <v>4303.199811662969</v>
      </c>
      <c r="F101" s="58">
        <v>4162.589125982146</v>
      </c>
      <c r="G101" s="58">
        <v>4018.527789077388</v>
      </c>
      <c r="H101" s="58">
        <v>4012.8545646652747</v>
      </c>
      <c r="I101" s="58">
        <v>4191.192927630001</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92" t="str">
        <f>HLOOKUP(INDICE!$F$2,Nombres!$C$3:$D$636,65,FALSE)</f>
        <v>Indicadores relevantes y de gestión</v>
      </c>
      <c r="B104" s="34"/>
      <c r="C104" s="34"/>
      <c r="D104" s="34"/>
      <c r="E104" s="34"/>
      <c r="F104" s="68"/>
      <c r="G104" s="68"/>
      <c r="H104" s="68"/>
      <c r="I104" s="68"/>
    </row>
    <row r="105" spans="1:9" ht="15">
      <c r="A105" s="83" t="str">
        <f>HLOOKUP(INDICE!$F$2,Nombres!$C$3:$D$636,73,FALSE)</f>
        <v>(Millones de euros constantes)</v>
      </c>
      <c r="B105" s="30"/>
      <c r="C105" s="30"/>
      <c r="D105" s="30"/>
      <c r="E105" s="30"/>
      <c r="F105" s="69"/>
      <c r="G105" s="44"/>
      <c r="H105" s="44"/>
      <c r="I105" s="44"/>
    </row>
    <row r="106" spans="1:9" ht="15.75">
      <c r="A106" s="30"/>
      <c r="B106" s="53">
        <f aca="true" t="shared" si="17" ref="B106:I106">+B$30</f>
        <v>44651</v>
      </c>
      <c r="C106" s="53">
        <f t="shared" si="17"/>
        <v>44742</v>
      </c>
      <c r="D106" s="53">
        <f t="shared" si="17"/>
        <v>44834</v>
      </c>
      <c r="E106" s="67">
        <f t="shared" si="17"/>
        <v>44926</v>
      </c>
      <c r="F106" s="53">
        <f t="shared" si="17"/>
        <v>45016</v>
      </c>
      <c r="G106" s="53">
        <f t="shared" si="17"/>
        <v>45107</v>
      </c>
      <c r="H106" s="53">
        <f t="shared" si="17"/>
        <v>45199</v>
      </c>
      <c r="I106" s="53">
        <f t="shared" si="17"/>
        <v>45291</v>
      </c>
    </row>
    <row r="107" spans="1:9" ht="15">
      <c r="A107" s="87" t="str">
        <f>HLOOKUP(INDICE!$F$2,Nombres!$C$3:$D$636,66,FALSE)</f>
        <v>Préstamos y anticipos a la clientela bruto (*)</v>
      </c>
      <c r="B107" s="44">
        <v>31853.5706262912</v>
      </c>
      <c r="C107" s="44">
        <v>31985.629135519273</v>
      </c>
      <c r="D107" s="44">
        <v>34441.55800291556</v>
      </c>
      <c r="E107" s="45">
        <v>37276.04648445503</v>
      </c>
      <c r="F107" s="44">
        <v>36048.3081407871</v>
      </c>
      <c r="G107" s="44">
        <v>36248.201595548766</v>
      </c>
      <c r="H107" s="44">
        <v>37623.37369310706</v>
      </c>
      <c r="I107" s="44">
        <v>39560.986686000004</v>
      </c>
    </row>
    <row r="108" spans="1:9" ht="15">
      <c r="A108" s="87" t="str">
        <f>HLOOKUP(INDICE!$F$2,Nombres!$C$3:$D$636,67,FALSE)</f>
        <v>Depósitos de clientes en gestión (**)</v>
      </c>
      <c r="B108" s="44">
        <v>6750.33591335634</v>
      </c>
      <c r="C108" s="44">
        <v>7593.185953988804</v>
      </c>
      <c r="D108" s="44">
        <v>8348.314112626576</v>
      </c>
      <c r="E108" s="45">
        <v>9757.540544558271</v>
      </c>
      <c r="F108" s="44">
        <v>10054.230065383506</v>
      </c>
      <c r="G108" s="44">
        <v>10448.073480749863</v>
      </c>
      <c r="H108" s="44">
        <v>10085.565870663735</v>
      </c>
      <c r="I108" s="44">
        <v>13055.538751</v>
      </c>
    </row>
    <row r="109" spans="1:9" ht="15">
      <c r="A109" s="43" t="str">
        <f>HLOOKUP(INDICE!$F$2,Nombres!$C$3:$D$636,68,FALSE)</f>
        <v>Fondos de inversión y carteras gestionadas</v>
      </c>
      <c r="B109" s="44">
        <v>0</v>
      </c>
      <c r="C109" s="44">
        <v>0</v>
      </c>
      <c r="D109" s="44">
        <v>0</v>
      </c>
      <c r="E109" s="45">
        <v>0</v>
      </c>
      <c r="F109" s="44">
        <v>0</v>
      </c>
      <c r="G109" s="44">
        <v>0</v>
      </c>
      <c r="H109" s="44">
        <v>0</v>
      </c>
      <c r="I109" s="44">
        <v>0</v>
      </c>
    </row>
    <row r="110" spans="1:9" ht="15">
      <c r="A110" s="87" t="str">
        <f>HLOOKUP(INDICE!$F$2,Nombres!$C$3:$D$636,69,FALSE)</f>
        <v>Fondos de pensiones</v>
      </c>
      <c r="B110" s="44">
        <v>580.94406159</v>
      </c>
      <c r="C110" s="44">
        <v>522.57530376</v>
      </c>
      <c r="D110" s="44">
        <v>523.75088513</v>
      </c>
      <c r="E110" s="45">
        <v>520.1</v>
      </c>
      <c r="F110" s="44">
        <v>510</v>
      </c>
      <c r="G110" s="44">
        <v>505.7343251</v>
      </c>
      <c r="H110" s="44">
        <v>480</v>
      </c>
      <c r="I110" s="44">
        <v>566</v>
      </c>
    </row>
    <row r="111" spans="1:9" ht="15">
      <c r="A111" s="87" t="str">
        <f>HLOOKUP(INDICE!$F$2,Nombres!$C$3:$D$636,70,FALSE)</f>
        <v>Otros recursos fuera de balance</v>
      </c>
      <c r="B111" s="44">
        <v>0</v>
      </c>
      <c r="C111" s="44">
        <v>0</v>
      </c>
      <c r="D111" s="44">
        <v>0</v>
      </c>
      <c r="E111" s="45">
        <v>0</v>
      </c>
      <c r="F111" s="44">
        <v>0</v>
      </c>
      <c r="G111" s="44">
        <v>0</v>
      </c>
      <c r="H111" s="44">
        <v>0</v>
      </c>
      <c r="I111" s="44">
        <v>0</v>
      </c>
    </row>
    <row r="112" spans="1:9" ht="15">
      <c r="A112" s="91" t="str">
        <f>HLOOKUP(INDICE!$F$2,Nombres!$C$3:$D$636,71,FALSE)</f>
        <v>(*) No incluye las adquisiciones temporales de activos.</v>
      </c>
      <c r="B112" s="58"/>
      <c r="C112" s="58"/>
      <c r="D112" s="58"/>
      <c r="E112" s="58"/>
      <c r="F112" s="58"/>
      <c r="G112" s="58"/>
      <c r="H112" s="58"/>
      <c r="I112" s="58"/>
    </row>
    <row r="113" spans="1:9" ht="15">
      <c r="A113" s="91"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173" ht="15">
      <c r="J173" s="73"/>
    </row>
    <row r="174" ht="15">
      <c r="J174" s="73"/>
    </row>
    <row r="175" ht="15">
      <c r="J175" s="73"/>
    </row>
    <row r="176" ht="15">
      <c r="J176" s="73"/>
    </row>
    <row r="177" ht="15">
      <c r="J177" s="73"/>
    </row>
    <row r="178" ht="15">
      <c r="J178" s="73"/>
    </row>
    <row r="179" ht="15">
      <c r="J179" s="73"/>
    </row>
    <row r="180" ht="15">
      <c r="J180" s="73"/>
    </row>
    <row r="1000" ht="15">
      <c r="A1000" s="31" t="s">
        <v>391</v>
      </c>
    </row>
  </sheetData>
  <sheetProtection/>
  <mergeCells count="4">
    <mergeCell ref="B6:E6"/>
    <mergeCell ref="B62:E62"/>
    <mergeCell ref="F6:I6"/>
    <mergeCell ref="F62:I62"/>
  </mergeCells>
  <conditionalFormatting sqref="B26:I26">
    <cfRule type="cellIs" priority="2" dxfId="132" operator="notBetween">
      <formula>0.5</formula>
      <formula>-0.5</formula>
    </cfRule>
  </conditionalFormatting>
  <conditionalFormatting sqref="B82:I82">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14.xml><?xml version="1.0" encoding="utf-8"?>
<worksheet xmlns="http://schemas.openxmlformats.org/spreadsheetml/2006/main" xmlns:r="http://schemas.openxmlformats.org/officeDocument/2006/relationships">
  <dimension ref="A1:O163"/>
  <sheetViews>
    <sheetView showGridLines="0" zoomScalePageLayoutView="0" workbookViewId="0" topLeftCell="A1">
      <selection activeCell="A1" sqref="A1"/>
    </sheetView>
  </sheetViews>
  <sheetFormatPr defaultColWidth="11.421875" defaultRowHeight="15"/>
  <cols>
    <col min="1" max="1" width="63.7109375" style="31" customWidth="1"/>
    <col min="2" max="2" width="10.421875" style="31" customWidth="1"/>
    <col min="3" max="16384" width="11.421875" style="31" customWidth="1"/>
  </cols>
  <sheetData>
    <row r="1" spans="1:9" ht="18">
      <c r="A1" s="82" t="str">
        <f>HLOOKUP(INDICE!$F$2,Nombres!$C$3:$D$636,19,FALSE)</f>
        <v>Centro Corporativo</v>
      </c>
      <c r="B1" s="30"/>
      <c r="C1" s="30"/>
      <c r="D1" s="30"/>
      <c r="E1" s="30"/>
      <c r="F1" s="30"/>
      <c r="G1" s="30"/>
      <c r="H1" s="30"/>
      <c r="I1" s="30"/>
    </row>
    <row r="2" spans="1:9" ht="19.5">
      <c r="A2" s="32"/>
      <c r="B2" s="30"/>
      <c r="C2" s="30"/>
      <c r="D2" s="30"/>
      <c r="E2" s="30"/>
      <c r="F2" s="30"/>
      <c r="G2" s="30"/>
      <c r="H2" s="30"/>
      <c r="I2" s="30"/>
    </row>
    <row r="3" spans="1:9" ht="18">
      <c r="A3" s="92" t="str">
        <f>HLOOKUP(INDICE!$F$2,Nombres!$C$3:$D$636,31,FALSE)</f>
        <v>Cuenta de resultados  </v>
      </c>
      <c r="B3" s="34"/>
      <c r="C3" s="34"/>
      <c r="D3" s="34"/>
      <c r="E3" s="34"/>
      <c r="F3" s="34"/>
      <c r="G3" s="34"/>
      <c r="H3" s="34"/>
      <c r="I3" s="34"/>
    </row>
    <row r="4" spans="1:9" ht="15">
      <c r="A4" s="83"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1">
        <f>+España!B6</f>
        <v>2022</v>
      </c>
      <c r="C6" s="301"/>
      <c r="D6" s="301"/>
      <c r="E6" s="302"/>
      <c r="F6" s="301">
        <f>+España!F6</f>
        <v>2023</v>
      </c>
      <c r="G6" s="301"/>
      <c r="H6" s="301"/>
      <c r="I6" s="301"/>
    </row>
    <row r="7" spans="1:9" ht="15.75">
      <c r="A7" s="38"/>
      <c r="B7" s="84" t="str">
        <f>+España!B7</f>
        <v>1er Trim.</v>
      </c>
      <c r="C7" s="84" t="str">
        <f>+España!C7</f>
        <v>2º Trim.</v>
      </c>
      <c r="D7" s="84" t="str">
        <f>+España!D7</f>
        <v>3er Trim.</v>
      </c>
      <c r="E7" s="85" t="str">
        <f>+España!E7</f>
        <v>4º Trim.</v>
      </c>
      <c r="F7" s="84" t="str">
        <f>+España!F7</f>
        <v>1er Trim.</v>
      </c>
      <c r="G7" s="84" t="str">
        <f>+España!G7</f>
        <v>2º Trim.</v>
      </c>
      <c r="H7" s="84" t="str">
        <f>+España!H7</f>
        <v>3er Trim.</v>
      </c>
      <c r="I7" s="84" t="str">
        <f>+España!I7</f>
        <v>4º Trim.</v>
      </c>
    </row>
    <row r="8" spans="1:15" ht="15">
      <c r="A8" s="41" t="str">
        <f>HLOOKUP(INDICE!$F$2,Nombres!$C$3:$D$636,33,FALSE)</f>
        <v>Margen de intereses</v>
      </c>
      <c r="B8" s="41">
        <v>-37.44158863</v>
      </c>
      <c r="C8" s="41">
        <v>-26.304314039999994</v>
      </c>
      <c r="D8" s="41">
        <v>-33.65283639000001</v>
      </c>
      <c r="E8" s="42">
        <v>-11.980661919999985</v>
      </c>
      <c r="F8" s="50">
        <v>-60.19247545999997</v>
      </c>
      <c r="G8" s="50">
        <v>-80.07112029999983</v>
      </c>
      <c r="H8" s="237">
        <v>-112.8060473300003</v>
      </c>
      <c r="I8" s="237">
        <v>-133.35358243000002</v>
      </c>
      <c r="K8" s="86"/>
      <c r="L8" s="86"/>
      <c r="M8" s="86"/>
      <c r="N8" s="86"/>
      <c r="O8" s="86"/>
    </row>
    <row r="9" spans="1:9" ht="15">
      <c r="A9" s="87" t="str">
        <f>HLOOKUP(INDICE!$F$2,Nombres!$C$3:$D$636,34,FALSE)</f>
        <v>Comisiones netas</v>
      </c>
      <c r="B9" s="44">
        <v>-4.108953000000003</v>
      </c>
      <c r="C9" s="44">
        <v>-15.899757689999994</v>
      </c>
      <c r="D9" s="44">
        <v>-5.189033879999994</v>
      </c>
      <c r="E9" s="45">
        <v>-6.292039130000012</v>
      </c>
      <c r="F9" s="44">
        <v>-4.1671913699999985</v>
      </c>
      <c r="G9" s="44">
        <v>-25.617291220000002</v>
      </c>
      <c r="H9" s="44">
        <v>-10.494040139999996</v>
      </c>
      <c r="I9" s="44">
        <v>-3.8552261600000164</v>
      </c>
    </row>
    <row r="10" spans="1:9" ht="15">
      <c r="A10" s="87" t="str">
        <f>HLOOKUP(INDICE!$F$2,Nombres!$C$3:$D$636,35,FALSE)</f>
        <v>Resultados de operaciones financieras</v>
      </c>
      <c r="B10" s="44">
        <v>-38.32611592999999</v>
      </c>
      <c r="C10" s="44">
        <v>-83.02728771000001</v>
      </c>
      <c r="D10" s="44">
        <v>41.07349616</v>
      </c>
      <c r="E10" s="45">
        <v>-213.27071101</v>
      </c>
      <c r="F10" s="44">
        <v>-258.0444603</v>
      </c>
      <c r="G10" s="44">
        <v>-337.28961167</v>
      </c>
      <c r="H10" s="44">
        <v>-102.08136458000003</v>
      </c>
      <c r="I10" s="44">
        <v>11.650598840000029</v>
      </c>
    </row>
    <row r="11" spans="1:9" ht="15">
      <c r="A11" s="87" t="str">
        <f>HLOOKUP(INDICE!$F$2,Nombres!$C$3:$D$636,36,FALSE)</f>
        <v>Otros ingresos y cargas de explotación</v>
      </c>
      <c r="B11" s="44">
        <v>0.7530593200000038</v>
      </c>
      <c r="C11" s="44">
        <v>57.714178360000034</v>
      </c>
      <c r="D11" s="44">
        <v>0.23982089000019524</v>
      </c>
      <c r="E11" s="45">
        <v>46.59438856000013</v>
      </c>
      <c r="F11" s="44">
        <v>11.420035000000077</v>
      </c>
      <c r="G11" s="44">
        <v>38.14031287000003</v>
      </c>
      <c r="H11" s="44">
        <v>-1.4870621999997962</v>
      </c>
      <c r="I11" s="44">
        <v>39.17142280999974</v>
      </c>
    </row>
    <row r="12" spans="1:9" ht="15">
      <c r="A12" s="41" t="str">
        <f>HLOOKUP(INDICE!$F$2,Nombres!$C$3:$D$636,37,FALSE)</f>
        <v>Margen bruto</v>
      </c>
      <c r="B12" s="41">
        <f aca="true" t="shared" si="0" ref="B12:I12">+SUM(B8:B11)</f>
        <v>-79.12359823999998</v>
      </c>
      <c r="C12" s="41">
        <f t="shared" si="0"/>
        <v>-67.51718107999997</v>
      </c>
      <c r="D12" s="41">
        <f t="shared" si="0"/>
        <v>2.4714467800001847</v>
      </c>
      <c r="E12" s="42">
        <f t="shared" si="0"/>
        <v>-184.9490234999999</v>
      </c>
      <c r="F12" s="50">
        <f t="shared" si="0"/>
        <v>-310.9840921299999</v>
      </c>
      <c r="G12" s="50">
        <f t="shared" si="0"/>
        <v>-404.8377103199998</v>
      </c>
      <c r="H12" s="50">
        <f t="shared" si="0"/>
        <v>-226.86851425000012</v>
      </c>
      <c r="I12" s="50">
        <f t="shared" si="0"/>
        <v>-86.38678694000028</v>
      </c>
    </row>
    <row r="13" spans="1:9" ht="15">
      <c r="A13" s="87" t="str">
        <f>HLOOKUP(INDICE!$F$2,Nombres!$C$3:$D$636,38,FALSE)</f>
        <v>Gastos de explotación</v>
      </c>
      <c r="B13" s="44">
        <v>-187.23590084000006</v>
      </c>
      <c r="C13" s="44">
        <v>-204.66321264</v>
      </c>
      <c r="D13" s="44">
        <v>-201.3267019</v>
      </c>
      <c r="E13" s="45">
        <v>-259.01776479</v>
      </c>
      <c r="F13" s="44">
        <v>-205.34563378</v>
      </c>
      <c r="G13" s="44">
        <v>-208.26869445</v>
      </c>
      <c r="H13" s="44">
        <v>-200.63841003000005</v>
      </c>
      <c r="I13" s="44">
        <v>-234.71212695000003</v>
      </c>
    </row>
    <row r="14" spans="1:9" ht="15">
      <c r="A14" s="87" t="str">
        <f>HLOOKUP(INDICE!$F$2,Nombres!$C$3:$D$636,39,FALSE)</f>
        <v>  Gastos de administración</v>
      </c>
      <c r="B14" s="44">
        <v>-139.01735248</v>
      </c>
      <c r="C14" s="44">
        <v>-154.64129988000002</v>
      </c>
      <c r="D14" s="44">
        <v>-150.35111654</v>
      </c>
      <c r="E14" s="45">
        <v>-202.69412842999998</v>
      </c>
      <c r="F14" s="44">
        <v>-155.08231451999998</v>
      </c>
      <c r="G14" s="44">
        <v>-157.62484308999996</v>
      </c>
      <c r="H14" s="44">
        <v>-146.50006060000007</v>
      </c>
      <c r="I14" s="44">
        <v>-179.91806609000002</v>
      </c>
    </row>
    <row r="15" spans="1:9" ht="15">
      <c r="A15" s="88" t="str">
        <f>HLOOKUP(INDICE!$F$2,Nombres!$C$3:$D$636,40,FALSE)</f>
        <v>  Gastos de personal</v>
      </c>
      <c r="B15" s="44">
        <v>-130.48242359</v>
      </c>
      <c r="C15" s="44">
        <v>-141.20892501999998</v>
      </c>
      <c r="D15" s="44">
        <v>-143.46707383</v>
      </c>
      <c r="E15" s="45">
        <v>-205.83660245000002</v>
      </c>
      <c r="F15" s="44">
        <v>-151.16689345999998</v>
      </c>
      <c r="G15" s="44">
        <v>-156.76136226</v>
      </c>
      <c r="H15" s="44">
        <v>-166.82040865</v>
      </c>
      <c r="I15" s="44">
        <v>-195.46232701999998</v>
      </c>
    </row>
    <row r="16" spans="1:9" ht="15">
      <c r="A16" s="88" t="str">
        <f>HLOOKUP(INDICE!$F$2,Nombres!$C$3:$D$636,41,FALSE)</f>
        <v>  Otros gastos de administración</v>
      </c>
      <c r="B16" s="44">
        <v>-8.534928890000026</v>
      </c>
      <c r="C16" s="44">
        <v>-13.43237486</v>
      </c>
      <c r="D16" s="44">
        <v>-6.88404271000001</v>
      </c>
      <c r="E16" s="45">
        <v>3.1424740200000256</v>
      </c>
      <c r="F16" s="44">
        <v>-3.915421059999998</v>
      </c>
      <c r="G16" s="44">
        <v>-0.8634808299999559</v>
      </c>
      <c r="H16" s="44">
        <v>20.32034804999993</v>
      </c>
      <c r="I16" s="44">
        <v>15.544260929999961</v>
      </c>
    </row>
    <row r="17" spans="1:9" ht="15">
      <c r="A17" s="87" t="str">
        <f>HLOOKUP(INDICE!$F$2,Nombres!$C$3:$D$636,42,FALSE)</f>
        <v>  Amortización</v>
      </c>
      <c r="B17" s="44">
        <v>-48.21854836</v>
      </c>
      <c r="C17" s="44">
        <v>-50.021912760000006</v>
      </c>
      <c r="D17" s="44">
        <v>-50.975585360000004</v>
      </c>
      <c r="E17" s="45">
        <v>-56.32363636</v>
      </c>
      <c r="F17" s="44">
        <v>-50.26331926</v>
      </c>
      <c r="G17" s="44">
        <v>-50.64385136</v>
      </c>
      <c r="H17" s="44">
        <v>-54.138349430000005</v>
      </c>
      <c r="I17" s="44">
        <v>-54.79406085999999</v>
      </c>
    </row>
    <row r="18" spans="1:9" ht="15">
      <c r="A18" s="41" t="str">
        <f>HLOOKUP(INDICE!$F$2,Nombres!$C$3:$D$636,43,FALSE)</f>
        <v>Margen neto</v>
      </c>
      <c r="B18" s="41">
        <f aca="true" t="shared" si="1" ref="B18:I18">+B12+B13</f>
        <v>-266.35949908000003</v>
      </c>
      <c r="C18" s="41">
        <f t="shared" si="1"/>
        <v>-272.18039372</v>
      </c>
      <c r="D18" s="41">
        <f t="shared" si="1"/>
        <v>-198.8552551199998</v>
      </c>
      <c r="E18" s="42">
        <f t="shared" si="1"/>
        <v>-443.9667882899999</v>
      </c>
      <c r="F18" s="50">
        <f t="shared" si="1"/>
        <v>-516.3297259099999</v>
      </c>
      <c r="G18" s="50">
        <f t="shared" si="1"/>
        <v>-613.1064047699998</v>
      </c>
      <c r="H18" s="50">
        <f t="shared" si="1"/>
        <v>-427.50692428000013</v>
      </c>
      <c r="I18" s="50">
        <f t="shared" si="1"/>
        <v>-321.0989138900003</v>
      </c>
    </row>
    <row r="19" spans="1:9" ht="15">
      <c r="A19" s="87" t="str">
        <f>HLOOKUP(INDICE!$F$2,Nombres!$C$3:$D$636,44,FALSE)</f>
        <v>Deterioro de activos financieros no valorados a valor razonable con cambios en resultados</v>
      </c>
      <c r="B19" s="44">
        <v>0.74508293</v>
      </c>
      <c r="C19" s="44">
        <v>0.28673723999999995</v>
      </c>
      <c r="D19" s="44">
        <v>-2.07908389</v>
      </c>
      <c r="E19" s="45">
        <v>-0.67203052</v>
      </c>
      <c r="F19" s="44">
        <v>0.1412139699999996</v>
      </c>
      <c r="G19" s="44">
        <v>-0.040354680000000004</v>
      </c>
      <c r="H19" s="44">
        <v>0.7323355200000001</v>
      </c>
      <c r="I19" s="44">
        <v>0.14182081000000005</v>
      </c>
    </row>
    <row r="20" spans="1:9" ht="15">
      <c r="A20" s="87" t="str">
        <f>HLOOKUP(INDICE!$F$2,Nombres!$C$3:$D$636,45,FALSE)</f>
        <v>Provisiones o reversión de provisiones y otros resultados</v>
      </c>
      <c r="B20" s="44">
        <v>10.601681679999999</v>
      </c>
      <c r="C20" s="44">
        <v>-5.445596379999988</v>
      </c>
      <c r="D20" s="44">
        <v>-8.048661459999902</v>
      </c>
      <c r="E20" s="45">
        <v>11.297974309999859</v>
      </c>
      <c r="F20" s="44">
        <v>-2.6892537799999974</v>
      </c>
      <c r="G20" s="44">
        <v>8.569811300000001</v>
      </c>
      <c r="H20" s="44">
        <v>-7.4987055000000025</v>
      </c>
      <c r="I20" s="44">
        <v>-19.12330697000001</v>
      </c>
    </row>
    <row r="21" spans="1:9" ht="15">
      <c r="A21" s="89" t="str">
        <f>HLOOKUP(INDICE!$F$2,Nombres!$C$3:$D$636,46,FALSE)</f>
        <v>Resultado antes de impuestos</v>
      </c>
      <c r="B21" s="41">
        <f aca="true" t="shared" si="2" ref="B21:I21">+B18+B19+B20</f>
        <v>-255.01273447</v>
      </c>
      <c r="C21" s="41">
        <f t="shared" si="2"/>
        <v>-277.33925286</v>
      </c>
      <c r="D21" s="41">
        <f t="shared" si="2"/>
        <v>-208.9830004699997</v>
      </c>
      <c r="E21" s="42">
        <f t="shared" si="2"/>
        <v>-433.34084450000006</v>
      </c>
      <c r="F21" s="50">
        <f t="shared" si="2"/>
        <v>-518.8777657199998</v>
      </c>
      <c r="G21" s="50">
        <f t="shared" si="2"/>
        <v>-604.5769481499998</v>
      </c>
      <c r="H21" s="50">
        <f t="shared" si="2"/>
        <v>-434.27329426000017</v>
      </c>
      <c r="I21" s="50">
        <f t="shared" si="2"/>
        <v>-340.08040005000026</v>
      </c>
    </row>
    <row r="22" spans="1:9" ht="15">
      <c r="A22" s="43" t="str">
        <f>HLOOKUP(INDICE!$F$2,Nombres!$C$3:$D$636,47,FALSE)</f>
        <v>Impuesto sobre beneficios</v>
      </c>
      <c r="B22" s="44">
        <v>46.16326183000002</v>
      </c>
      <c r="C22" s="44">
        <v>247.97867906</v>
      </c>
      <c r="D22" s="44">
        <v>-126.40814309999999</v>
      </c>
      <c r="E22" s="45">
        <v>109.23608410999998</v>
      </c>
      <c r="F22" s="44">
        <v>-9.039560230000006</v>
      </c>
      <c r="G22" s="44">
        <v>48.16364668000003</v>
      </c>
      <c r="H22" s="44">
        <v>192.67940944</v>
      </c>
      <c r="I22" s="44">
        <v>56.40627273</v>
      </c>
    </row>
    <row r="23" spans="1:9" ht="15">
      <c r="A23" s="41" t="str">
        <f>HLOOKUP(INDICE!$F$2,Nombres!$C$3:$D$636,48,FALSE)</f>
        <v>Resultado del ejercicio</v>
      </c>
      <c r="B23" s="41">
        <f aca="true" t="shared" si="3" ref="B23:I23">+B21+B22</f>
        <v>-208.84947264</v>
      </c>
      <c r="C23" s="41">
        <f t="shared" si="3"/>
        <v>-29.360573799999997</v>
      </c>
      <c r="D23" s="41">
        <f t="shared" si="3"/>
        <v>-335.3911435699997</v>
      </c>
      <c r="E23" s="42">
        <f t="shared" si="3"/>
        <v>-324.1047603900001</v>
      </c>
      <c r="F23" s="50">
        <f t="shared" si="3"/>
        <v>-527.9173259499998</v>
      </c>
      <c r="G23" s="50">
        <f t="shared" si="3"/>
        <v>-556.4133014699997</v>
      </c>
      <c r="H23" s="50">
        <f t="shared" si="3"/>
        <v>-241.59388482000017</v>
      </c>
      <c r="I23" s="50">
        <f t="shared" si="3"/>
        <v>-283.67412732000025</v>
      </c>
    </row>
    <row r="24" spans="1:9" ht="15">
      <c r="A24" s="43" t="str">
        <f>HLOOKUP(INDICE!$F$2,Nombres!$C$3:$D$636,49,FALSE)</f>
        <v>Minoritarios</v>
      </c>
      <c r="B24" s="44">
        <v>-6.266600769999999</v>
      </c>
      <c r="C24" s="44">
        <v>14.166734980000003</v>
      </c>
      <c r="D24" s="44">
        <v>-0.42464304</v>
      </c>
      <c r="E24" s="45">
        <v>-32.16901922</v>
      </c>
      <c r="F24" s="44">
        <v>-3.49760337</v>
      </c>
      <c r="G24" s="44">
        <v>16.015992979999996</v>
      </c>
      <c r="H24" s="44">
        <v>-7.7601622599999995</v>
      </c>
      <c r="I24" s="44">
        <v>-1.7745330700000006</v>
      </c>
    </row>
    <row r="25" spans="1:9" ht="15">
      <c r="A25" s="47" t="str">
        <f>HLOOKUP(INDICE!$F$2,Nombres!$C$3:$D$636,50,FALSE)</f>
        <v>Resultado atribuido</v>
      </c>
      <c r="B25" s="47">
        <f>+B23+B24</f>
        <v>-215.11607340999998</v>
      </c>
      <c r="C25" s="47">
        <f aca="true" t="shared" si="4" ref="C25:I25">+C23+C24</f>
        <v>-15.193838819999995</v>
      </c>
      <c r="D25" s="47">
        <f t="shared" si="4"/>
        <v>-335.8157866099997</v>
      </c>
      <c r="E25" s="47">
        <f t="shared" si="4"/>
        <v>-356.2737796100001</v>
      </c>
      <c r="F25" s="47">
        <f t="shared" si="4"/>
        <v>-531.4149293199998</v>
      </c>
      <c r="G25" s="47">
        <f t="shared" si="4"/>
        <v>-540.3973084899998</v>
      </c>
      <c r="H25" s="47">
        <f t="shared" si="4"/>
        <v>-249.35404708000016</v>
      </c>
      <c r="I25" s="47">
        <f t="shared" si="4"/>
        <v>-285.44866039000027</v>
      </c>
    </row>
    <row r="26" spans="1:9" ht="15">
      <c r="A26" s="294" t="s">
        <v>545</v>
      </c>
      <c r="B26" s="44"/>
      <c r="C26" s="44"/>
      <c r="D26" s="44"/>
      <c r="E26" s="44"/>
      <c r="F26" s="44"/>
      <c r="G26" s="44"/>
      <c r="H26" s="44"/>
      <c r="I26" s="44"/>
    </row>
    <row r="27" spans="1:9" ht="15">
      <c r="A27" s="300"/>
      <c r="B27" s="300"/>
      <c r="C27" s="300"/>
      <c r="D27" s="300"/>
      <c r="E27" s="300"/>
      <c r="F27" s="300"/>
      <c r="G27" s="300"/>
      <c r="H27" s="300"/>
      <c r="I27" s="300"/>
    </row>
    <row r="28" spans="1:9" ht="15">
      <c r="A28" s="300"/>
      <c r="B28" s="300"/>
      <c r="C28" s="300"/>
      <c r="D28" s="300"/>
      <c r="E28" s="300"/>
      <c r="F28" s="300"/>
      <c r="G28" s="300"/>
      <c r="H28" s="300"/>
      <c r="I28" s="300"/>
    </row>
    <row r="29" spans="1:9" ht="15">
      <c r="A29" s="41"/>
      <c r="B29" s="63" t="e">
        <v>#REF!</v>
      </c>
      <c r="C29" s="63" t="e">
        <v>#REF!</v>
      </c>
      <c r="D29" s="63" t="e">
        <v>#REF!</v>
      </c>
      <c r="E29" s="63" t="e">
        <v>#REF!</v>
      </c>
      <c r="F29" s="63" t="e">
        <v>#REF!</v>
      </c>
      <c r="G29" s="63" t="e">
        <v>#REF!</v>
      </c>
      <c r="H29" s="63" t="e">
        <v>#REF!</v>
      </c>
      <c r="I29" s="63" t="e">
        <v>#REF!</v>
      </c>
    </row>
    <row r="30" spans="1:9" ht="15">
      <c r="A30" s="41"/>
      <c r="B30" s="41"/>
      <c r="C30" s="41"/>
      <c r="D30" s="41"/>
      <c r="E30" s="41"/>
      <c r="F30" s="41"/>
      <c r="G30" s="41"/>
      <c r="H30" s="41"/>
      <c r="I30" s="41"/>
    </row>
    <row r="31" spans="1:9" ht="15" customHeight="1">
      <c r="A31" s="92" t="str">
        <f>HLOOKUP(INDICE!$F$2,Nombres!$C$3:$D$636,51,FALSE)</f>
        <v>Balances</v>
      </c>
      <c r="B31" s="34"/>
      <c r="C31" s="34"/>
      <c r="D31" s="34"/>
      <c r="E31" s="34"/>
      <c r="F31" s="80"/>
      <c r="G31" s="80"/>
      <c r="H31" s="80"/>
      <c r="I31" s="80"/>
    </row>
    <row r="32" spans="1:9" ht="14.25" customHeight="1">
      <c r="A32" s="83" t="str">
        <f>HLOOKUP(INDICE!$F$2,Nombres!$C$3:$D$636,32,FALSE)</f>
        <v>(Millones de euros)</v>
      </c>
      <c r="B32" s="30"/>
      <c r="C32" s="52"/>
      <c r="D32" s="52"/>
      <c r="E32" s="52"/>
      <c r="F32" s="78"/>
      <c r="G32" s="76"/>
      <c r="H32" s="76"/>
      <c r="I32" s="76"/>
    </row>
    <row r="33" spans="1:9" ht="14.25" customHeight="1">
      <c r="A33" s="30"/>
      <c r="B33" s="53">
        <f>+España!B32</f>
        <v>44651</v>
      </c>
      <c r="C33" s="53">
        <f>+España!C32</f>
        <v>44742</v>
      </c>
      <c r="D33" s="53">
        <f>+España!D32</f>
        <v>44834</v>
      </c>
      <c r="E33" s="67">
        <f>+España!E32</f>
        <v>44926</v>
      </c>
      <c r="F33" s="53">
        <f>+España!F32</f>
        <v>45016</v>
      </c>
      <c r="G33" s="53">
        <f>+España!G32</f>
        <v>45107</v>
      </c>
      <c r="H33" s="53">
        <f>+España!H32</f>
        <v>45199</v>
      </c>
      <c r="I33" s="53">
        <f>+España!I32</f>
        <v>45291</v>
      </c>
    </row>
    <row r="34" spans="1:9" ht="15">
      <c r="A34" s="87" t="str">
        <f>HLOOKUP(INDICE!$F$2,Nombres!$C$3:$D$636,52,FALSE)</f>
        <v>Efectivo, saldos en efectivo en bancos centrales y otros depósitos a la vista</v>
      </c>
      <c r="B34" s="44">
        <v>8607.665282</v>
      </c>
      <c r="C34" s="44">
        <v>6308.679373</v>
      </c>
      <c r="D34" s="44">
        <v>876.1439949999999</v>
      </c>
      <c r="E34" s="45">
        <v>855.682995</v>
      </c>
      <c r="F34" s="44">
        <v>565.938993</v>
      </c>
      <c r="G34" s="44">
        <v>633.972997</v>
      </c>
      <c r="H34" s="44">
        <v>648.957994</v>
      </c>
      <c r="I34" s="44">
        <v>683.929999</v>
      </c>
    </row>
    <row r="35" spans="1:9" ht="15">
      <c r="A35" s="87" t="str">
        <f>HLOOKUP(INDICE!$F$2,Nombres!$C$3:$D$636,53,FALSE)</f>
        <v>Activos financieros a valor razonable</v>
      </c>
      <c r="B35" s="58">
        <v>2680.3512664500004</v>
      </c>
      <c r="C35" s="58">
        <v>2810.71222701</v>
      </c>
      <c r="D35" s="58">
        <v>2590.5027934299997</v>
      </c>
      <c r="E35" s="64">
        <v>2390.43420718</v>
      </c>
      <c r="F35" s="58">
        <v>2427.10285544</v>
      </c>
      <c r="G35" s="58">
        <v>2457.24406754</v>
      </c>
      <c r="H35" s="58">
        <v>2422.01451522</v>
      </c>
      <c r="I35" s="58">
        <v>2512.44847424</v>
      </c>
    </row>
    <row r="36" spans="1:9" ht="15">
      <c r="A36" s="43" t="str">
        <f>HLOOKUP(INDICE!$F$2,Nombres!$C$3:$D$636,54,FALSE)</f>
        <v>Activos financieros a coste amortizado</v>
      </c>
      <c r="B36" s="44">
        <v>1331.3924940000002</v>
      </c>
      <c r="C36" s="44">
        <v>1044.3898189999998</v>
      </c>
      <c r="D36" s="44">
        <v>2160.458094</v>
      </c>
      <c r="E36" s="45">
        <v>3261.53742368</v>
      </c>
      <c r="F36" s="44">
        <v>3742.0746883599995</v>
      </c>
      <c r="G36" s="44">
        <v>3515.37920136</v>
      </c>
      <c r="H36" s="44">
        <v>3445.91543036</v>
      </c>
      <c r="I36" s="44">
        <v>3621.568128</v>
      </c>
    </row>
    <row r="37" spans="1:9" ht="15">
      <c r="A37" s="87" t="str">
        <f>HLOOKUP(INDICE!$F$2,Nombres!$C$3:$D$636,55,FALSE)</f>
        <v>    de los que préstamos y anticipos a la clientela</v>
      </c>
      <c r="B37" s="44">
        <v>500.66907799999996</v>
      </c>
      <c r="C37" s="44">
        <v>343.35233900000003</v>
      </c>
      <c r="D37" s="44">
        <v>160.81775499999995</v>
      </c>
      <c r="E37" s="45">
        <v>277.87614967999997</v>
      </c>
      <c r="F37" s="44">
        <v>402.21734835999996</v>
      </c>
      <c r="G37" s="44">
        <v>250.45107235999998</v>
      </c>
      <c r="H37" s="44">
        <v>129.21593236</v>
      </c>
      <c r="I37" s="44">
        <v>230.13185499999994</v>
      </c>
    </row>
    <row r="38" spans="1:9" ht="15">
      <c r="A38" s="87" t="str">
        <f>HLOOKUP(INDICE!$F$2,Nombres!$C$3:$D$636,121,FALSE)</f>
        <v>Posiciones inter-áreas activo</v>
      </c>
      <c r="B38" s="44">
        <v>-0.002000100001168903</v>
      </c>
      <c r="C38" s="44">
        <v>-0.0030062300065765157</v>
      </c>
      <c r="D38" s="44">
        <v>-0.00013718999980483204</v>
      </c>
      <c r="E38" s="45">
        <v>0</v>
      </c>
      <c r="F38" s="44">
        <v>0</v>
      </c>
      <c r="G38" s="44">
        <v>0.020478949998505414</v>
      </c>
      <c r="H38" s="44">
        <v>-0.00010551002924330533</v>
      </c>
      <c r="I38" s="44">
        <v>0</v>
      </c>
    </row>
    <row r="39" spans="1:9" ht="15">
      <c r="A39" s="43" t="str">
        <f>HLOOKUP(INDICE!$F$2,Nombres!$C$3:$D$636,56,FALSE)</f>
        <v>Activos tangibles</v>
      </c>
      <c r="B39" s="44">
        <v>1914.414337</v>
      </c>
      <c r="C39" s="44">
        <v>1898.168142</v>
      </c>
      <c r="D39" s="44">
        <v>1888.460861</v>
      </c>
      <c r="E39" s="45">
        <v>1862.5588940000002</v>
      </c>
      <c r="F39" s="44">
        <v>1753.782907</v>
      </c>
      <c r="G39" s="44">
        <v>1745.802595</v>
      </c>
      <c r="H39" s="44">
        <v>1774.7583390000002</v>
      </c>
      <c r="I39" s="44">
        <v>1726.5079</v>
      </c>
    </row>
    <row r="40" spans="1:9" ht="15">
      <c r="A40" s="87" t="str">
        <f>HLOOKUP(INDICE!$F$2,Nombres!$C$3:$D$636,57,FALSE)</f>
        <v>Otros activos</v>
      </c>
      <c r="B40" s="44">
        <v>14769.27883025</v>
      </c>
      <c r="C40" s="44">
        <v>14039.35487528</v>
      </c>
      <c r="D40" s="44">
        <v>13992.462844140002</v>
      </c>
      <c r="E40" s="45">
        <v>14348.672601119997</v>
      </c>
      <c r="F40" s="44">
        <v>13906.70530885</v>
      </c>
      <c r="G40" s="44">
        <v>14558.064413920003</v>
      </c>
      <c r="H40" s="44">
        <v>14379.16613844</v>
      </c>
      <c r="I40" s="44">
        <v>14529.69775989</v>
      </c>
    </row>
    <row r="41" spans="1:9" ht="15">
      <c r="A41" s="90" t="str">
        <f>HLOOKUP(INDICE!$F$2,Nombres!$C$3:$D$636,58,FALSE)</f>
        <v>Total activo / pasivo</v>
      </c>
      <c r="B41" s="51">
        <f aca="true" t="shared" si="5" ref="B41:I41">+B34+B35+B36+B38+B39+B40</f>
        <v>29303.100209599997</v>
      </c>
      <c r="C41" s="51">
        <f t="shared" si="5"/>
        <v>26101.301430059993</v>
      </c>
      <c r="D41" s="51">
        <f t="shared" si="5"/>
        <v>21508.02845038</v>
      </c>
      <c r="E41" s="79">
        <f t="shared" si="5"/>
        <v>22718.886120979998</v>
      </c>
      <c r="F41" s="51">
        <f t="shared" si="5"/>
        <v>22395.604752649997</v>
      </c>
      <c r="G41" s="51">
        <f t="shared" si="5"/>
        <v>22910.48375377</v>
      </c>
      <c r="H41" s="51">
        <f t="shared" si="5"/>
        <v>22670.81231150997</v>
      </c>
      <c r="I41" s="51">
        <f t="shared" si="5"/>
        <v>23074.15226113</v>
      </c>
    </row>
    <row r="42" spans="1:9" ht="15">
      <c r="A42" s="87" t="str">
        <f>HLOOKUP(INDICE!$F$2,Nombres!$C$3:$D$636,59,FALSE)</f>
        <v>Pasivos financieros mantenidos para negociar y designados a valor razonable con cambios en resultados</v>
      </c>
      <c r="B42" s="44">
        <v>136.732597</v>
      </c>
      <c r="C42" s="44">
        <v>187.53462199999998</v>
      </c>
      <c r="D42" s="44">
        <v>251.74170099999998</v>
      </c>
      <c r="E42" s="45">
        <v>108.30249</v>
      </c>
      <c r="F42" s="44">
        <v>305.38960000000003</v>
      </c>
      <c r="G42" s="44">
        <v>404.35283499999997</v>
      </c>
      <c r="H42" s="44">
        <v>382.310937</v>
      </c>
      <c r="I42" s="44">
        <v>125.145727</v>
      </c>
    </row>
    <row r="43" spans="1:9" ht="15">
      <c r="A43" s="87" t="str">
        <f>HLOOKUP(INDICE!$F$2,Nombres!$C$3:$D$636,60,FALSE)</f>
        <v>Depósitos de bancos centrales y entidades de crédito</v>
      </c>
      <c r="B43" s="44">
        <v>762.66485</v>
      </c>
      <c r="C43" s="44">
        <v>778.6539009999999</v>
      </c>
      <c r="D43" s="44">
        <v>838.344961</v>
      </c>
      <c r="E43" s="45">
        <v>682.0508799999999</v>
      </c>
      <c r="F43" s="44">
        <v>698.46282</v>
      </c>
      <c r="G43" s="44">
        <v>694.3688250000001</v>
      </c>
      <c r="H43" s="44">
        <v>779.33484</v>
      </c>
      <c r="I43" s="44">
        <v>765.2448089999999</v>
      </c>
    </row>
    <row r="44" spans="1:9" ht="15.75" customHeight="1">
      <c r="A44" s="87" t="str">
        <f>HLOOKUP(INDICE!$F$2,Nombres!$C$3:$D$636,61,FALSE)</f>
        <v>Depósitos de la clientela</v>
      </c>
      <c r="B44" s="44">
        <v>181.94271200000003</v>
      </c>
      <c r="C44" s="44">
        <v>191.02843900000002</v>
      </c>
      <c r="D44" s="44">
        <v>185.217965</v>
      </c>
      <c r="E44" s="45">
        <v>186.723229</v>
      </c>
      <c r="F44" s="44">
        <v>186.29189599999998</v>
      </c>
      <c r="G44" s="44">
        <v>184.620372</v>
      </c>
      <c r="H44" s="44">
        <v>190.95960300000004</v>
      </c>
      <c r="I44" s="44">
        <v>181.412652</v>
      </c>
    </row>
    <row r="45" spans="1:9" ht="15">
      <c r="A45" s="43" t="str">
        <f>HLOOKUP(INDICE!$F$2,Nombres!$C$3:$D$636,62,FALSE)</f>
        <v>Valores representativos de deuda emitidos</v>
      </c>
      <c r="B45" s="44">
        <v>946.7578466500006</v>
      </c>
      <c r="C45" s="44">
        <v>-530.5565864599987</v>
      </c>
      <c r="D45" s="44">
        <v>-791.7168418800004</v>
      </c>
      <c r="E45" s="45">
        <v>-863.0435753099995</v>
      </c>
      <c r="F45" s="44">
        <v>-2057.209237410001</v>
      </c>
      <c r="G45" s="44">
        <v>-747.3980219799977</v>
      </c>
      <c r="H45" s="44">
        <v>107.63455976000171</v>
      </c>
      <c r="I45" s="44">
        <v>379.57995648000065</v>
      </c>
    </row>
    <row r="46" spans="1:9" ht="15">
      <c r="A46" s="87" t="str">
        <f>HLOOKUP(INDICE!$F$2,Nombres!$C$3:$D$636,122,FALSE)</f>
        <v>Posiciones inter-áreas pasivo</v>
      </c>
      <c r="B46" s="44">
        <v>9398.808465749997</v>
      </c>
      <c r="C46" s="44">
        <v>12084.000611639993</v>
      </c>
      <c r="D46" s="44">
        <v>7414.871566570002</v>
      </c>
      <c r="E46" s="45">
        <v>7963.45796353</v>
      </c>
      <c r="F46" s="44">
        <v>6785.9280819699925</v>
      </c>
      <c r="G46" s="44">
        <v>8217.685537900006</v>
      </c>
      <c r="H46" s="44">
        <v>3850.124541570007</v>
      </c>
      <c r="I46" s="44">
        <v>5835.487079969997</v>
      </c>
    </row>
    <row r="47" spans="1:9" ht="15">
      <c r="A47" s="43" t="str">
        <f>HLOOKUP(INDICE!$F$2,Nombres!$C$3:$D$636,63,FALSE)</f>
        <v>Otros pasivos</v>
      </c>
      <c r="B47" s="44">
        <f aca="true" t="shared" si="6" ref="B47:I47">+B41-B42-B43-B44-B45-B46-B49-B48</f>
        <v>6929.594503310003</v>
      </c>
      <c r="C47" s="44">
        <f t="shared" si="6"/>
        <v>5013.285594719986</v>
      </c>
      <c r="D47" s="44">
        <f t="shared" si="6"/>
        <v>4546.093360820007</v>
      </c>
      <c r="E47" s="45">
        <f t="shared" si="6"/>
        <v>4011.4971352000066</v>
      </c>
      <c r="F47" s="44">
        <f t="shared" si="6"/>
        <v>5918.073660059999</v>
      </c>
      <c r="G47" s="44">
        <f t="shared" si="6"/>
        <v>3665.0562260499864</v>
      </c>
      <c r="H47" s="44">
        <f t="shared" si="6"/>
        <v>5797.6213134599675</v>
      </c>
      <c r="I47" s="44">
        <f t="shared" si="6"/>
        <v>3554.357916410001</v>
      </c>
    </row>
    <row r="48" spans="1:9" ht="15">
      <c r="A48" s="43" t="str">
        <f>HLOOKUP(INDICE!$F$2,Nombres!$C$3:$D$636,282,FALSE)</f>
        <v>Dotación de capital regulatorio</v>
      </c>
      <c r="B48" s="44">
        <f>-España!B47-Mexico!B45-Turquia!B45-AdS!B45-'Resto de Negocios'!B45</f>
        <v>-37900.75133455</v>
      </c>
      <c r="C48" s="44">
        <f>-España!C47-Mexico!C45-Turquia!C45-AdS!C45-'Resto de Negocios'!C45</f>
        <v>-40379.34771914</v>
      </c>
      <c r="D48" s="44">
        <f>-España!D47-Mexico!D45-Turquia!D45-AdS!D45-'Resto de Negocios'!D45</f>
        <v>-40769.42884406</v>
      </c>
      <c r="E48" s="45">
        <f>-España!E47-Mexico!E45-Turquia!E45-AdS!E45-'Resto de Negocios'!E45</f>
        <v>-39886.99657867</v>
      </c>
      <c r="F48" s="44">
        <f>-España!F47-Mexico!F45-Turquia!F45-AdS!F45-'Resto de Negocios'!F45</f>
        <v>-40912.61305891</v>
      </c>
      <c r="G48" s="44">
        <f>-España!G47-Mexico!G45-Turquia!G45-AdS!G45-'Resto de Negocios'!G45</f>
        <v>-42076.62302218001</v>
      </c>
      <c r="H48" s="44">
        <f>-España!H47-Mexico!H45-Turquia!H45-AdS!H45-'Resto de Negocios'!H45</f>
        <v>-41889.83447823</v>
      </c>
      <c r="I48" s="44">
        <f>-España!I47-Mexico!I45-Turquia!I45-AdS!I45-'Resto de Negocios'!I45</f>
        <v>-43032.53388376001</v>
      </c>
    </row>
    <row r="49" spans="1:9" ht="15">
      <c r="A49" s="87" t="str">
        <f>HLOOKUP(INDICE!$F$2,Nombres!$C$3:$D$636,150,FALSE)</f>
        <v>Patrimonio neto</v>
      </c>
      <c r="B49" s="44">
        <v>48847.350569439994</v>
      </c>
      <c r="C49" s="44">
        <v>48756.70256730001</v>
      </c>
      <c r="D49" s="44">
        <v>49832.90458192999</v>
      </c>
      <c r="E49" s="45">
        <v>50516.89457722999</v>
      </c>
      <c r="F49" s="44">
        <v>51471.28099094001</v>
      </c>
      <c r="G49" s="44">
        <v>52568.42100198001</v>
      </c>
      <c r="H49" s="44">
        <v>53452.66099494999</v>
      </c>
      <c r="I49" s="44">
        <v>55265.458004030006</v>
      </c>
    </row>
    <row r="50" spans="1:9" ht="15">
      <c r="A50" s="43"/>
      <c r="B50" s="58"/>
      <c r="C50" s="58"/>
      <c r="D50" s="58"/>
      <c r="E50" s="58"/>
      <c r="F50" s="58"/>
      <c r="G50" s="58"/>
      <c r="H50" s="58"/>
      <c r="I50" s="58"/>
    </row>
    <row r="51" spans="1:9" ht="15">
      <c r="A51" s="43"/>
      <c r="B51" s="58"/>
      <c r="C51" s="58"/>
      <c r="D51" s="58"/>
      <c r="E51" s="58"/>
      <c r="F51" s="58"/>
      <c r="G51" s="58"/>
      <c r="H51" s="58"/>
      <c r="I51" s="58"/>
    </row>
    <row r="52" spans="1:9" ht="15">
      <c r="A52" s="43"/>
      <c r="B52" s="58"/>
      <c r="C52" s="58"/>
      <c r="D52" s="58"/>
      <c r="E52" s="58"/>
      <c r="F52" s="44"/>
      <c r="G52" s="44"/>
      <c r="H52" s="44"/>
      <c r="I52" s="44"/>
    </row>
    <row r="53" spans="1:9" ht="15">
      <c r="A53" s="43"/>
      <c r="B53" s="30"/>
      <c r="C53" s="295"/>
      <c r="D53" s="30"/>
      <c r="E53" s="30"/>
      <c r="F53" s="69"/>
      <c r="G53" s="44"/>
      <c r="H53" s="44"/>
      <c r="I53" s="44"/>
    </row>
    <row r="54" spans="1:9" ht="15.75">
      <c r="A54" s="43"/>
      <c r="B54" s="30"/>
      <c r="C54" s="53"/>
      <c r="D54" s="53"/>
      <c r="E54" s="53"/>
      <c r="F54" s="53"/>
      <c r="G54" s="53"/>
      <c r="H54" s="53"/>
      <c r="I54" s="53"/>
    </row>
    <row r="55" spans="1:9" ht="15">
      <c r="A55" s="43"/>
      <c r="B55" s="44"/>
      <c r="C55" s="44"/>
      <c r="D55" s="44"/>
      <c r="E55" s="44"/>
      <c r="F55" s="44"/>
      <c r="G55" s="44"/>
      <c r="H55" s="44"/>
      <c r="I55" s="44"/>
    </row>
    <row r="56" spans="1:9" ht="15">
      <c r="A56" s="41"/>
      <c r="B56" s="44"/>
      <c r="C56" s="44"/>
      <c r="D56" s="44"/>
      <c r="E56" s="44"/>
      <c r="F56" s="44"/>
      <c r="G56" s="44"/>
      <c r="H56" s="44"/>
      <c r="I56" s="44"/>
    </row>
    <row r="57" spans="1:9" ht="15">
      <c r="A57" s="43"/>
      <c r="B57" s="44"/>
      <c r="C57" s="44"/>
      <c r="D57" s="44"/>
      <c r="E57" s="44"/>
      <c r="F57" s="44"/>
      <c r="G57" s="44"/>
      <c r="H57" s="44"/>
      <c r="I57" s="44"/>
    </row>
    <row r="58" spans="1:9" ht="15">
      <c r="A58" s="43"/>
      <c r="B58" s="44"/>
      <c r="D58" s="44"/>
      <c r="E58" s="44"/>
      <c r="F58" s="44"/>
      <c r="G58" s="44"/>
      <c r="H58" s="44"/>
      <c r="I58" s="44"/>
    </row>
    <row r="59" spans="1:9" ht="15">
      <c r="A59" s="43"/>
      <c r="B59" s="44"/>
      <c r="D59" s="44"/>
      <c r="E59" s="44"/>
      <c r="F59" s="44"/>
      <c r="G59" s="44"/>
      <c r="H59" s="44"/>
      <c r="I59" s="44"/>
    </row>
    <row r="60" spans="1:9" ht="15">
      <c r="A60" s="62"/>
      <c r="B60" s="58"/>
      <c r="D60" s="58"/>
      <c r="E60" s="58"/>
      <c r="F60" s="44"/>
      <c r="G60" s="44"/>
      <c r="H60" s="44"/>
      <c r="I60" s="44"/>
    </row>
    <row r="61" spans="1:9" ht="15">
      <c r="A61" s="62"/>
      <c r="B61" s="58"/>
      <c r="D61" s="30"/>
      <c r="E61" s="30"/>
      <c r="F61" s="69"/>
      <c r="G61" s="69"/>
      <c r="H61" s="69"/>
      <c r="I61" s="69"/>
    </row>
    <row r="62" spans="1:9" ht="15">
      <c r="A62" s="62"/>
      <c r="B62" s="58"/>
      <c r="D62" s="30"/>
      <c r="E62" s="30"/>
      <c r="F62" s="69"/>
      <c r="G62" s="69"/>
      <c r="H62" s="69"/>
      <c r="I62" s="69"/>
    </row>
    <row r="63" spans="2:9" ht="15">
      <c r="B63" s="54"/>
      <c r="C63" s="54"/>
      <c r="D63" s="54"/>
      <c r="E63" s="73"/>
      <c r="F63" s="296"/>
      <c r="G63" s="81"/>
      <c r="H63" s="81"/>
      <c r="I63" s="81"/>
    </row>
    <row r="64" spans="2:9" ht="15">
      <c r="B64" s="54"/>
      <c r="F64" s="81"/>
      <c r="G64" s="81"/>
      <c r="H64" s="81"/>
      <c r="I64" s="81"/>
    </row>
    <row r="65" spans="2:9" ht="15">
      <c r="B65" s="54"/>
      <c r="F65" s="81"/>
      <c r="G65" s="81"/>
      <c r="H65" s="81"/>
      <c r="I65" s="81"/>
    </row>
    <row r="66" spans="2:9" ht="15">
      <c r="B66" s="54"/>
      <c r="F66" s="81"/>
      <c r="G66" s="81"/>
      <c r="H66" s="81"/>
      <c r="I66" s="81"/>
    </row>
    <row r="67" spans="2:9" ht="15">
      <c r="B67" s="54"/>
      <c r="F67" s="81"/>
      <c r="G67" s="81"/>
      <c r="H67" s="81"/>
      <c r="I67" s="81"/>
    </row>
    <row r="68" spans="2:9" ht="15">
      <c r="B68" s="54"/>
      <c r="F68" s="81"/>
      <c r="G68" s="81"/>
      <c r="H68" s="81"/>
      <c r="I68" s="81"/>
    </row>
    <row r="69" spans="2:9" ht="15">
      <c r="B69" s="54"/>
      <c r="F69" s="81"/>
      <c r="G69" s="81"/>
      <c r="H69" s="81"/>
      <c r="I69" s="81"/>
    </row>
    <row r="70" spans="2:9" ht="15">
      <c r="B70" s="54"/>
      <c r="F70" s="81"/>
      <c r="G70" s="81"/>
      <c r="H70" s="81"/>
      <c r="I70" s="81"/>
    </row>
    <row r="71" spans="6:9" ht="15">
      <c r="F71" s="81"/>
      <c r="G71" s="81"/>
      <c r="H71" s="81"/>
      <c r="I71" s="81"/>
    </row>
    <row r="72" spans="6:9" ht="15">
      <c r="F72" s="81"/>
      <c r="G72" s="81"/>
      <c r="H72" s="81"/>
      <c r="I72" s="81"/>
    </row>
    <row r="73" spans="6:9" ht="15">
      <c r="F73" s="81"/>
      <c r="G73" s="81"/>
      <c r="H73" s="81"/>
      <c r="I73" s="81"/>
    </row>
    <row r="74" spans="6:9" ht="15">
      <c r="F74" s="81"/>
      <c r="G74" s="81"/>
      <c r="H74" s="81"/>
      <c r="I74" s="81"/>
    </row>
    <row r="75" spans="6:9" ht="15">
      <c r="F75" s="81"/>
      <c r="G75" s="81"/>
      <c r="H75" s="81"/>
      <c r="I75" s="81"/>
    </row>
    <row r="76" spans="6:9" ht="15">
      <c r="F76" s="81"/>
      <c r="G76" s="81"/>
      <c r="H76" s="81"/>
      <c r="I76" s="81"/>
    </row>
    <row r="77" spans="6:9" ht="15">
      <c r="F77" s="81"/>
      <c r="G77" s="81"/>
      <c r="H77" s="81"/>
      <c r="I77" s="81"/>
    </row>
    <row r="78" spans="6:9" ht="15">
      <c r="F78" s="81"/>
      <c r="G78" s="81"/>
      <c r="H78" s="81"/>
      <c r="I78" s="81"/>
    </row>
    <row r="79" spans="6:9" ht="15">
      <c r="F79" s="81"/>
      <c r="G79" s="81"/>
      <c r="H79" s="81"/>
      <c r="I79" s="81"/>
    </row>
    <row r="80" spans="6:9" ht="15">
      <c r="F80" s="81"/>
      <c r="G80" s="81"/>
      <c r="H80" s="81"/>
      <c r="I80" s="81"/>
    </row>
    <row r="81" spans="6:9" ht="15">
      <c r="F81" s="81"/>
      <c r="G81" s="81"/>
      <c r="H81" s="81"/>
      <c r="I81" s="81"/>
    </row>
    <row r="82" spans="6:9" ht="15">
      <c r="F82" s="81"/>
      <c r="G82" s="81"/>
      <c r="H82" s="81"/>
      <c r="I82" s="81"/>
    </row>
    <row r="83" spans="6:9" ht="15">
      <c r="F83" s="81"/>
      <c r="G83" s="81"/>
      <c r="H83" s="81"/>
      <c r="I83" s="81"/>
    </row>
    <row r="84" spans="6:9" ht="15">
      <c r="F84" s="81"/>
      <c r="G84" s="81"/>
      <c r="H84" s="81"/>
      <c r="I84" s="81"/>
    </row>
    <row r="85" spans="6:9" ht="15">
      <c r="F85" s="81"/>
      <c r="G85" s="81"/>
      <c r="H85" s="81"/>
      <c r="I85" s="81"/>
    </row>
    <row r="86" spans="6:9" ht="15">
      <c r="F86" s="81"/>
      <c r="G86" s="81"/>
      <c r="H86" s="81"/>
      <c r="I86" s="81"/>
    </row>
    <row r="87" spans="6:9" ht="15">
      <c r="F87" s="81"/>
      <c r="G87" s="81"/>
      <c r="H87" s="81"/>
      <c r="I87" s="81"/>
    </row>
    <row r="88" spans="6:9" ht="15">
      <c r="F88" s="81"/>
      <c r="G88" s="81"/>
      <c r="H88" s="81"/>
      <c r="I88" s="81"/>
    </row>
    <row r="89" spans="6:9" ht="15">
      <c r="F89" s="81"/>
      <c r="G89" s="81"/>
      <c r="H89" s="81"/>
      <c r="I89" s="81"/>
    </row>
    <row r="90" spans="6:9" ht="15">
      <c r="F90" s="81"/>
      <c r="G90" s="81"/>
      <c r="H90" s="81"/>
      <c r="I90" s="81"/>
    </row>
    <row r="91" spans="6:9" ht="15">
      <c r="F91" s="81"/>
      <c r="G91" s="81"/>
      <c r="H91" s="81"/>
      <c r="I91" s="81"/>
    </row>
    <row r="92" spans="6:9" ht="15">
      <c r="F92" s="81"/>
      <c r="G92" s="81"/>
      <c r="H92" s="81"/>
      <c r="I92" s="81"/>
    </row>
    <row r="93" spans="6:9" ht="15">
      <c r="F93" s="81"/>
      <c r="G93" s="81"/>
      <c r="H93" s="81"/>
      <c r="I93" s="81"/>
    </row>
    <row r="94" spans="6:9" ht="15">
      <c r="F94" s="81"/>
      <c r="G94" s="81"/>
      <c r="H94" s="81"/>
      <c r="I94" s="81"/>
    </row>
    <row r="95" spans="6:9" ht="15">
      <c r="F95" s="81"/>
      <c r="G95" s="81"/>
      <c r="H95" s="81"/>
      <c r="I95" s="81"/>
    </row>
    <row r="96" spans="6:9" ht="15">
      <c r="F96" s="81"/>
      <c r="G96" s="81"/>
      <c r="H96" s="81"/>
      <c r="I96" s="81"/>
    </row>
    <row r="97" spans="6:9" ht="15">
      <c r="F97" s="81"/>
      <c r="G97" s="81"/>
      <c r="H97" s="81"/>
      <c r="I97" s="81"/>
    </row>
    <row r="98" spans="6:9" ht="15">
      <c r="F98" s="81"/>
      <c r="G98" s="81"/>
      <c r="H98" s="81"/>
      <c r="I98" s="81"/>
    </row>
    <row r="99" spans="6:9" ht="15">
      <c r="F99" s="81"/>
      <c r="G99" s="81"/>
      <c r="H99" s="81"/>
      <c r="I99" s="81"/>
    </row>
    <row r="100" spans="6:9" ht="15">
      <c r="F100" s="81"/>
      <c r="G100" s="81"/>
      <c r="H100" s="81"/>
      <c r="I100" s="81"/>
    </row>
    <row r="101" spans="6:9" ht="15">
      <c r="F101" s="81"/>
      <c r="G101" s="81"/>
      <c r="H101" s="81"/>
      <c r="I101" s="81"/>
    </row>
    <row r="102" spans="6:9" ht="15">
      <c r="F102" s="81"/>
      <c r="G102" s="81"/>
      <c r="H102" s="81"/>
      <c r="I102" s="81"/>
    </row>
    <row r="103" spans="6:9" ht="15">
      <c r="F103" s="81"/>
      <c r="G103" s="81"/>
      <c r="H103" s="81"/>
      <c r="I103" s="81"/>
    </row>
    <row r="104" spans="6:9" ht="15">
      <c r="F104" s="81"/>
      <c r="G104" s="81"/>
      <c r="H104" s="81"/>
      <c r="I104" s="81"/>
    </row>
    <row r="105" spans="6:9" ht="15">
      <c r="F105" s="81"/>
      <c r="G105" s="81"/>
      <c r="H105" s="81"/>
      <c r="I105" s="81"/>
    </row>
    <row r="106" spans="6:9" ht="15">
      <c r="F106" s="81"/>
      <c r="G106" s="81"/>
      <c r="H106" s="81"/>
      <c r="I106" s="81"/>
    </row>
    <row r="107" spans="6:9" ht="15">
      <c r="F107" s="81"/>
      <c r="G107" s="81"/>
      <c r="H107" s="81"/>
      <c r="I107" s="81"/>
    </row>
    <row r="108" spans="6:9" ht="15">
      <c r="F108" s="81"/>
      <c r="G108" s="81"/>
      <c r="H108" s="81"/>
      <c r="I108" s="81"/>
    </row>
    <row r="117" spans="6:9" ht="15">
      <c r="F117" s="81"/>
      <c r="G117" s="81"/>
      <c r="H117" s="81"/>
      <c r="I117" s="81"/>
    </row>
    <row r="118" spans="6:9" ht="15">
      <c r="F118" s="81"/>
      <c r="G118" s="81"/>
      <c r="H118" s="81"/>
      <c r="I118" s="81"/>
    </row>
    <row r="119" spans="6:9" ht="15">
      <c r="F119" s="81"/>
      <c r="G119" s="81"/>
      <c r="H119" s="81"/>
      <c r="I119" s="81"/>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sheetData>
  <sheetProtection/>
  <mergeCells count="4">
    <mergeCell ref="B6:E6"/>
    <mergeCell ref="F6:I6"/>
    <mergeCell ref="A27:I27"/>
    <mergeCell ref="A28:I28"/>
  </mergeCells>
  <conditionalFormatting sqref="B29:I29">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dimension ref="A1:M1000"/>
  <sheetViews>
    <sheetView showGridLines="0" zoomScalePageLayoutView="0" workbookViewId="0" topLeftCell="A1">
      <selection activeCell="A1" sqref="A1"/>
    </sheetView>
  </sheetViews>
  <sheetFormatPr defaultColWidth="11.421875" defaultRowHeight="15"/>
  <cols>
    <col min="1" max="1" width="62.00390625" style="31" customWidth="1"/>
    <col min="2" max="4" width="11.421875" style="31" customWidth="1"/>
    <col min="5" max="16384" width="11.421875" style="31" customWidth="1"/>
  </cols>
  <sheetData>
    <row r="1" spans="1:9" ht="18">
      <c r="A1" s="29" t="str">
        <f>HLOOKUP(INDICE!$F$2,Nombres!$C$3:$D$636,280,FALSE)</f>
        <v>Corporate &amp; Investment Banking (*)</v>
      </c>
      <c r="B1" s="30"/>
      <c r="C1" s="30"/>
      <c r="D1" s="30"/>
      <c r="E1" s="30"/>
      <c r="F1" s="30"/>
      <c r="G1" s="30"/>
      <c r="H1" s="30"/>
      <c r="I1" s="30"/>
    </row>
    <row r="2" spans="1:9" ht="15">
      <c r="A2" s="300"/>
      <c r="B2" s="300"/>
      <c r="C2" s="300"/>
      <c r="D2" s="300"/>
      <c r="E2" s="300"/>
      <c r="F2" s="300"/>
      <c r="G2" s="300"/>
      <c r="H2" s="300"/>
      <c r="I2" s="30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1">
        <f>+España!B6</f>
        <v>2022</v>
      </c>
      <c r="C6" s="301"/>
      <c r="D6" s="301"/>
      <c r="E6" s="302"/>
      <c r="F6" s="301">
        <f>+España!F6</f>
        <v>2023</v>
      </c>
      <c r="G6" s="301"/>
      <c r="H6" s="301"/>
      <c r="I6" s="301"/>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462.74926301999994</v>
      </c>
      <c r="C8" s="41">
        <v>482.50293709000005</v>
      </c>
      <c r="D8" s="41">
        <v>525.45749795</v>
      </c>
      <c r="E8" s="42">
        <v>481.15489633000016</v>
      </c>
      <c r="F8" s="50">
        <v>516.2199621699999</v>
      </c>
      <c r="G8" s="50">
        <v>483.49445286000014</v>
      </c>
      <c r="H8" s="50">
        <v>568.4621735100002</v>
      </c>
      <c r="I8" s="50">
        <v>533.4234734499996</v>
      </c>
    </row>
    <row r="9" spans="1:9" ht="15">
      <c r="A9" s="43" t="str">
        <f>HLOOKUP(INDICE!$F$2,Nombres!$C$3:$D$636,34,FALSE)</f>
        <v>Comisiones netas</v>
      </c>
      <c r="B9" s="44">
        <v>198.18392376000003</v>
      </c>
      <c r="C9" s="44">
        <v>235.24674769999996</v>
      </c>
      <c r="D9" s="44">
        <v>243.41433367000002</v>
      </c>
      <c r="E9" s="45">
        <v>236.75725657999996</v>
      </c>
      <c r="F9" s="44">
        <v>276.13034073000006</v>
      </c>
      <c r="G9" s="44">
        <v>261.22591063000004</v>
      </c>
      <c r="H9" s="44">
        <v>257.72805757</v>
      </c>
      <c r="I9" s="44">
        <v>212.05558677999997</v>
      </c>
    </row>
    <row r="10" spans="1:9" ht="15">
      <c r="A10" s="43" t="str">
        <f>HLOOKUP(INDICE!$F$2,Nombres!$C$3:$D$636,35,FALSE)</f>
        <v>Resultados de operaciones financieras</v>
      </c>
      <c r="B10" s="44">
        <v>343.98138677000003</v>
      </c>
      <c r="C10" s="44">
        <v>278.81458497</v>
      </c>
      <c r="D10" s="44">
        <v>278.80443419</v>
      </c>
      <c r="E10" s="45">
        <v>225.93336499000003</v>
      </c>
      <c r="F10" s="44">
        <v>430.89754324</v>
      </c>
      <c r="G10" s="44">
        <v>595.32493598</v>
      </c>
      <c r="H10" s="44">
        <v>411.85873616000003</v>
      </c>
      <c r="I10" s="44">
        <v>321.16666926000005</v>
      </c>
    </row>
    <row r="11" spans="1:9" ht="15">
      <c r="A11" s="43" t="str">
        <f>HLOOKUP(INDICE!$F$2,Nombres!$C$3:$D$636,36,FALSE)</f>
        <v>Otros ingresos y cargas de explotación</v>
      </c>
      <c r="B11" s="44">
        <v>-7.9789008400000005</v>
      </c>
      <c r="C11" s="44">
        <v>-7.5561983</v>
      </c>
      <c r="D11" s="44">
        <v>-14.136408559999994</v>
      </c>
      <c r="E11" s="45">
        <v>-13.010762160000004</v>
      </c>
      <c r="F11" s="44">
        <v>-27.92221348</v>
      </c>
      <c r="G11" s="44">
        <v>-12.60667964</v>
      </c>
      <c r="H11" s="44">
        <v>-17.373626550000004</v>
      </c>
      <c r="I11" s="44">
        <v>-6.113759239999996</v>
      </c>
    </row>
    <row r="12" spans="1:9" ht="15">
      <c r="A12" s="41" t="str">
        <f>HLOOKUP(INDICE!$F$2,Nombres!$C$3:$D$636,37,FALSE)</f>
        <v>Margen bruto</v>
      </c>
      <c r="B12" s="41">
        <f>+SUM(B8:B11)</f>
        <v>996.9356727099998</v>
      </c>
      <c r="C12" s="41">
        <f aca="true" t="shared" si="0" ref="C12:I12">+SUM(C8:C11)</f>
        <v>989.0080714599999</v>
      </c>
      <c r="D12" s="41">
        <f t="shared" si="0"/>
        <v>1033.5398572499998</v>
      </c>
      <c r="E12" s="42">
        <f t="shared" si="0"/>
        <v>930.8347557400002</v>
      </c>
      <c r="F12" s="50">
        <f t="shared" si="0"/>
        <v>1195.32563266</v>
      </c>
      <c r="G12" s="50">
        <f t="shared" si="0"/>
        <v>1327.43861983</v>
      </c>
      <c r="H12" s="50">
        <f t="shared" si="0"/>
        <v>1220.6753406900002</v>
      </c>
      <c r="I12" s="50">
        <f t="shared" si="0"/>
        <v>1060.5319702499996</v>
      </c>
    </row>
    <row r="13" spans="1:9" ht="15">
      <c r="A13" s="43" t="str">
        <f>HLOOKUP(INDICE!$F$2,Nombres!$C$3:$D$636,38,FALSE)</f>
        <v>Gastos de explotación</v>
      </c>
      <c r="B13" s="44">
        <v>-258.18826376000004</v>
      </c>
      <c r="C13" s="44">
        <v>-267.00462776</v>
      </c>
      <c r="D13" s="44">
        <v>-297.73679367</v>
      </c>
      <c r="E13" s="45">
        <v>-302.54249079</v>
      </c>
      <c r="F13" s="44">
        <v>-304.38242811</v>
      </c>
      <c r="G13" s="44">
        <v>-302.22144169999996</v>
      </c>
      <c r="H13" s="44">
        <v>-319.27759112</v>
      </c>
      <c r="I13" s="44">
        <v>-333.90467558</v>
      </c>
    </row>
    <row r="14" spans="1:9" ht="15">
      <c r="A14" s="43" t="str">
        <f>HLOOKUP(INDICE!$F$2,Nombres!$C$3:$D$636,39,FALSE)</f>
        <v>  Gastos de administración</v>
      </c>
      <c r="B14" s="44">
        <v>-232.64717588999997</v>
      </c>
      <c r="C14" s="44">
        <v>-240.30857023</v>
      </c>
      <c r="D14" s="44">
        <v>-270.47383131000004</v>
      </c>
      <c r="E14" s="45">
        <v>-277.03084312000004</v>
      </c>
      <c r="F14" s="44">
        <v>-278.85128488</v>
      </c>
      <c r="G14" s="44">
        <v>-275.94960494</v>
      </c>
      <c r="H14" s="44">
        <v>-291.74462887</v>
      </c>
      <c r="I14" s="44">
        <v>-305.95770031</v>
      </c>
    </row>
    <row r="15" spans="1:9" ht="15">
      <c r="A15" s="46" t="str">
        <f>HLOOKUP(INDICE!$F$2,Nombres!$C$3:$D$636,40,FALSE)</f>
        <v>  Gastos de personal</v>
      </c>
      <c r="B15" s="44">
        <v>-119.90747105</v>
      </c>
      <c r="C15" s="44">
        <v>-118.70269120999998</v>
      </c>
      <c r="D15" s="44">
        <v>-140.54468759</v>
      </c>
      <c r="E15" s="45">
        <v>-160.3843295</v>
      </c>
      <c r="F15" s="44">
        <v>-143.16699493000002</v>
      </c>
      <c r="G15" s="44">
        <v>-140.65497348</v>
      </c>
      <c r="H15" s="44">
        <v>-154.57372963</v>
      </c>
      <c r="I15" s="44">
        <v>-183.51226008999998</v>
      </c>
    </row>
    <row r="16" spans="1:9" ht="15">
      <c r="A16" s="46" t="str">
        <f>HLOOKUP(INDICE!$F$2,Nombres!$C$3:$D$636,41,FALSE)</f>
        <v>  Otros gastos de administración</v>
      </c>
      <c r="B16" s="44">
        <v>-112.73970484</v>
      </c>
      <c r="C16" s="44">
        <v>-121.60587902000003</v>
      </c>
      <c r="D16" s="44">
        <v>-129.92914372</v>
      </c>
      <c r="E16" s="45">
        <v>-116.64651362</v>
      </c>
      <c r="F16" s="44">
        <v>-135.68428995</v>
      </c>
      <c r="G16" s="44">
        <v>-135.29463146</v>
      </c>
      <c r="H16" s="44">
        <v>-137.17089923999998</v>
      </c>
      <c r="I16" s="44">
        <v>-122.44544022000001</v>
      </c>
    </row>
    <row r="17" spans="1:9" ht="15">
      <c r="A17" s="43" t="str">
        <f>HLOOKUP(INDICE!$F$2,Nombres!$C$3:$D$636,42,FALSE)</f>
        <v>  Amortización</v>
      </c>
      <c r="B17" s="44">
        <v>-25.54108787</v>
      </c>
      <c r="C17" s="44">
        <v>-26.696057530000004</v>
      </c>
      <c r="D17" s="44">
        <v>-27.262962359999992</v>
      </c>
      <c r="E17" s="45">
        <v>-25.511647669999995</v>
      </c>
      <c r="F17" s="44">
        <v>-25.531143229999998</v>
      </c>
      <c r="G17" s="44">
        <v>-26.27183676</v>
      </c>
      <c r="H17" s="44">
        <v>-27.532962249999994</v>
      </c>
      <c r="I17" s="44">
        <v>-27.946975270000003</v>
      </c>
    </row>
    <row r="18" spans="1:9" ht="15">
      <c r="A18" s="41" t="str">
        <f>HLOOKUP(INDICE!$F$2,Nombres!$C$3:$D$636,43,FALSE)</f>
        <v>Margen neto</v>
      </c>
      <c r="B18" s="41">
        <f>+B12+B13</f>
        <v>738.7474089499998</v>
      </c>
      <c r="C18" s="41">
        <f aca="true" t="shared" si="1" ref="C18:I18">+C12+C13</f>
        <v>722.0034436999999</v>
      </c>
      <c r="D18" s="41">
        <f t="shared" si="1"/>
        <v>735.8030635799998</v>
      </c>
      <c r="E18" s="42">
        <f t="shared" si="1"/>
        <v>628.2922649500002</v>
      </c>
      <c r="F18" s="50">
        <f t="shared" si="1"/>
        <v>890.9432045500001</v>
      </c>
      <c r="G18" s="50">
        <f t="shared" si="1"/>
        <v>1025.21717813</v>
      </c>
      <c r="H18" s="50">
        <f t="shared" si="1"/>
        <v>901.3977495700002</v>
      </c>
      <c r="I18" s="50">
        <f t="shared" si="1"/>
        <v>726.6272946699996</v>
      </c>
    </row>
    <row r="19" spans="1:9" ht="15">
      <c r="A19" s="43" t="str">
        <f>HLOOKUP(INDICE!$F$2,Nombres!$C$3:$D$636,44,FALSE)</f>
        <v>Deterioro de activos financieros no valorados a valor razonable con cambios en resultados</v>
      </c>
      <c r="B19" s="44">
        <v>-20.469335249999993</v>
      </c>
      <c r="C19" s="44">
        <v>25.179875769999995</v>
      </c>
      <c r="D19" s="44">
        <v>-70.10668663000001</v>
      </c>
      <c r="E19" s="45">
        <v>-38.28453413000001</v>
      </c>
      <c r="F19" s="44">
        <v>-43.74577735</v>
      </c>
      <c r="G19" s="44">
        <v>24.505873469999997</v>
      </c>
      <c r="H19" s="44">
        <v>-19.915092369999986</v>
      </c>
      <c r="I19" s="44">
        <v>28.611578620000007</v>
      </c>
    </row>
    <row r="20" spans="1:9" ht="15">
      <c r="A20" s="43" t="str">
        <f>HLOOKUP(INDICE!$F$2,Nombres!$C$3:$D$636,45,FALSE)</f>
        <v>Provisiones o reversión de provisiones y otros resultados</v>
      </c>
      <c r="B20" s="44">
        <v>18.642876789999995</v>
      </c>
      <c r="C20" s="44">
        <v>-9.439837359999999</v>
      </c>
      <c r="D20" s="44">
        <v>0.05253734999999948</v>
      </c>
      <c r="E20" s="45">
        <v>-21.06648912</v>
      </c>
      <c r="F20" s="44">
        <v>14.97313925</v>
      </c>
      <c r="G20" s="44">
        <v>-2.49063797</v>
      </c>
      <c r="H20" s="44">
        <v>1.3561468499999996</v>
      </c>
      <c r="I20" s="44">
        <v>-13.452899330000001</v>
      </c>
    </row>
    <row r="21" spans="1:9" ht="15">
      <c r="A21" s="41" t="str">
        <f>HLOOKUP(INDICE!$F$2,Nombres!$C$3:$D$636,46,FALSE)</f>
        <v>Resultado antes de impuestos</v>
      </c>
      <c r="B21" s="41">
        <f>+B18+B19+B20</f>
        <v>736.9209504899998</v>
      </c>
      <c r="C21" s="41">
        <f aca="true" t="shared" si="2" ref="C21:I21">+C18+C19+C20</f>
        <v>737.74348211</v>
      </c>
      <c r="D21" s="41">
        <f t="shared" si="2"/>
        <v>665.7489142999998</v>
      </c>
      <c r="E21" s="42">
        <f t="shared" si="2"/>
        <v>568.9412417000002</v>
      </c>
      <c r="F21" s="50">
        <f t="shared" si="2"/>
        <v>862.1705664500001</v>
      </c>
      <c r="G21" s="50">
        <f t="shared" si="2"/>
        <v>1047.23241363</v>
      </c>
      <c r="H21" s="50">
        <f t="shared" si="2"/>
        <v>882.8388040500001</v>
      </c>
      <c r="I21" s="50">
        <f t="shared" si="2"/>
        <v>741.7859739599996</v>
      </c>
    </row>
    <row r="22" spans="1:9" ht="15">
      <c r="A22" s="43" t="str">
        <f>HLOOKUP(INDICE!$F$2,Nombres!$C$3:$D$636,47,FALSE)</f>
        <v>Impuesto sobre beneficios</v>
      </c>
      <c r="B22" s="44">
        <v>-208.47496916</v>
      </c>
      <c r="C22" s="44">
        <v>-207.32364473</v>
      </c>
      <c r="D22" s="44">
        <v>-193.48001018999997</v>
      </c>
      <c r="E22" s="45">
        <v>-155.10314764999998</v>
      </c>
      <c r="F22" s="44">
        <v>-239.42358255</v>
      </c>
      <c r="G22" s="44">
        <v>-283.60384763</v>
      </c>
      <c r="H22" s="44">
        <v>-281.57797642</v>
      </c>
      <c r="I22" s="44">
        <v>-201.34533679</v>
      </c>
    </row>
    <row r="23" spans="1:9" ht="15">
      <c r="A23" s="41" t="str">
        <f>HLOOKUP(INDICE!$F$2,Nombres!$C$3:$D$636,48,FALSE)</f>
        <v>Resultado del ejercicio</v>
      </c>
      <c r="B23" s="41">
        <f>+B21+B22</f>
        <v>528.4459813299998</v>
      </c>
      <c r="C23" s="41">
        <f aca="true" t="shared" si="3" ref="C23:I23">+C21+C22</f>
        <v>530.41983738</v>
      </c>
      <c r="D23" s="41">
        <f t="shared" si="3"/>
        <v>472.2689041099998</v>
      </c>
      <c r="E23" s="42">
        <f t="shared" si="3"/>
        <v>413.8380940500002</v>
      </c>
      <c r="F23" s="50">
        <f t="shared" si="3"/>
        <v>622.7469839000001</v>
      </c>
      <c r="G23" s="50">
        <f t="shared" si="3"/>
        <v>763.6285660000001</v>
      </c>
      <c r="H23" s="50">
        <f t="shared" si="3"/>
        <v>601.2608276300001</v>
      </c>
      <c r="I23" s="50">
        <f t="shared" si="3"/>
        <v>540.4406371699996</v>
      </c>
    </row>
    <row r="24" spans="1:9" ht="15">
      <c r="A24" s="43" t="str">
        <f>HLOOKUP(INDICE!$F$2,Nombres!$C$3:$D$636,49,FALSE)</f>
        <v>Minoritarios</v>
      </c>
      <c r="B24" s="44">
        <v>-93.60098075</v>
      </c>
      <c r="C24" s="44">
        <v>-75.17068490000001</v>
      </c>
      <c r="D24" s="44">
        <v>-34.56164978</v>
      </c>
      <c r="E24" s="45">
        <v>-37.81120514999999</v>
      </c>
      <c r="F24" s="44">
        <v>-73.15521224</v>
      </c>
      <c r="G24" s="44">
        <v>-80.5138144</v>
      </c>
      <c r="H24" s="44">
        <v>-70.64379541</v>
      </c>
      <c r="I24" s="44">
        <v>-51.03637529</v>
      </c>
    </row>
    <row r="25" spans="1:9" ht="15">
      <c r="A25" s="47" t="str">
        <f>HLOOKUP(INDICE!$F$2,Nombres!$C$3:$D$636,50,FALSE)</f>
        <v>Resultado atribuido</v>
      </c>
      <c r="B25" s="47">
        <f>+B23+B24</f>
        <v>434.84500057999975</v>
      </c>
      <c r="C25" s="47">
        <f aca="true" t="shared" si="4" ref="C25:I25">+C23+C24</f>
        <v>455.24915247999996</v>
      </c>
      <c r="D25" s="47">
        <f t="shared" si="4"/>
        <v>437.70725432999984</v>
      </c>
      <c r="E25" s="47">
        <f t="shared" si="4"/>
        <v>376.02688890000024</v>
      </c>
      <c r="F25" s="51">
        <f t="shared" si="4"/>
        <v>549.5917716600002</v>
      </c>
      <c r="G25" s="51">
        <f t="shared" si="4"/>
        <v>683.1147516000001</v>
      </c>
      <c r="H25" s="51">
        <f t="shared" si="4"/>
        <v>530.61703222</v>
      </c>
      <c r="I25" s="51">
        <f t="shared" si="4"/>
        <v>489.4042618799996</v>
      </c>
    </row>
    <row r="26" spans="1:9" ht="15">
      <c r="A26" s="278"/>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13" ht="15">
      <c r="A31" s="43" t="str">
        <f>HLOOKUP(INDICE!$F$2,Nombres!$C$3:$D$636,52,FALSE)</f>
        <v>Efectivo, saldos en efectivo en bancos centrales y otros depósitos a la vista</v>
      </c>
      <c r="B31" s="44">
        <v>6617.88308999</v>
      </c>
      <c r="C31" s="44">
        <v>8194.673499019998</v>
      </c>
      <c r="D31" s="44">
        <v>7133.68711934</v>
      </c>
      <c r="E31" s="45">
        <v>5524.28790709</v>
      </c>
      <c r="F31" s="44">
        <v>4820.0400665900015</v>
      </c>
      <c r="G31" s="44">
        <v>5354.018203409999</v>
      </c>
      <c r="H31" s="44">
        <v>5314.95852819</v>
      </c>
      <c r="I31" s="44">
        <v>5035.968158340001</v>
      </c>
      <c r="L31" s="54"/>
      <c r="M31" s="54"/>
    </row>
    <row r="32" spans="1:13" ht="15">
      <c r="A32" s="43" t="str">
        <f>HLOOKUP(INDICE!$F$2,Nombres!$C$3:$D$636,53,FALSE)</f>
        <v>Activos financieros a valor razonable</v>
      </c>
      <c r="B32" s="58">
        <v>121981.77695218001</v>
      </c>
      <c r="C32" s="58">
        <v>127392.39282094</v>
      </c>
      <c r="D32" s="58">
        <v>124527.60585172998</v>
      </c>
      <c r="E32" s="64">
        <v>117958.38155486001</v>
      </c>
      <c r="F32" s="44">
        <v>130791.77267574001</v>
      </c>
      <c r="G32" s="44">
        <v>157133.26507266003</v>
      </c>
      <c r="H32" s="44">
        <v>146068.91471261</v>
      </c>
      <c r="I32" s="44">
        <v>159379.07830209</v>
      </c>
      <c r="L32" s="54"/>
      <c r="M32" s="54"/>
    </row>
    <row r="33" spans="1:13" ht="15">
      <c r="A33" s="43" t="str">
        <f>HLOOKUP(INDICE!$F$2,Nombres!$C$3:$D$636,54,FALSE)</f>
        <v>Activos financieros a coste amortizado</v>
      </c>
      <c r="B33" s="44">
        <v>80208.43022048</v>
      </c>
      <c r="C33" s="44">
        <v>84299.83718764</v>
      </c>
      <c r="D33" s="44">
        <v>91927.44914808</v>
      </c>
      <c r="E33" s="45">
        <v>89439.80892107</v>
      </c>
      <c r="F33" s="44">
        <v>90374.98171305</v>
      </c>
      <c r="G33" s="44">
        <v>89267.34344029002</v>
      </c>
      <c r="H33" s="44">
        <v>96132.07455502</v>
      </c>
      <c r="I33" s="44">
        <v>97324.77289502</v>
      </c>
      <c r="L33" s="54"/>
      <c r="M33" s="54"/>
    </row>
    <row r="34" spans="1:13" ht="15">
      <c r="A34" s="43" t="str">
        <f>HLOOKUP(INDICE!$F$2,Nombres!$C$3:$D$636,55,FALSE)</f>
        <v>    de los que préstamos y anticipos a la clientela</v>
      </c>
      <c r="B34" s="44">
        <v>70185.3358502</v>
      </c>
      <c r="C34" s="44">
        <v>72966.28573526</v>
      </c>
      <c r="D34" s="44">
        <v>78837.01051302999</v>
      </c>
      <c r="E34" s="45">
        <v>77208.18119451999</v>
      </c>
      <c r="F34" s="44">
        <v>76858.58369323998</v>
      </c>
      <c r="G34" s="44">
        <v>75869.81216464</v>
      </c>
      <c r="H34" s="44">
        <v>78283.35982633</v>
      </c>
      <c r="I34" s="44">
        <v>78376.37496049</v>
      </c>
      <c r="L34" s="54"/>
      <c r="M34" s="54"/>
    </row>
    <row r="35" spans="1:13" ht="15">
      <c r="A35" s="43" t="str">
        <f>HLOOKUP(INDICE!$F$2,Nombres!$C$3:$D$636,121,FALSE)</f>
        <v>Posiciones inter-áreas activo</v>
      </c>
      <c r="B35" s="44">
        <v>0</v>
      </c>
      <c r="C35" s="44">
        <v>0</v>
      </c>
      <c r="D35" s="44">
        <v>0</v>
      </c>
      <c r="E35" s="45">
        <v>0</v>
      </c>
      <c r="F35" s="44">
        <v>0</v>
      </c>
      <c r="G35" s="44">
        <v>0</v>
      </c>
      <c r="H35" s="44">
        <v>0</v>
      </c>
      <c r="I35" s="44">
        <v>0</v>
      </c>
      <c r="L35" s="54"/>
      <c r="M35" s="54"/>
    </row>
    <row r="36" spans="1:13" ht="15">
      <c r="A36" s="43" t="str">
        <f>HLOOKUP(INDICE!$F$2,Nombres!$C$3:$D$636,56,FALSE)</f>
        <v>Activos tangibles</v>
      </c>
      <c r="B36" s="44">
        <v>53.56197830000001</v>
      </c>
      <c r="C36" s="44">
        <v>51.33084720000001</v>
      </c>
      <c r="D36" s="44">
        <v>52.22272284</v>
      </c>
      <c r="E36" s="45">
        <v>51.8198562</v>
      </c>
      <c r="F36" s="44">
        <v>54.321216390000004</v>
      </c>
      <c r="G36" s="44">
        <v>53.61165763</v>
      </c>
      <c r="H36" s="44">
        <v>136.71444419</v>
      </c>
      <c r="I36" s="44">
        <v>140.72500627</v>
      </c>
      <c r="L36" s="54"/>
      <c r="M36" s="54"/>
    </row>
    <row r="37" spans="1:13" ht="15">
      <c r="A37" s="43" t="str">
        <f>HLOOKUP(INDICE!$F$2,Nombres!$C$3:$D$636,57,FALSE)</f>
        <v>Otros activos</v>
      </c>
      <c r="B37" s="58">
        <f>+B38-B36-B33-B32-B31-B35</f>
        <v>1061.4247578000122</v>
      </c>
      <c r="C37" s="58">
        <f aca="true" t="shared" si="5" ref="C37:I37">+C38-C36-C33-C32-C31-C35</f>
        <v>2000.7447091799622</v>
      </c>
      <c r="D37" s="58">
        <f t="shared" si="5"/>
        <v>1916.458863309992</v>
      </c>
      <c r="E37" s="64">
        <f t="shared" si="5"/>
        <v>862.0035505499927</v>
      </c>
      <c r="F37" s="58">
        <f t="shared" si="5"/>
        <v>1918.8750588799667</v>
      </c>
      <c r="G37" s="58">
        <f t="shared" si="5"/>
        <v>13754.806426469993</v>
      </c>
      <c r="H37" s="58">
        <f t="shared" si="5"/>
        <v>9753.622983869987</v>
      </c>
      <c r="I37" s="58">
        <f t="shared" si="5"/>
        <v>10645.244076369963</v>
      </c>
      <c r="L37" s="54"/>
      <c r="M37" s="54"/>
    </row>
    <row r="38" spans="1:13" ht="15">
      <c r="A38" s="47" t="str">
        <f>HLOOKUP(INDICE!$F$2,Nombres!$C$3:$D$636,58,FALSE)</f>
        <v>Total activo / pasivo</v>
      </c>
      <c r="B38" s="47">
        <v>209923.07699875</v>
      </c>
      <c r="C38" s="47">
        <v>221938.97906398</v>
      </c>
      <c r="D38" s="47">
        <v>225557.4237053</v>
      </c>
      <c r="E38" s="70">
        <v>213836.30178977</v>
      </c>
      <c r="F38" s="51">
        <v>227959.99073064997</v>
      </c>
      <c r="G38" s="51">
        <v>265563.04480046005</v>
      </c>
      <c r="H38" s="51">
        <v>257406.28522388</v>
      </c>
      <c r="I38" s="51">
        <v>272525.78843808995</v>
      </c>
      <c r="L38" s="54"/>
      <c r="M38" s="54"/>
    </row>
    <row r="39" spans="1:13" ht="15">
      <c r="A39" s="43" t="str">
        <f>HLOOKUP(INDICE!$F$2,Nombres!$C$3:$D$636,59,FALSE)</f>
        <v>Pasivos financieros mantenidos para negociar y designados a valor razonable con cambios en resultados</v>
      </c>
      <c r="B39" s="58">
        <v>92173.41449375001</v>
      </c>
      <c r="C39" s="58">
        <v>104489.15465049002</v>
      </c>
      <c r="D39" s="58">
        <v>104536.04972563002</v>
      </c>
      <c r="E39" s="64">
        <v>98790.4568289</v>
      </c>
      <c r="F39" s="44">
        <v>105432.10004579001</v>
      </c>
      <c r="G39" s="44">
        <v>129517.00718761998</v>
      </c>
      <c r="H39" s="44">
        <v>117904.94478928</v>
      </c>
      <c r="I39" s="44">
        <v>131117.83173422</v>
      </c>
      <c r="L39" s="54"/>
      <c r="M39" s="54"/>
    </row>
    <row r="40" spans="1:13" ht="15">
      <c r="A40" s="43" t="str">
        <f>HLOOKUP(INDICE!$F$2,Nombres!$C$3:$D$636,60,FALSE)</f>
        <v>Depósitos de bancos centrales y entidades de crédito</v>
      </c>
      <c r="B40" s="58">
        <v>16254.94732625</v>
      </c>
      <c r="C40" s="58">
        <v>21020.248880389998</v>
      </c>
      <c r="D40" s="58">
        <v>22493.47156409</v>
      </c>
      <c r="E40" s="64">
        <v>20986.56820075</v>
      </c>
      <c r="F40" s="44">
        <v>25157.55073206</v>
      </c>
      <c r="G40" s="44">
        <v>27113.901144600004</v>
      </c>
      <c r="H40" s="44">
        <v>29866.891813039994</v>
      </c>
      <c r="I40" s="44">
        <v>28160.76266991</v>
      </c>
      <c r="L40" s="54"/>
      <c r="M40" s="54"/>
    </row>
    <row r="41" spans="1:13" ht="15.75" customHeight="1">
      <c r="A41" s="43" t="str">
        <f>HLOOKUP(INDICE!$F$2,Nombres!$C$3:$D$636,61,FALSE)</f>
        <v>Depósitos de la clientela</v>
      </c>
      <c r="B41" s="58">
        <v>39177.47035036999</v>
      </c>
      <c r="C41" s="58">
        <v>40542.38192001</v>
      </c>
      <c r="D41" s="58">
        <v>45078.277311000005</v>
      </c>
      <c r="E41" s="64">
        <v>48179.72645381</v>
      </c>
      <c r="F41" s="44">
        <v>53257.92021816</v>
      </c>
      <c r="G41" s="44">
        <v>55330.84467683</v>
      </c>
      <c r="H41" s="44">
        <v>55267.33259535</v>
      </c>
      <c r="I41" s="44">
        <v>59093.70000943</v>
      </c>
      <c r="L41" s="54"/>
      <c r="M41" s="54"/>
    </row>
    <row r="42" spans="1:13" ht="15">
      <c r="A42" s="43" t="str">
        <f>HLOOKUP(INDICE!$F$2,Nombres!$C$3:$D$636,62,FALSE)</f>
        <v>Valores representativos de deuda emitidos</v>
      </c>
      <c r="B42" s="44">
        <v>4278.92715128</v>
      </c>
      <c r="C42" s="44">
        <v>5004.723124300001</v>
      </c>
      <c r="D42" s="44">
        <v>5358.37177386</v>
      </c>
      <c r="E42" s="45">
        <v>5291.61079523</v>
      </c>
      <c r="F42" s="44">
        <v>5831.453145240001</v>
      </c>
      <c r="G42" s="44">
        <v>5756.550559650001</v>
      </c>
      <c r="H42" s="44">
        <v>6573.042022480002</v>
      </c>
      <c r="I42" s="44">
        <v>6076.280637770001</v>
      </c>
      <c r="L42" s="54"/>
      <c r="M42" s="54"/>
    </row>
    <row r="43" spans="1:13" ht="15">
      <c r="A43" s="43" t="str">
        <f>HLOOKUP(INDICE!$F$2,Nombres!$C$3:$D$636,122,FALSE)</f>
        <v>Posiciones inter-áreas pasivo</v>
      </c>
      <c r="B43" s="44">
        <v>45114.954974860375</v>
      </c>
      <c r="C43" s="44">
        <v>35366.83038949719</v>
      </c>
      <c r="D43" s="44">
        <v>31683.326060743166</v>
      </c>
      <c r="E43" s="45">
        <v>25608.59960364637</v>
      </c>
      <c r="F43" s="44">
        <v>21979.46986942435</v>
      </c>
      <c r="G43" s="44">
        <v>30158.593754540092</v>
      </c>
      <c r="H43" s="44">
        <v>29300.07907472002</v>
      </c>
      <c r="I43" s="44">
        <v>29656.79802659834</v>
      </c>
      <c r="L43" s="54"/>
      <c r="M43" s="54"/>
    </row>
    <row r="44" spans="1:13" ht="15">
      <c r="A44" s="43" t="str">
        <f>HLOOKUP(INDICE!$F$2,Nombres!$C$3:$D$636,63,FALSE)</f>
        <v>Otros pasivos</v>
      </c>
      <c r="B44" s="44">
        <f aca="true" t="shared" si="6" ref="B44:I44">+B38-B39-B40-B41-B42-B45-B43</f>
        <v>2617.0919252988388</v>
      </c>
      <c r="C44" s="44">
        <f t="shared" si="6"/>
        <v>4254.766695967977</v>
      </c>
      <c r="D44" s="44">
        <f t="shared" si="6"/>
        <v>4725.55239928401</v>
      </c>
      <c r="E44" s="45">
        <f t="shared" si="6"/>
        <v>4124.28128416722</v>
      </c>
      <c r="F44" s="44">
        <f t="shared" si="6"/>
        <v>5539.100285608816</v>
      </c>
      <c r="G44" s="44">
        <f t="shared" si="6"/>
        <v>6564.711067729168</v>
      </c>
      <c r="H44" s="44">
        <f t="shared" si="6"/>
        <v>7457.503492201195</v>
      </c>
      <c r="I44" s="44">
        <f t="shared" si="6"/>
        <v>7366.682248320398</v>
      </c>
      <c r="L44" s="54"/>
      <c r="M44" s="54"/>
    </row>
    <row r="45" spans="1:13" ht="15">
      <c r="A45" s="43" t="str">
        <f>HLOOKUP(INDICE!$F$2,Nombres!$C$3:$D$636,282,FALSE)</f>
        <v>Dotación de capital regulatorio</v>
      </c>
      <c r="B45" s="44">
        <v>10306.270776940797</v>
      </c>
      <c r="C45" s="44">
        <v>11260.8734033248</v>
      </c>
      <c r="D45" s="44">
        <v>11682.374870692798</v>
      </c>
      <c r="E45" s="45">
        <v>10855.058623266399</v>
      </c>
      <c r="F45" s="44">
        <v>10762.3964343668</v>
      </c>
      <c r="G45" s="44">
        <v>11121.4364094908</v>
      </c>
      <c r="H45" s="44">
        <v>11036.4914368088</v>
      </c>
      <c r="I45" s="44">
        <v>11053.7331118412</v>
      </c>
      <c r="L45" s="54"/>
      <c r="M45" s="54"/>
    </row>
    <row r="46" spans="1:9" ht="15">
      <c r="A46" s="62"/>
      <c r="B46" s="58"/>
      <c r="C46" s="58"/>
      <c r="D46" s="58"/>
      <c r="E46" s="58"/>
      <c r="F46" s="76"/>
      <c r="G46" s="76"/>
      <c r="H46" s="76"/>
      <c r="I46" s="76"/>
    </row>
    <row r="47" spans="1:9" ht="15">
      <c r="A47" s="43"/>
      <c r="B47" s="58"/>
      <c r="C47" s="58"/>
      <c r="D47" s="58"/>
      <c r="E47" s="58"/>
      <c r="F47" s="76"/>
      <c r="G47" s="76"/>
      <c r="H47" s="76"/>
      <c r="I47" s="76"/>
    </row>
    <row r="48" spans="1:9" ht="18">
      <c r="A48" s="33" t="str">
        <f>HLOOKUP(INDICE!$F$2,Nombres!$C$3:$D$636,65,FALSE)</f>
        <v>Indicadores relevantes y de gestión</v>
      </c>
      <c r="B48" s="34"/>
      <c r="C48" s="34"/>
      <c r="D48" s="34"/>
      <c r="E48" s="34"/>
      <c r="F48" s="80"/>
      <c r="G48" s="80"/>
      <c r="H48" s="80"/>
      <c r="I48" s="80"/>
    </row>
    <row r="49" spans="1:9" ht="15">
      <c r="A49" s="35" t="str">
        <f>HLOOKUP(INDICE!$F$2,Nombres!$C$3:$D$636,32,FALSE)</f>
        <v>(Millones de euros)</v>
      </c>
      <c r="B49" s="30"/>
      <c r="C49" s="30"/>
      <c r="D49" s="30"/>
      <c r="E49" s="30"/>
      <c r="F49" s="78"/>
      <c r="G49" s="76"/>
      <c r="H49" s="76"/>
      <c r="I49" s="76"/>
    </row>
    <row r="50" spans="1:9" ht="15.75">
      <c r="A50" s="30"/>
      <c r="B50" s="53">
        <f aca="true" t="shared" si="7" ref="B50:I50">+B$30</f>
        <v>44651</v>
      </c>
      <c r="C50" s="53">
        <f t="shared" si="7"/>
        <v>44742</v>
      </c>
      <c r="D50" s="53">
        <f t="shared" si="7"/>
        <v>44834</v>
      </c>
      <c r="E50" s="67">
        <f t="shared" si="7"/>
        <v>44926</v>
      </c>
      <c r="F50" s="75">
        <f t="shared" si="7"/>
        <v>45016</v>
      </c>
      <c r="G50" s="75">
        <f t="shared" si="7"/>
        <v>45107</v>
      </c>
      <c r="H50" s="75">
        <f t="shared" si="7"/>
        <v>45199</v>
      </c>
      <c r="I50" s="75">
        <f t="shared" si="7"/>
        <v>45291</v>
      </c>
    </row>
    <row r="51" spans="1:9" ht="15" customHeight="1">
      <c r="A51" s="43" t="str">
        <f>HLOOKUP(INDICE!$F$2,Nombres!$C$3:$D$636,66,FALSE)</f>
        <v>Préstamos y anticipos a la clientela bruto (*)</v>
      </c>
      <c r="B51" s="44">
        <v>70929.88365952</v>
      </c>
      <c r="C51" s="44">
        <v>73777.1976775</v>
      </c>
      <c r="D51" s="44">
        <v>79606.05511275001</v>
      </c>
      <c r="E51" s="45">
        <v>77942.33784392002</v>
      </c>
      <c r="F51" s="44">
        <v>77601.90779597</v>
      </c>
      <c r="G51" s="44">
        <v>76485.34563862</v>
      </c>
      <c r="H51" s="44">
        <v>78900.87550544001</v>
      </c>
      <c r="I51" s="44">
        <v>78298.33020172</v>
      </c>
    </row>
    <row r="52" spans="1:9" ht="15">
      <c r="A52" s="43" t="str">
        <f>HLOOKUP(INDICE!$F$2,Nombres!$C$3:$D$636,67,FALSE)</f>
        <v>Depósitos de clientes en gestión (**)</v>
      </c>
      <c r="B52" s="44">
        <v>38615.852138350005</v>
      </c>
      <c r="C52" s="44">
        <v>39976.654460180005</v>
      </c>
      <c r="D52" s="44">
        <v>44417.12598849999</v>
      </c>
      <c r="E52" s="45">
        <v>47270.100984740006</v>
      </c>
      <c r="F52" s="44">
        <v>48068.8924121</v>
      </c>
      <c r="G52" s="44">
        <v>48632.529337240005</v>
      </c>
      <c r="H52" s="44">
        <v>50289.294485030005</v>
      </c>
      <c r="I52" s="44">
        <v>53545.19116816</v>
      </c>
    </row>
    <row r="53" spans="1:9" ht="15">
      <c r="A53" s="43" t="str">
        <f>HLOOKUP(INDICE!$F$2,Nombres!$C$3:$D$636,68,FALSE)</f>
        <v>Fondos de inversión y carteras gestionadas</v>
      </c>
      <c r="B53" s="44">
        <v>1364.1225290099999</v>
      </c>
      <c r="C53" s="44">
        <v>1268.3651473</v>
      </c>
      <c r="D53" s="44">
        <v>1482.83569009</v>
      </c>
      <c r="E53" s="45">
        <v>1591.3759187399999</v>
      </c>
      <c r="F53" s="44">
        <v>2617.7691830500003</v>
      </c>
      <c r="G53" s="44">
        <v>3704.7147958600003</v>
      </c>
      <c r="H53" s="44">
        <v>4026.80355485</v>
      </c>
      <c r="I53" s="44">
        <v>3964.0275243199994</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135.55139111</v>
      </c>
      <c r="C55" s="44">
        <v>355.16733027</v>
      </c>
      <c r="D55" s="44">
        <v>308.93988207</v>
      </c>
      <c r="E55" s="45">
        <v>158.91382959</v>
      </c>
      <c r="F55" s="44">
        <v>390.86549346</v>
      </c>
      <c r="G55" s="44">
        <v>461.62464199000004</v>
      </c>
      <c r="H55" s="44">
        <v>279.02559091</v>
      </c>
      <c r="I55" s="44">
        <v>225.41681555000002</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1">
        <f>+B$6</f>
        <v>2022</v>
      </c>
      <c r="C62" s="301"/>
      <c r="D62" s="301"/>
      <c r="E62" s="302"/>
      <c r="F62" s="301">
        <f>+F$6</f>
        <v>2023</v>
      </c>
      <c r="G62" s="301"/>
      <c r="H62" s="301"/>
      <c r="I62" s="301"/>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436.255711285236</v>
      </c>
      <c r="C64" s="41">
        <v>422.85128789082</v>
      </c>
      <c r="D64" s="41">
        <v>439.83935570990815</v>
      </c>
      <c r="E64" s="42">
        <v>459.8677855911118</v>
      </c>
      <c r="F64" s="50">
        <v>445.5693981890523</v>
      </c>
      <c r="G64" s="50">
        <v>481.57616320624334</v>
      </c>
      <c r="H64" s="50">
        <v>531.4870098193703</v>
      </c>
      <c r="I64" s="50">
        <v>642.9674907753342</v>
      </c>
    </row>
    <row r="65" spans="1:9" ht="15">
      <c r="A65" s="43" t="str">
        <f>HLOOKUP(INDICE!$F$2,Nombres!$C$3:$D$636,34,FALSE)</f>
        <v>Comisiones netas</v>
      </c>
      <c r="B65" s="44">
        <v>189.3753427640013</v>
      </c>
      <c r="C65" s="44">
        <v>221.12185342507166</v>
      </c>
      <c r="D65" s="44">
        <v>219.6810284191676</v>
      </c>
      <c r="E65" s="45">
        <v>232.07245149955241</v>
      </c>
      <c r="F65" s="44">
        <v>255.980138532831</v>
      </c>
      <c r="G65" s="44">
        <v>263.5967231310967</v>
      </c>
      <c r="H65" s="44">
        <v>247.3079871575938</v>
      </c>
      <c r="I65" s="44">
        <v>240.2550468884785</v>
      </c>
    </row>
    <row r="66" spans="1:9" ht="15">
      <c r="A66" s="43" t="str">
        <f>HLOOKUP(INDICE!$F$2,Nombres!$C$3:$D$636,35,FALSE)</f>
        <v>Resultados de operaciones financieras</v>
      </c>
      <c r="B66" s="44">
        <v>293.20179401818666</v>
      </c>
      <c r="C66" s="44">
        <v>252.643586375643</v>
      </c>
      <c r="D66" s="44">
        <v>218.43293406977745</v>
      </c>
      <c r="E66" s="45">
        <v>222.75584400971127</v>
      </c>
      <c r="F66" s="44">
        <v>380.1446870026599</v>
      </c>
      <c r="G66" s="44">
        <v>566.5182883423216</v>
      </c>
      <c r="H66" s="44">
        <v>376.53211134423896</v>
      </c>
      <c r="I66" s="44">
        <v>436.0527979507797</v>
      </c>
    </row>
    <row r="67" spans="1:9" ht="15">
      <c r="A67" s="43" t="str">
        <f>HLOOKUP(INDICE!$F$2,Nombres!$C$3:$D$636,36,FALSE)</f>
        <v>Otros ingresos y cargas de explotación</v>
      </c>
      <c r="B67" s="44">
        <v>-7.432534875613747</v>
      </c>
      <c r="C67" s="44">
        <v>-7.617802536875088</v>
      </c>
      <c r="D67" s="44">
        <v>-12.077501296969066</v>
      </c>
      <c r="E67" s="45">
        <v>-10.956534776706242</v>
      </c>
      <c r="F67" s="44">
        <v>-24.999805504347155</v>
      </c>
      <c r="G67" s="44">
        <v>-10.586245757546177</v>
      </c>
      <c r="H67" s="44">
        <v>-16.607546089220342</v>
      </c>
      <c r="I67" s="44">
        <v>-11.822681558886321</v>
      </c>
    </row>
    <row r="68" spans="1:9" ht="15">
      <c r="A68" s="41" t="str">
        <f>HLOOKUP(INDICE!$F$2,Nombres!$C$3:$D$636,37,FALSE)</f>
        <v>Margen bruto</v>
      </c>
      <c r="B68" s="41">
        <f>+SUM(B64:B67)</f>
        <v>911.4003131918101</v>
      </c>
      <c r="C68" s="41">
        <f aca="true" t="shared" si="9" ref="C68:I68">+SUM(C64:C67)</f>
        <v>888.9989251546596</v>
      </c>
      <c r="D68" s="41">
        <f t="shared" si="9"/>
        <v>865.875816901884</v>
      </c>
      <c r="E68" s="42">
        <f t="shared" si="9"/>
        <v>903.7395463236692</v>
      </c>
      <c r="F68" s="50">
        <f t="shared" si="9"/>
        <v>1056.694418220196</v>
      </c>
      <c r="G68" s="50">
        <f t="shared" si="9"/>
        <v>1301.1049289221157</v>
      </c>
      <c r="H68" s="50">
        <f t="shared" si="9"/>
        <v>1138.7195622319828</v>
      </c>
      <c r="I68" s="50">
        <f t="shared" si="9"/>
        <v>1307.452654055706</v>
      </c>
    </row>
    <row r="69" spans="1:9" ht="15">
      <c r="A69" s="43" t="str">
        <f>HLOOKUP(INDICE!$F$2,Nombres!$C$3:$D$636,38,FALSE)</f>
        <v>Gastos de explotación</v>
      </c>
      <c r="B69" s="44">
        <v>-248.99165501264895</v>
      </c>
      <c r="C69" s="44">
        <v>-250.52817435757643</v>
      </c>
      <c r="D69" s="44">
        <v>-275.4483326516872</v>
      </c>
      <c r="E69" s="45">
        <v>-309.8813592263208</v>
      </c>
      <c r="F69" s="44">
        <v>-289.35542636332224</v>
      </c>
      <c r="G69" s="44">
        <v>-296.0037711157852</v>
      </c>
      <c r="H69" s="44">
        <v>-309.97907960615646</v>
      </c>
      <c r="I69" s="44">
        <v>-364.4478594247362</v>
      </c>
    </row>
    <row r="70" spans="1:9" ht="15">
      <c r="A70" s="43" t="str">
        <f>HLOOKUP(INDICE!$F$2,Nombres!$C$3:$D$636,39,FALSE)</f>
        <v>  Gastos de administración</v>
      </c>
      <c r="B70" s="44">
        <v>-222.87138114101631</v>
      </c>
      <c r="C70" s="44">
        <v>-223.6040950963128</v>
      </c>
      <c r="D70" s="44">
        <v>-248.2318917068979</v>
      </c>
      <c r="E70" s="45">
        <v>-283.98820440262097</v>
      </c>
      <c r="F70" s="44">
        <v>-263.73768889618583</v>
      </c>
      <c r="G70" s="44">
        <v>-269.67452028606215</v>
      </c>
      <c r="H70" s="44">
        <v>-282.6964694685141</v>
      </c>
      <c r="I70" s="44">
        <v>-336.3945403492379</v>
      </c>
    </row>
    <row r="71" spans="1:9" ht="15">
      <c r="A71" s="46" t="str">
        <f>HLOOKUP(INDICE!$F$2,Nombres!$C$3:$D$636,40,FALSE)</f>
        <v>  Gastos de personal</v>
      </c>
      <c r="B71" s="44">
        <v>-118.1037394403455</v>
      </c>
      <c r="C71" s="44">
        <v>-113.7575941883961</v>
      </c>
      <c r="D71" s="44">
        <v>-132.29520582807012</v>
      </c>
      <c r="E71" s="45">
        <v>-163.25747065365437</v>
      </c>
      <c r="F71" s="44">
        <v>-138.64672829758427</v>
      </c>
      <c r="G71" s="44">
        <v>-139.9484846101179</v>
      </c>
      <c r="H71" s="44">
        <v>-151.06865318828162</v>
      </c>
      <c r="I71" s="44">
        <v>-192.2440920340162</v>
      </c>
    </row>
    <row r="72" spans="1:9" ht="15">
      <c r="A72" s="46" t="str">
        <f>HLOOKUP(INDICE!$F$2,Nombres!$C$3:$D$636,41,FALSE)</f>
        <v>  Otros gastos de administración</v>
      </c>
      <c r="B72" s="44">
        <v>-104.76764170067084</v>
      </c>
      <c r="C72" s="44">
        <v>-109.84650090791669</v>
      </c>
      <c r="D72" s="44">
        <v>-115.93668587882777</v>
      </c>
      <c r="E72" s="45">
        <v>-120.73073374896657</v>
      </c>
      <c r="F72" s="44">
        <v>-125.09096059860154</v>
      </c>
      <c r="G72" s="44">
        <v>-129.72603567594422</v>
      </c>
      <c r="H72" s="44">
        <v>-131.62781628023248</v>
      </c>
      <c r="I72" s="44">
        <v>-144.15044831522178</v>
      </c>
    </row>
    <row r="73" spans="1:9" ht="15">
      <c r="A73" s="43" t="str">
        <f>HLOOKUP(INDICE!$F$2,Nombres!$C$3:$D$636,42,FALSE)</f>
        <v>  Amortización</v>
      </c>
      <c r="B73" s="44">
        <v>-26.12027387163262</v>
      </c>
      <c r="C73" s="44">
        <v>-26.924079261263643</v>
      </c>
      <c r="D73" s="44">
        <v>-27.21644094478932</v>
      </c>
      <c r="E73" s="45">
        <v>-25.89315482369979</v>
      </c>
      <c r="F73" s="44">
        <v>-25.61773746713643</v>
      </c>
      <c r="G73" s="44">
        <v>-26.32925082972303</v>
      </c>
      <c r="H73" s="44">
        <v>-27.282610137642315</v>
      </c>
      <c r="I73" s="44">
        <v>-28.05331907549822</v>
      </c>
    </row>
    <row r="74" spans="1:9" ht="15">
      <c r="A74" s="41" t="str">
        <f>HLOOKUP(INDICE!$F$2,Nombres!$C$3:$D$636,43,FALSE)</f>
        <v>Margen neto</v>
      </c>
      <c r="B74" s="41">
        <f>+B68+B69</f>
        <v>662.4086581791612</v>
      </c>
      <c r="C74" s="41">
        <f aca="true" t="shared" si="10" ref="C74:I74">+C68+C69</f>
        <v>638.4707507970832</v>
      </c>
      <c r="D74" s="41">
        <f t="shared" si="10"/>
        <v>590.4274842501968</v>
      </c>
      <c r="E74" s="42">
        <f t="shared" si="10"/>
        <v>593.8581870973484</v>
      </c>
      <c r="F74" s="50">
        <f t="shared" si="10"/>
        <v>767.3389918568737</v>
      </c>
      <c r="G74" s="50">
        <f t="shared" si="10"/>
        <v>1005.1011578063305</v>
      </c>
      <c r="H74" s="50">
        <f t="shared" si="10"/>
        <v>828.7404826258263</v>
      </c>
      <c r="I74" s="50">
        <f t="shared" si="10"/>
        <v>943.0047946309699</v>
      </c>
    </row>
    <row r="75" spans="1:9" ht="15">
      <c r="A75" s="43" t="str">
        <f>HLOOKUP(INDICE!$F$2,Nombres!$C$3:$D$636,44,FALSE)</f>
        <v>Deterioro de activos financieros no valorados a valor razonable con cambios en resultados</v>
      </c>
      <c r="B75" s="44">
        <v>-22.128796642326606</v>
      </c>
      <c r="C75" s="44">
        <v>8.601128461218016</v>
      </c>
      <c r="D75" s="44">
        <v>-20.261578749995913</v>
      </c>
      <c r="E75" s="45">
        <v>-27.18946060957204</v>
      </c>
      <c r="F75" s="44">
        <v>-29.633790312135243</v>
      </c>
      <c r="G75" s="44">
        <v>14.065667364066453</v>
      </c>
      <c r="H75" s="44">
        <v>-16.285822306923002</v>
      </c>
      <c r="I75" s="44">
        <v>21.3105276249918</v>
      </c>
    </row>
    <row r="76" spans="1:9" ht="15">
      <c r="A76" s="43" t="str">
        <f>HLOOKUP(INDICE!$F$2,Nombres!$C$3:$D$636,45,FALSE)</f>
        <v>Provisiones o reversión de provisiones y otros resultados</v>
      </c>
      <c r="B76" s="44">
        <v>18.178445995337075</v>
      </c>
      <c r="C76" s="44">
        <v>-10.70391725208433</v>
      </c>
      <c r="D76" s="44">
        <v>-0.8981305567280438</v>
      </c>
      <c r="E76" s="45">
        <v>-19.546104879773264</v>
      </c>
      <c r="F76" s="44">
        <v>14.530991874525863</v>
      </c>
      <c r="G76" s="44">
        <v>-2.2137154715702896</v>
      </c>
      <c r="H76" s="44">
        <v>1.4712005274800972</v>
      </c>
      <c r="I76" s="44">
        <v>-13.40272813043567</v>
      </c>
    </row>
    <row r="77" spans="1:9" ht="15">
      <c r="A77" s="41" t="str">
        <f>HLOOKUP(INDICE!$F$2,Nombres!$C$3:$D$636,46,FALSE)</f>
        <v>Resultado antes de impuestos</v>
      </c>
      <c r="B77" s="41">
        <f>+B74+B75+B76</f>
        <v>658.4583075321716</v>
      </c>
      <c r="C77" s="41">
        <f aca="true" t="shared" si="11" ref="C77:I77">+C74+C75+C76</f>
        <v>636.3679620062168</v>
      </c>
      <c r="D77" s="41">
        <f t="shared" si="11"/>
        <v>569.2677749434729</v>
      </c>
      <c r="E77" s="42">
        <f t="shared" si="11"/>
        <v>547.1226216080031</v>
      </c>
      <c r="F77" s="50">
        <f t="shared" si="11"/>
        <v>752.2361934192643</v>
      </c>
      <c r="G77" s="50">
        <f t="shared" si="11"/>
        <v>1016.9531096988268</v>
      </c>
      <c r="H77" s="50">
        <f t="shared" si="11"/>
        <v>813.9258608463833</v>
      </c>
      <c r="I77" s="50">
        <f t="shared" si="11"/>
        <v>950.912594125526</v>
      </c>
    </row>
    <row r="78" spans="1:9" ht="15">
      <c r="A78" s="43" t="str">
        <f>HLOOKUP(INDICE!$F$2,Nombres!$C$3:$D$636,47,FALSE)</f>
        <v>Impuesto sobre beneficios</v>
      </c>
      <c r="B78" s="44">
        <v>-186.84784102399473</v>
      </c>
      <c r="C78" s="44">
        <v>-179.4745781139619</v>
      </c>
      <c r="D78" s="44">
        <v>-164.92734544514124</v>
      </c>
      <c r="E78" s="45">
        <v>-149.34880091421007</v>
      </c>
      <c r="F78" s="44">
        <v>-208.60744371258352</v>
      </c>
      <c r="G78" s="44">
        <v>-272.4525400873832</v>
      </c>
      <c r="H78" s="44">
        <v>-256.3201718432648</v>
      </c>
      <c r="I78" s="44">
        <v>-268.5705877467684</v>
      </c>
    </row>
    <row r="79" spans="1:9" ht="15">
      <c r="A79" s="41" t="str">
        <f>HLOOKUP(INDICE!$F$2,Nombres!$C$3:$D$636,48,FALSE)</f>
        <v>Resultado del ejercicio</v>
      </c>
      <c r="B79" s="41">
        <f>+B77+B78</f>
        <v>471.61046650817684</v>
      </c>
      <c r="C79" s="41">
        <f aca="true" t="shared" si="12" ref="C79:I79">+C77+C78</f>
        <v>456.89338389225486</v>
      </c>
      <c r="D79" s="41">
        <f t="shared" si="12"/>
        <v>404.3404294983317</v>
      </c>
      <c r="E79" s="42">
        <f t="shared" si="12"/>
        <v>397.773820693793</v>
      </c>
      <c r="F79" s="50">
        <f t="shared" si="12"/>
        <v>543.6287497066808</v>
      </c>
      <c r="G79" s="50">
        <f t="shared" si="12"/>
        <v>744.5005696114436</v>
      </c>
      <c r="H79" s="50">
        <f t="shared" si="12"/>
        <v>557.6056890031185</v>
      </c>
      <c r="I79" s="50">
        <f t="shared" si="12"/>
        <v>682.3420063787576</v>
      </c>
    </row>
    <row r="80" spans="1:9" ht="15">
      <c r="A80" s="43" t="str">
        <f>HLOOKUP(INDICE!$F$2,Nombres!$C$3:$D$636,49,FALSE)</f>
        <v>Minoritarios</v>
      </c>
      <c r="B80" s="44">
        <v>-58.28516889427619</v>
      </c>
      <c r="C80" s="44">
        <v>-50.955481515826705</v>
      </c>
      <c r="D80" s="44">
        <v>-26.90972200632501</v>
      </c>
      <c r="E80" s="45">
        <v>-35.39914883541049</v>
      </c>
      <c r="F80" s="44">
        <v>-55.423355121964846</v>
      </c>
      <c r="G80" s="44">
        <v>-73.33248111471471</v>
      </c>
      <c r="H80" s="44">
        <v>-61.575024792664884</v>
      </c>
      <c r="I80" s="44">
        <v>-85.01833631065554</v>
      </c>
    </row>
    <row r="81" spans="1:9" ht="15">
      <c r="A81" s="47" t="str">
        <f>HLOOKUP(INDICE!$F$2,Nombres!$C$3:$D$636,50,FALSE)</f>
        <v>Resultado atribuido</v>
      </c>
      <c r="B81" s="47">
        <f>+B79+B80</f>
        <v>413.32529761390066</v>
      </c>
      <c r="C81" s="47">
        <f aca="true" t="shared" si="13" ref="C81:I81">+C79+C80</f>
        <v>405.93790237642816</v>
      </c>
      <c r="D81" s="47">
        <f t="shared" si="13"/>
        <v>377.43070749200666</v>
      </c>
      <c r="E81" s="47">
        <f t="shared" si="13"/>
        <v>362.37467185838256</v>
      </c>
      <c r="F81" s="51">
        <f t="shared" si="13"/>
        <v>488.2053945847159</v>
      </c>
      <c r="G81" s="51">
        <f t="shared" si="13"/>
        <v>671.1680884967288</v>
      </c>
      <c r="H81" s="51">
        <f t="shared" si="13"/>
        <v>496.03066421045366</v>
      </c>
      <c r="I81" s="51">
        <f t="shared" si="13"/>
        <v>597.323670068102</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44651</v>
      </c>
      <c r="C86" s="53">
        <f t="shared" si="14"/>
        <v>44742</v>
      </c>
      <c r="D86" s="53">
        <f t="shared" si="14"/>
        <v>44834</v>
      </c>
      <c r="E86" s="67">
        <f t="shared" si="14"/>
        <v>44926</v>
      </c>
      <c r="F86" s="53">
        <f t="shared" si="14"/>
        <v>45016</v>
      </c>
      <c r="G86" s="53">
        <f t="shared" si="14"/>
        <v>45107</v>
      </c>
      <c r="H86" s="53">
        <f t="shared" si="14"/>
        <v>45199</v>
      </c>
      <c r="I86" s="53">
        <f t="shared" si="14"/>
        <v>45291</v>
      </c>
    </row>
    <row r="87" spans="1:9" ht="15">
      <c r="A87" s="43" t="str">
        <f>HLOOKUP(INDICE!$F$2,Nombres!$C$3:$D$636,52,FALSE)</f>
        <v>Efectivo, saldos en efectivo en bancos centrales y otros depósitos a la vista</v>
      </c>
      <c r="B87" s="44">
        <v>6626.600188742705</v>
      </c>
      <c r="C87" s="44">
        <v>7860.613231945759</v>
      </c>
      <c r="D87" s="44">
        <v>6645.426753889947</v>
      </c>
      <c r="E87" s="45">
        <v>5598.72875054853</v>
      </c>
      <c r="F87" s="44">
        <v>4764.038832158939</v>
      </c>
      <c r="G87" s="44">
        <v>5380.233483306058</v>
      </c>
      <c r="H87" s="44">
        <v>5149.872418421152</v>
      </c>
      <c r="I87" s="44">
        <v>5035.968158340001</v>
      </c>
    </row>
    <row r="88" spans="1:9" ht="15">
      <c r="A88" s="43" t="str">
        <f>HLOOKUP(INDICE!$F$2,Nombres!$C$3:$D$636,53,FALSE)</f>
        <v>Activos financieros a valor razonable</v>
      </c>
      <c r="B88" s="58">
        <v>123945.38393914721</v>
      </c>
      <c r="C88" s="58">
        <v>128337.21170653435</v>
      </c>
      <c r="D88" s="58">
        <v>124691.15976667011</v>
      </c>
      <c r="E88" s="64">
        <v>119479.53714715959</v>
      </c>
      <c r="F88" s="44">
        <v>131504.53065677747</v>
      </c>
      <c r="G88" s="44">
        <v>156976.7999941625</v>
      </c>
      <c r="H88" s="44">
        <v>145523.20147791313</v>
      </c>
      <c r="I88" s="44">
        <v>159379.07830209</v>
      </c>
    </row>
    <row r="89" spans="1:9" ht="15">
      <c r="A89" s="43" t="str">
        <f>HLOOKUP(INDICE!$F$2,Nombres!$C$3:$D$636,54,FALSE)</f>
        <v>Activos financieros a coste amortizado</v>
      </c>
      <c r="B89" s="44">
        <v>78060.5517918813</v>
      </c>
      <c r="C89" s="44">
        <v>81083.78495360105</v>
      </c>
      <c r="D89" s="44">
        <v>87107.57474262861</v>
      </c>
      <c r="E89" s="45">
        <v>87801.75747137089</v>
      </c>
      <c r="F89" s="44">
        <v>87973.72129713645</v>
      </c>
      <c r="G89" s="44">
        <v>87720.13892715472</v>
      </c>
      <c r="H89" s="44">
        <v>94252.59081558714</v>
      </c>
      <c r="I89" s="44">
        <v>97324.77289502</v>
      </c>
    </row>
    <row r="90" spans="1:9" ht="15">
      <c r="A90" s="43" t="str">
        <f>HLOOKUP(INDICE!$F$2,Nombres!$C$3:$D$636,55,FALSE)</f>
        <v>    de los que préstamos y anticipos a la clientela</v>
      </c>
      <c r="B90" s="44">
        <v>68085.5738824697</v>
      </c>
      <c r="C90" s="44">
        <v>69844.1123989626</v>
      </c>
      <c r="D90" s="44">
        <v>74355.05541466351</v>
      </c>
      <c r="E90" s="45">
        <v>75597.85843899257</v>
      </c>
      <c r="F90" s="44">
        <v>74626.71435476921</v>
      </c>
      <c r="G90" s="44">
        <v>74501.90819839464</v>
      </c>
      <c r="H90" s="44">
        <v>76619.03394729747</v>
      </c>
      <c r="I90" s="44">
        <v>78376.37496049</v>
      </c>
    </row>
    <row r="91" spans="1:9" ht="15">
      <c r="A91" s="43" t="str">
        <f>HLOOKUP(INDICE!$F$2,Nombres!$C$3:$D$636,121,FALSE)</f>
        <v>Posiciones inter-áreas activo</v>
      </c>
      <c r="B91" s="44">
        <v>0</v>
      </c>
      <c r="C91" s="44">
        <v>0</v>
      </c>
      <c r="D91" s="44">
        <v>0</v>
      </c>
      <c r="E91" s="45">
        <v>0</v>
      </c>
      <c r="F91" s="44">
        <v>0</v>
      </c>
      <c r="G91" s="44">
        <v>0</v>
      </c>
      <c r="H91" s="44">
        <v>0</v>
      </c>
      <c r="I91" s="44">
        <v>0</v>
      </c>
    </row>
    <row r="92" spans="1:9" ht="15">
      <c r="A92" s="43" t="str">
        <f>HLOOKUP(INDICE!$F$2,Nombres!$C$3:$D$636,56,FALSE)</f>
        <v>Activos tangibles</v>
      </c>
      <c r="B92" s="44">
        <v>53.79483618462565</v>
      </c>
      <c r="C92" s="44">
        <v>50.60903628397809</v>
      </c>
      <c r="D92" s="44">
        <v>50.70934651400046</v>
      </c>
      <c r="E92" s="45">
        <v>52.00262794227923</v>
      </c>
      <c r="F92" s="44">
        <v>53.343826282098945</v>
      </c>
      <c r="G92" s="44">
        <v>52.97669727487689</v>
      </c>
      <c r="H92" s="44">
        <v>132.5486552357017</v>
      </c>
      <c r="I92" s="44">
        <v>140.72500627</v>
      </c>
    </row>
    <row r="93" spans="1:9" ht="15">
      <c r="A93" s="43" t="str">
        <f>HLOOKUP(INDICE!$F$2,Nombres!$C$3:$D$636,57,FALSE)</f>
        <v>Otros activos</v>
      </c>
      <c r="B93" s="58">
        <f>+B94-B92-B89-B88-B87-B91</f>
        <v>836.1492296344004</v>
      </c>
      <c r="C93" s="58">
        <f aca="true" t="shared" si="15" ref="C93:I93">+C94-C92-C89-C88-C87-C91</f>
        <v>1750.814920216444</v>
      </c>
      <c r="D93" s="58">
        <f t="shared" si="15"/>
        <v>1668.488884519783</v>
      </c>
      <c r="E93" s="64">
        <f t="shared" si="15"/>
        <v>664.8074431495761</v>
      </c>
      <c r="F93" s="58">
        <f t="shared" si="15"/>
        <v>1828.7365516245072</v>
      </c>
      <c r="G93" s="58">
        <f t="shared" si="15"/>
        <v>13668.883125707844</v>
      </c>
      <c r="H93" s="58">
        <f t="shared" si="15"/>
        <v>9639.383940071122</v>
      </c>
      <c r="I93" s="58">
        <f t="shared" si="15"/>
        <v>10645.244076369963</v>
      </c>
    </row>
    <row r="94" spans="1:9" ht="15">
      <c r="A94" s="47" t="str">
        <f>HLOOKUP(INDICE!$F$2,Nombres!$C$3:$D$636,58,FALSE)</f>
        <v>Total activo / pasivo</v>
      </c>
      <c r="B94" s="47">
        <v>209522.47998559024</v>
      </c>
      <c r="C94" s="47">
        <v>219083.03384858157</v>
      </c>
      <c r="D94" s="47">
        <v>220163.35949422244</v>
      </c>
      <c r="E94" s="70">
        <v>213596.83344017086</v>
      </c>
      <c r="F94" s="51">
        <v>226124.37116397946</v>
      </c>
      <c r="G94" s="51">
        <v>263799.032227606</v>
      </c>
      <c r="H94" s="51">
        <v>254697.59730722825</v>
      </c>
      <c r="I94" s="51">
        <v>272525.78843808995</v>
      </c>
    </row>
    <row r="95" spans="1:9" ht="15">
      <c r="A95" s="43" t="str">
        <f>HLOOKUP(INDICE!$F$2,Nombres!$C$3:$D$636,59,FALSE)</f>
        <v>Pasivos financieros mantenidos para negociar y designados a valor razonable con cambios en resultados</v>
      </c>
      <c r="B95" s="58">
        <v>93796.96066555138</v>
      </c>
      <c r="C95" s="58">
        <v>105483.87633992505</v>
      </c>
      <c r="D95" s="58">
        <v>104777.77295408367</v>
      </c>
      <c r="E95" s="64">
        <v>99736.42185069155</v>
      </c>
      <c r="F95" s="44">
        <v>105429.3971187067</v>
      </c>
      <c r="G95" s="44">
        <v>129456.66119534013</v>
      </c>
      <c r="H95" s="44">
        <v>117526.67070997303</v>
      </c>
      <c r="I95" s="44">
        <v>131117.83173422</v>
      </c>
    </row>
    <row r="96" spans="1:9" ht="15">
      <c r="A96" s="43" t="str">
        <f>HLOOKUP(INDICE!$F$2,Nombres!$C$3:$D$636,60,FALSE)</f>
        <v>Depósitos de bancos centrales y entidades de crédito</v>
      </c>
      <c r="B96" s="58">
        <v>16313.29685987821</v>
      </c>
      <c r="C96" s="58">
        <v>21005.947291671317</v>
      </c>
      <c r="D96" s="58">
        <v>22368.196777816403</v>
      </c>
      <c r="E96" s="64">
        <v>21055.205706953107</v>
      </c>
      <c r="F96" s="44">
        <v>25269.432622197528</v>
      </c>
      <c r="G96" s="44">
        <v>26991.519772264073</v>
      </c>
      <c r="H96" s="44">
        <v>29689.56471350503</v>
      </c>
      <c r="I96" s="44">
        <v>28160.76266991</v>
      </c>
    </row>
    <row r="97" spans="1:9" ht="15">
      <c r="A97" s="43" t="str">
        <f>HLOOKUP(INDICE!$F$2,Nombres!$C$3:$D$636,61,FALSE)</f>
        <v>Depósitos de la clientela</v>
      </c>
      <c r="B97" s="58">
        <v>38011.739353600584</v>
      </c>
      <c r="C97" s="58">
        <v>38489.27728785509</v>
      </c>
      <c r="D97" s="58">
        <v>41704.31310988963</v>
      </c>
      <c r="E97" s="64">
        <v>47087.36776204877</v>
      </c>
      <c r="F97" s="44">
        <v>51208.9025515666</v>
      </c>
      <c r="G97" s="44">
        <v>53135.47399864361</v>
      </c>
      <c r="H97" s="44">
        <v>53008.85443744269</v>
      </c>
      <c r="I97" s="44">
        <v>59093.70000943</v>
      </c>
    </row>
    <row r="98" spans="1:9" ht="15">
      <c r="A98" s="43" t="str">
        <f>HLOOKUP(INDICE!$F$2,Nombres!$C$3:$D$636,62,FALSE)</f>
        <v>Valores representativos de deuda emitidos</v>
      </c>
      <c r="B98" s="44">
        <v>4403.966777088146</v>
      </c>
      <c r="C98" s="44">
        <v>5106.658340738192</v>
      </c>
      <c r="D98" s="44">
        <v>5398.07824156072</v>
      </c>
      <c r="E98" s="45">
        <v>5351.831985622586</v>
      </c>
      <c r="F98" s="44">
        <v>5860.749345535702</v>
      </c>
      <c r="G98" s="44">
        <v>5747.996702323906</v>
      </c>
      <c r="H98" s="44">
        <v>6559.614075337923</v>
      </c>
      <c r="I98" s="44">
        <v>6076.280637770001</v>
      </c>
    </row>
    <row r="99" spans="1:9" ht="15">
      <c r="A99" s="43" t="str">
        <f>HLOOKUP(INDICE!$F$2,Nombres!$C$3:$D$636,122,FALSE)</f>
        <v>Posiciones inter-áreas pasivo</v>
      </c>
      <c r="B99" s="44">
        <v>44181.476069726064</v>
      </c>
      <c r="C99" s="44">
        <v>33750.6796625874</v>
      </c>
      <c r="D99" s="44">
        <v>30056.037236021693</v>
      </c>
      <c r="E99" s="45">
        <v>25366.21410272229</v>
      </c>
      <c r="F99" s="44">
        <v>21927.008867093962</v>
      </c>
      <c r="G99" s="44">
        <v>30909.502337670558</v>
      </c>
      <c r="H99" s="44">
        <v>29722.77229907708</v>
      </c>
      <c r="I99" s="44">
        <v>29656.79802659834</v>
      </c>
    </row>
    <row r="100" spans="1:9" ht="15">
      <c r="A100" s="43" t="str">
        <f>HLOOKUP(INDICE!$F$2,Nombres!$C$3:$D$636,63,FALSE)</f>
        <v>Otros pasivos</v>
      </c>
      <c r="B100" s="44">
        <f aca="true" t="shared" si="16" ref="B100:I100">+B94-B95-B96-B97-B98-B101-B99</f>
        <v>2773.9217334601126</v>
      </c>
      <c r="C100" s="44">
        <f t="shared" si="16"/>
        <v>4512.417869187164</v>
      </c>
      <c r="D100" s="44">
        <f t="shared" si="16"/>
        <v>4848.585884552071</v>
      </c>
      <c r="E100" s="45">
        <f t="shared" si="16"/>
        <v>4596.703310548488</v>
      </c>
      <c r="F100" s="44">
        <f t="shared" si="16"/>
        <v>6111.7047249530115</v>
      </c>
      <c r="G100" s="44">
        <f t="shared" si="16"/>
        <v>6885.422253965771</v>
      </c>
      <c r="H100" s="44">
        <f t="shared" si="16"/>
        <v>7418.4398131451635</v>
      </c>
      <c r="I100" s="44">
        <f t="shared" si="16"/>
        <v>7366.682248320398</v>
      </c>
    </row>
    <row r="101" spans="1:9" ht="15">
      <c r="A101" s="43" t="str">
        <f>HLOOKUP(INDICE!$F$2,Nombres!$C$3:$D$636,282,FALSE)</f>
        <v>Dotación de capital regulatorio</v>
      </c>
      <c r="B101" s="44">
        <v>10041.118526285734</v>
      </c>
      <c r="C101" s="44">
        <v>10734.177056617369</v>
      </c>
      <c r="D101" s="44">
        <v>11010.375290298252</v>
      </c>
      <c r="E101" s="45">
        <v>10403.08872158407</v>
      </c>
      <c r="F101" s="44">
        <v>10317.175933925942</v>
      </c>
      <c r="G101" s="44">
        <v>10672.455967397937</v>
      </c>
      <c r="H101" s="44">
        <v>10771.681258747329</v>
      </c>
      <c r="I101" s="44">
        <v>11053.7331118412</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44651</v>
      </c>
      <c r="C106" s="53">
        <f t="shared" si="17"/>
        <v>44742</v>
      </c>
      <c r="D106" s="53">
        <f t="shared" si="17"/>
        <v>44834</v>
      </c>
      <c r="E106" s="67">
        <f t="shared" si="17"/>
        <v>44926</v>
      </c>
      <c r="F106" s="53">
        <f t="shared" si="17"/>
        <v>45016</v>
      </c>
      <c r="G106" s="53">
        <f t="shared" si="17"/>
        <v>45107</v>
      </c>
      <c r="H106" s="53">
        <f t="shared" si="17"/>
        <v>45199</v>
      </c>
      <c r="I106" s="53">
        <f t="shared" si="17"/>
        <v>45291</v>
      </c>
    </row>
    <row r="107" spans="1:9" ht="15">
      <c r="A107" s="43" t="str">
        <f>HLOOKUP(INDICE!$F$2,Nombres!$C$3:$D$636,66,FALSE)</f>
        <v>Préstamos y anticipos a la clientela bruto (*)</v>
      </c>
      <c r="B107" s="44">
        <v>68565.63779904516</v>
      </c>
      <c r="C107" s="44">
        <v>70431.2447324694</v>
      </c>
      <c r="D107" s="44">
        <v>74866.39562942409</v>
      </c>
      <c r="E107" s="45">
        <v>76113.15018620364</v>
      </c>
      <c r="F107" s="44">
        <v>75156.00721408955</v>
      </c>
      <c r="G107" s="44">
        <v>75050.99117824058</v>
      </c>
      <c r="H107" s="44">
        <v>77178.34577144384</v>
      </c>
      <c r="I107" s="44">
        <v>78298.33020172</v>
      </c>
    </row>
    <row r="108" spans="1:9" ht="15">
      <c r="A108" s="43" t="str">
        <f>HLOOKUP(INDICE!$F$2,Nombres!$C$3:$D$636,67,FALSE)</f>
        <v>Depósitos de clientes en gestión (**)</v>
      </c>
      <c r="B108" s="44">
        <v>37450.67471761824</v>
      </c>
      <c r="C108" s="44">
        <v>37916.796489813445</v>
      </c>
      <c r="D108" s="44">
        <v>41038.43672828026</v>
      </c>
      <c r="E108" s="45">
        <v>46171.29184804153</v>
      </c>
      <c r="F108" s="44">
        <v>45815.65650634747</v>
      </c>
      <c r="G108" s="44">
        <v>46478.88991986757</v>
      </c>
      <c r="H108" s="44">
        <v>48075.48384504702</v>
      </c>
      <c r="I108" s="44">
        <v>53545.19116816</v>
      </c>
    </row>
    <row r="109" spans="1:9" ht="15">
      <c r="A109" s="43" t="str">
        <f>HLOOKUP(INDICE!$F$2,Nombres!$C$3:$D$636,68,FALSE)</f>
        <v>Fondos de inversión y carteras gestionadas</v>
      </c>
      <c r="B109" s="44">
        <v>705.0740105715109</v>
      </c>
      <c r="C109" s="44">
        <v>701.2407496063203</v>
      </c>
      <c r="D109" s="44">
        <v>745.6452709055033</v>
      </c>
      <c r="E109" s="45">
        <v>978.5234437222879</v>
      </c>
      <c r="F109" s="44">
        <v>2068.4474901177073</v>
      </c>
      <c r="G109" s="44">
        <v>3097.5861165758597</v>
      </c>
      <c r="H109" s="44">
        <v>3518.544802940656</v>
      </c>
      <c r="I109" s="44">
        <v>3964.0275243199994</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159.92922619986882</v>
      </c>
      <c r="C111" s="44">
        <v>397.67791811088796</v>
      </c>
      <c r="D111" s="44">
        <v>324.057609370271</v>
      </c>
      <c r="E111" s="45">
        <v>177.01699130651895</v>
      </c>
      <c r="F111" s="44">
        <v>409.99009775114564</v>
      </c>
      <c r="G111" s="44">
        <v>457.6378713934081</v>
      </c>
      <c r="H111" s="44">
        <v>275.74549666526593</v>
      </c>
      <c r="I111" s="44">
        <v>225.41681555000002</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9" spans="2:9" ht="15">
      <c r="B119" s="54"/>
      <c r="C119" s="54"/>
      <c r="D119" s="54"/>
      <c r="E119" s="54"/>
      <c r="F119" s="54"/>
      <c r="G119" s="54"/>
      <c r="H119" s="54"/>
      <c r="I119" s="54"/>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1000" ht="15">
      <c r="A1000" s="31" t="s">
        <v>391</v>
      </c>
    </row>
  </sheetData>
  <sheetProtection/>
  <mergeCells count="5">
    <mergeCell ref="B6:E6"/>
    <mergeCell ref="B62:E62"/>
    <mergeCell ref="F6:I6"/>
    <mergeCell ref="F62:I62"/>
    <mergeCell ref="A2:I2"/>
  </mergeCells>
  <conditionalFormatting sqref="C82:I82">
    <cfRule type="cellIs" priority="3" dxfId="132" operator="notBetween">
      <formula>0.5</formula>
      <formula>-0.5</formula>
    </cfRule>
  </conditionalFormatting>
  <conditionalFormatting sqref="B26:I26">
    <cfRule type="cellIs" priority="2" dxfId="132" operator="notBetween">
      <formula>0.5</formula>
      <formula>-0.5</formula>
    </cfRule>
  </conditionalFormatting>
  <conditionalFormatting sqref="B82:I82">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1:IU998"/>
  <sheetViews>
    <sheetView showGridLines="0" zoomScalePageLayoutView="0" workbookViewId="0" topLeftCell="A1">
      <selection activeCell="A1" sqref="A1"/>
    </sheetView>
  </sheetViews>
  <sheetFormatPr defaultColWidth="12.57421875" defaultRowHeight="15"/>
  <cols>
    <col min="1" max="1" width="40.7109375" style="95" customWidth="1"/>
    <col min="2" max="9" width="10.00390625" style="95" customWidth="1"/>
    <col min="10" max="255" width="12.57421875" style="95" customWidth="1"/>
  </cols>
  <sheetData>
    <row r="1" spans="1:9" ht="18">
      <c r="A1" s="93" t="str">
        <f>HLOOKUP(INDICE!$F$2,Nombres!$C$3:$D$636,82,FALSE)</f>
        <v>Eficiencia (*)</v>
      </c>
      <c r="B1" s="94"/>
      <c r="C1" s="94"/>
      <c r="D1" s="94"/>
      <c r="E1" s="94"/>
      <c r="F1" s="94"/>
      <c r="G1" s="94"/>
      <c r="H1" s="94"/>
      <c r="I1" s="94"/>
    </row>
    <row r="2" spans="1:9" ht="15">
      <c r="A2" s="96" t="str">
        <f>HLOOKUP(INDICE!$F$2,Nombres!$C$3:$D$636,84,FALSE)</f>
        <v>(Porcentaje)</v>
      </c>
      <c r="B2" s="97"/>
      <c r="C2" s="97"/>
      <c r="D2" s="97"/>
      <c r="E2" s="97"/>
      <c r="F2" s="97"/>
      <c r="G2" s="97"/>
      <c r="H2" s="97"/>
      <c r="I2" s="97"/>
    </row>
    <row r="3" spans="1:9" ht="15.75">
      <c r="A3" s="98"/>
      <c r="B3" s="99">
        <f>+España!B32</f>
        <v>44651</v>
      </c>
      <c r="C3" s="99">
        <f>+España!C32</f>
        <v>44742</v>
      </c>
      <c r="D3" s="99">
        <f>+España!D32</f>
        <v>44834</v>
      </c>
      <c r="E3" s="99">
        <f>+España!E32</f>
        <v>44926</v>
      </c>
      <c r="F3" s="99">
        <f>+España!F32</f>
        <v>45016</v>
      </c>
      <c r="G3" s="99">
        <f>+España!G32</f>
        <v>45107</v>
      </c>
      <c r="H3" s="99">
        <f>+España!H32</f>
        <v>45199</v>
      </c>
      <c r="I3" s="99">
        <f>+España!I32</f>
        <v>45291</v>
      </c>
    </row>
    <row r="4" spans="1:9" ht="15">
      <c r="A4" s="97"/>
      <c r="B4" s="100"/>
      <c r="C4" s="100"/>
      <c r="D4" s="100"/>
      <c r="E4" s="101"/>
      <c r="F4" s="100"/>
      <c r="G4" s="100"/>
      <c r="H4" s="97"/>
      <c r="I4" s="97"/>
    </row>
    <row r="5" spans="1:255" ht="15">
      <c r="A5" s="102" t="str">
        <f>HLOOKUP(INDICE!$F$2,Nombres!$C$3:$D$636,276,FALSE)</f>
        <v>Grupo BBVA  (**)</v>
      </c>
      <c r="B5" s="103">
        <v>44.59259388451612</v>
      </c>
      <c r="C5" s="103">
        <v>44.001841508908576</v>
      </c>
      <c r="D5" s="103">
        <v>42.87307214250945</v>
      </c>
      <c r="E5" s="104">
        <v>43.24923969786968</v>
      </c>
      <c r="F5" s="241">
        <v>43.34636941003954</v>
      </c>
      <c r="G5" s="241">
        <v>41.973478290060775</v>
      </c>
      <c r="H5" s="241">
        <v>41.806308033350795</v>
      </c>
      <c r="I5" s="241">
        <v>41.66474141155609</v>
      </c>
      <c r="J5" s="105"/>
      <c r="K5" s="10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2" ht="15">
      <c r="A6" s="97"/>
      <c r="B6" s="106"/>
      <c r="C6" s="106"/>
      <c r="D6" s="106"/>
      <c r="E6" s="107"/>
      <c r="F6" s="106"/>
      <c r="G6" s="106"/>
      <c r="H6" s="106"/>
      <c r="I6" s="106"/>
      <c r="J6" s="108"/>
      <c r="K6" s="108"/>
      <c r="L6" s="108"/>
    </row>
    <row r="7" spans="1:255" ht="15">
      <c r="A7" s="59" t="str">
        <f>HLOOKUP(INDICE!$F$2,Nombres!$C$3:$D$636,7,FALSE)</f>
        <v>España</v>
      </c>
      <c r="B7" s="109">
        <v>42.84039281030648</v>
      </c>
      <c r="C7" s="109">
        <v>46.732030343016795</v>
      </c>
      <c r="D7" s="109">
        <v>46.398640970219155</v>
      </c>
      <c r="E7" s="110">
        <v>47.4718216877395</v>
      </c>
      <c r="F7" s="111">
        <v>43.60589696318787</v>
      </c>
      <c r="G7" s="111">
        <v>41.78695856657007</v>
      </c>
      <c r="H7" s="111">
        <v>39.44792425176043</v>
      </c>
      <c r="I7" s="111">
        <v>39.87281930847451</v>
      </c>
      <c r="J7" s="105"/>
      <c r="K7" s="105"/>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2" ht="15">
      <c r="A8" s="97"/>
      <c r="B8" s="106"/>
      <c r="C8" s="106"/>
      <c r="D8" s="106"/>
      <c r="E8" s="107"/>
      <c r="F8" s="106"/>
      <c r="G8" s="106"/>
      <c r="H8" s="106"/>
      <c r="I8" s="106"/>
      <c r="J8" s="112"/>
      <c r="K8" s="108"/>
      <c r="L8" s="108"/>
    </row>
    <row r="9" spans="1:255" ht="15">
      <c r="A9" s="59" t="str">
        <f>HLOOKUP(INDICE!$F$2,Nombres!$C$3:$D$636,11,FALSE)</f>
        <v>México</v>
      </c>
      <c r="B9" s="109">
        <v>33.351765505321424</v>
      </c>
      <c r="C9" s="109">
        <v>32.267805009091255</v>
      </c>
      <c r="D9" s="109">
        <v>31.88609209794172</v>
      </c>
      <c r="E9" s="110">
        <v>31.650687790582488</v>
      </c>
      <c r="F9" s="111">
        <v>29.887358001877363</v>
      </c>
      <c r="G9" s="111">
        <v>30.365311026334542</v>
      </c>
      <c r="H9" s="111">
        <v>30.307215977460423</v>
      </c>
      <c r="I9" s="111">
        <v>30.730216058527205</v>
      </c>
      <c r="J9" s="112"/>
      <c r="K9" s="108"/>
      <c r="L9" s="108"/>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2" ht="15">
      <c r="A10" s="97"/>
      <c r="B10" s="106"/>
      <c r="C10" s="106"/>
      <c r="D10" s="106"/>
      <c r="E10" s="107"/>
      <c r="F10" s="106"/>
      <c r="G10" s="106"/>
      <c r="H10" s="106"/>
      <c r="I10" s="106"/>
      <c r="J10" s="112"/>
      <c r="K10" s="108"/>
      <c r="L10" s="108"/>
    </row>
    <row r="11" spans="1:13" ht="15">
      <c r="A11" s="59" t="str">
        <f>HLOOKUP(INDICE!$F$2,Nombres!$C$3:$D$636,12,FALSE)</f>
        <v>Turquía </v>
      </c>
      <c r="B11" s="109">
        <v>47.56928900345278</v>
      </c>
      <c r="C11" s="109">
        <v>37.21537766908219</v>
      </c>
      <c r="D11" s="109">
        <v>33.491743665047736</v>
      </c>
      <c r="E11" s="110">
        <v>33.45406875665871</v>
      </c>
      <c r="F11" s="111">
        <v>49.73030491184325</v>
      </c>
      <c r="G11" s="111">
        <v>39.94940439947987</v>
      </c>
      <c r="H11" s="111">
        <v>45.28658005430026</v>
      </c>
      <c r="I11" s="111">
        <v>46.972645746432086</v>
      </c>
      <c r="J11" s="105"/>
      <c r="K11" s="105"/>
      <c r="L11"/>
      <c r="M11"/>
    </row>
    <row r="12" spans="1:12" ht="15">
      <c r="A12" s="97"/>
      <c r="B12" s="106"/>
      <c r="C12" s="106"/>
      <c r="D12" s="106"/>
      <c r="E12" s="107"/>
      <c r="F12" s="106"/>
      <c r="G12" s="106"/>
      <c r="H12" s="106"/>
      <c r="I12" s="106"/>
      <c r="J12" s="108"/>
      <c r="K12" s="108"/>
      <c r="L12" s="108"/>
    </row>
    <row r="13" spans="1:255" ht="15">
      <c r="A13" s="59" t="str">
        <f>HLOOKUP(INDICE!$F$2,Nombres!$C$3:$D$636,13,FALSE)</f>
        <v>América del Sur </v>
      </c>
      <c r="B13" s="109">
        <v>46.60627601368955</v>
      </c>
      <c r="C13" s="109">
        <v>46.57188905657827</v>
      </c>
      <c r="D13" s="109">
        <v>46.865560964657014</v>
      </c>
      <c r="E13" s="110">
        <v>46.32062689063764</v>
      </c>
      <c r="F13" s="111">
        <v>45.384538107713304</v>
      </c>
      <c r="G13" s="111">
        <v>44.837899735560974</v>
      </c>
      <c r="H13" s="111">
        <v>46.88093941107746</v>
      </c>
      <c r="I13" s="111">
        <v>44.65150050830128</v>
      </c>
      <c r="J13" s="105"/>
      <c r="K13" s="105"/>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2" ht="15">
      <c r="A14" s="97"/>
      <c r="B14" s="106"/>
      <c r="C14" s="106"/>
      <c r="D14" s="106"/>
      <c r="E14" s="107"/>
      <c r="F14" s="106"/>
      <c r="G14" s="106"/>
      <c r="H14" s="106"/>
      <c r="I14" s="106"/>
      <c r="J14" s="108"/>
      <c r="K14" s="108"/>
      <c r="L14" s="108"/>
    </row>
    <row r="15" spans="1:255" ht="15">
      <c r="A15" s="59" t="str">
        <f>HLOOKUP(INDICE!$F$2,Nombres!$C$3:$D$636,263,FALSE)</f>
        <v>Resto de Negocios</v>
      </c>
      <c r="B15" s="109">
        <v>56.77350472560222</v>
      </c>
      <c r="C15" s="109">
        <v>60.87352469325814</v>
      </c>
      <c r="D15" s="109">
        <v>62.8656313590521</v>
      </c>
      <c r="E15" s="110">
        <v>65.034255143379</v>
      </c>
      <c r="F15" s="111">
        <v>53.07053245709896</v>
      </c>
      <c r="G15" s="111">
        <v>49.00538346718666</v>
      </c>
      <c r="H15" s="111">
        <v>50.23357323666971</v>
      </c>
      <c r="I15" s="111">
        <v>54.00519278123177</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12" ht="15">
      <c r="A16" s="97"/>
      <c r="B16" s="113"/>
      <c r="C16" s="113"/>
      <c r="D16" s="113"/>
      <c r="E16" s="113"/>
      <c r="F16" s="113"/>
      <c r="G16" s="113"/>
      <c r="H16" s="97"/>
      <c r="I16" s="264"/>
      <c r="J16" s="108"/>
      <c r="K16" s="108"/>
      <c r="L16" s="108"/>
    </row>
    <row r="17" spans="1:12" ht="15">
      <c r="A17" s="114" t="str">
        <f>HLOOKUP(INDICE!$F$2,Nombres!$C$3:$D$636,83,FALSE)</f>
        <v>(*) Gastos de explotación / Margen bruto. Incluye amortizaciones</v>
      </c>
      <c r="B17" s="97"/>
      <c r="C17" s="97"/>
      <c r="D17" s="97"/>
      <c r="E17" s="97"/>
      <c r="F17" s="97"/>
      <c r="G17" s="97"/>
      <c r="H17" s="97"/>
      <c r="I17" s="264"/>
      <c r="J17" s="108"/>
      <c r="K17" s="108"/>
      <c r="L17" s="108"/>
    </row>
    <row r="18" spans="1:12" ht="15">
      <c r="A18" s="115"/>
      <c r="B18" s="115"/>
      <c r="C18" s="115"/>
      <c r="D18" s="115"/>
      <c r="E18" s="115"/>
      <c r="F18" s="115"/>
      <c r="G18" s="115"/>
      <c r="H18" s="115"/>
      <c r="I18" s="265"/>
      <c r="J18" s="108"/>
      <c r="K18" s="108"/>
      <c r="L18" s="108"/>
    </row>
    <row r="19" spans="1:9" ht="15">
      <c r="A19" s="114"/>
      <c r="B19" s="115"/>
      <c r="C19" s="115"/>
      <c r="D19" s="115"/>
      <c r="E19" s="115"/>
      <c r="F19" s="115"/>
      <c r="G19" s="115"/>
      <c r="H19" s="115"/>
      <c r="I19" s="115"/>
    </row>
    <row r="998" ht="15">
      <c r="A998" s="95" t="s">
        <v>391</v>
      </c>
    </row>
  </sheetData>
  <sheetProtection/>
  <conditionalFormatting sqref="C82:I82">
    <cfRule type="cellIs" priority="3" dxfId="132" operator="notBetween">
      <formula>0.5</formula>
      <formula>-0.5</formula>
    </cfRule>
  </conditionalFormatting>
  <conditionalFormatting sqref="B26:I26">
    <cfRule type="cellIs" priority="2" dxfId="132" operator="notBetween">
      <formula>0.5</formula>
      <formula>-0.5</formula>
    </cfRule>
  </conditionalFormatting>
  <conditionalFormatting sqref="B82:I82">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dimension ref="A1:IU994"/>
  <sheetViews>
    <sheetView showGridLines="0" zoomScalePageLayoutView="0" workbookViewId="0" topLeftCell="A1">
      <selection activeCell="A1" sqref="A1"/>
    </sheetView>
  </sheetViews>
  <sheetFormatPr defaultColWidth="12.57421875" defaultRowHeight="15"/>
  <cols>
    <col min="1" max="1" width="45.7109375" style="151" customWidth="1"/>
    <col min="2" max="6" width="10.8515625" style="95" customWidth="1" collapsed="1"/>
    <col min="7" max="7" width="10.8515625" style="95" customWidth="1"/>
    <col min="8" max="9" width="10.8515625" style="117" customWidth="1"/>
    <col min="10" max="11" width="9.57421875" style="117" customWidth="1"/>
    <col min="12" max="255" width="12.57421875" style="117" customWidth="1"/>
  </cols>
  <sheetData>
    <row r="1" spans="1:9" ht="19.5">
      <c r="A1" s="93" t="str">
        <f>HLOOKUP(INDICE!$F$2,Nombres!$C$3:$D$636,85,FALSE)</f>
        <v>Tasa de mora</v>
      </c>
      <c r="B1" s="116"/>
      <c r="C1" s="116"/>
      <c r="D1" s="116"/>
      <c r="E1" s="116"/>
      <c r="F1" s="116"/>
      <c r="G1" s="94"/>
      <c r="H1" s="94"/>
      <c r="I1" s="94"/>
    </row>
    <row r="2" spans="1:9" ht="15">
      <c r="A2" s="96" t="str">
        <f>HLOOKUP(INDICE!$F$2,Nombres!$C$3:$D$636,84,FALSE)</f>
        <v>(Porcentaje)</v>
      </c>
      <c r="B2" s="97"/>
      <c r="C2" s="97"/>
      <c r="D2" s="97"/>
      <c r="E2" s="97"/>
      <c r="F2" s="97"/>
      <c r="G2" s="97"/>
      <c r="H2" s="97"/>
      <c r="I2" s="97"/>
    </row>
    <row r="3" spans="1:9" ht="15.75">
      <c r="A3" s="97"/>
      <c r="B3" s="118">
        <f>+España!B$32</f>
        <v>44651</v>
      </c>
      <c r="C3" s="118">
        <f>+España!C$32</f>
        <v>44742</v>
      </c>
      <c r="D3" s="118">
        <f>+España!D$32</f>
        <v>44834</v>
      </c>
      <c r="E3" s="118">
        <f>+España!E$32</f>
        <v>44926</v>
      </c>
      <c r="F3" s="118">
        <f>+España!F$32</f>
        <v>45016</v>
      </c>
      <c r="G3" s="118">
        <f>+España!G$32</f>
        <v>45107</v>
      </c>
      <c r="H3" s="118">
        <f>+España!H$32</f>
        <v>45199</v>
      </c>
      <c r="I3" s="118">
        <f>+España!I$32</f>
        <v>45291</v>
      </c>
    </row>
    <row r="4" spans="1:9" ht="15">
      <c r="A4" s="97"/>
      <c r="B4" s="100"/>
      <c r="C4" s="100"/>
      <c r="D4" s="97"/>
      <c r="E4" s="119"/>
      <c r="F4" s="100"/>
      <c r="G4" s="100"/>
      <c r="H4" s="97"/>
      <c r="I4" s="97"/>
    </row>
    <row r="5" spans="1:255" ht="15">
      <c r="A5" s="102" t="str">
        <f>HLOOKUP(INDICE!$F$2,Nombres!$C$3:$D$636,275,FALSE)</f>
        <v>Grupo BBVA  (*)</v>
      </c>
      <c r="B5" s="103">
        <v>3.953917482020503</v>
      </c>
      <c r="C5" s="103">
        <v>3.747477826871732</v>
      </c>
      <c r="D5" s="103">
        <v>3.541900415322738</v>
      </c>
      <c r="E5" s="104">
        <v>3.4137052001922643</v>
      </c>
      <c r="F5" s="103">
        <v>3.300749736577279</v>
      </c>
      <c r="G5" s="287">
        <v>3.3681816396138924</v>
      </c>
      <c r="H5" s="287">
        <v>3.3404294018556615</v>
      </c>
      <c r="I5" s="287">
        <v>3.409958862789872</v>
      </c>
      <c r="J5" s="120"/>
      <c r="K5" s="121"/>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255" ht="15">
      <c r="A6" s="97"/>
      <c r="B6" s="106"/>
      <c r="C6" s="106"/>
      <c r="D6" s="106"/>
      <c r="E6" s="107"/>
      <c r="F6" s="106"/>
      <c r="G6" s="106"/>
      <c r="H6" s="106"/>
      <c r="I6" s="106"/>
      <c r="J6" s="120"/>
      <c r="K6" s="121"/>
      <c r="L6" s="122"/>
      <c r="M6" s="122"/>
      <c r="N6" s="122"/>
      <c r="O6" s="122"/>
      <c r="P6" s="122"/>
      <c r="Q6" s="122"/>
      <c r="R6" s="122"/>
      <c r="S6" s="122"/>
      <c r="T6" s="122"/>
      <c r="U6" s="122"/>
      <c r="V6" s="122"/>
      <c r="W6" s="122"/>
      <c r="X6" s="122"/>
      <c r="Y6" s="122"/>
      <c r="Z6" s="122"/>
      <c r="AA6" s="122"/>
      <c r="AB6" s="122"/>
      <c r="AC6" s="122"/>
      <c r="AD6" s="122"/>
      <c r="AE6" s="122"/>
      <c r="AF6" s="122"/>
      <c r="AG6" s="122"/>
      <c r="AH6" s="122"/>
      <c r="AI6" s="122"/>
      <c r="AJ6" s="122"/>
      <c r="AK6" s="122"/>
      <c r="AL6" s="122"/>
      <c r="AM6" s="122"/>
      <c r="AN6" s="122"/>
      <c r="AO6" s="122"/>
      <c r="AP6" s="122"/>
      <c r="AQ6" s="122"/>
      <c r="AR6" s="122"/>
      <c r="AS6" s="122"/>
      <c r="AT6" s="122"/>
      <c r="AU6" s="122"/>
      <c r="AV6" s="122"/>
      <c r="AW6" s="122"/>
      <c r="AX6" s="122"/>
      <c r="AY6" s="122"/>
      <c r="AZ6" s="122"/>
      <c r="BA6" s="122"/>
      <c r="BB6" s="122"/>
      <c r="BC6" s="122"/>
      <c r="BD6" s="122"/>
      <c r="BE6" s="122"/>
      <c r="BF6" s="122"/>
      <c r="BG6" s="122"/>
      <c r="BH6" s="122"/>
      <c r="BI6" s="122"/>
      <c r="BJ6" s="122"/>
      <c r="BK6" s="122"/>
      <c r="BL6" s="122"/>
      <c r="BM6" s="122"/>
      <c r="BN6" s="122"/>
      <c r="BO6" s="122"/>
      <c r="BP6" s="122"/>
      <c r="BQ6" s="122"/>
      <c r="BR6" s="122"/>
      <c r="BS6" s="122"/>
      <c r="BT6" s="122"/>
      <c r="BU6" s="122"/>
      <c r="BV6" s="122"/>
      <c r="BW6" s="122"/>
      <c r="BX6" s="122"/>
      <c r="BY6" s="122"/>
      <c r="BZ6" s="122"/>
      <c r="CA6" s="122"/>
      <c r="CB6" s="122"/>
      <c r="CC6" s="122"/>
      <c r="CD6" s="122"/>
      <c r="CE6" s="122"/>
      <c r="CF6" s="122"/>
      <c r="CG6" s="122"/>
      <c r="CH6" s="122"/>
      <c r="CI6" s="122"/>
      <c r="CJ6" s="122"/>
      <c r="CK6" s="122"/>
      <c r="CL6" s="122"/>
      <c r="CM6" s="122"/>
      <c r="CN6" s="122"/>
      <c r="CO6" s="122"/>
      <c r="CP6" s="122"/>
      <c r="CQ6" s="122"/>
      <c r="CR6" s="122"/>
      <c r="CS6" s="122"/>
      <c r="CT6" s="122"/>
      <c r="CU6" s="122"/>
      <c r="CV6" s="122"/>
      <c r="CW6" s="122"/>
      <c r="CX6" s="122"/>
      <c r="CY6" s="122"/>
      <c r="CZ6" s="122"/>
      <c r="DA6" s="122"/>
      <c r="DB6" s="122"/>
      <c r="DC6" s="122"/>
      <c r="DD6" s="122"/>
      <c r="DE6" s="122"/>
      <c r="DF6" s="122"/>
      <c r="DG6" s="122"/>
      <c r="DH6" s="122"/>
      <c r="DI6" s="122"/>
      <c r="DJ6" s="122"/>
      <c r="DK6" s="122"/>
      <c r="DL6" s="122"/>
      <c r="DM6" s="122"/>
      <c r="DN6" s="122"/>
      <c r="DO6" s="122"/>
      <c r="DP6" s="122"/>
      <c r="DQ6" s="122"/>
      <c r="DR6" s="122"/>
      <c r="DS6" s="122"/>
      <c r="DT6" s="122"/>
      <c r="DU6" s="122"/>
      <c r="DV6" s="122"/>
      <c r="DW6" s="122"/>
      <c r="DX6" s="122"/>
      <c r="DY6" s="122"/>
      <c r="DZ6" s="122"/>
      <c r="EA6" s="122"/>
      <c r="EB6" s="122"/>
      <c r="EC6" s="122"/>
      <c r="ED6" s="122"/>
      <c r="EE6" s="122"/>
      <c r="EF6" s="122"/>
      <c r="EG6" s="122"/>
      <c r="EH6" s="122"/>
      <c r="EI6" s="122"/>
      <c r="EJ6" s="122"/>
      <c r="EK6" s="122"/>
      <c r="EL6" s="122"/>
      <c r="EM6" s="122"/>
      <c r="EN6" s="122"/>
      <c r="EO6" s="122"/>
      <c r="EP6" s="122"/>
      <c r="EQ6" s="122"/>
      <c r="ER6" s="122"/>
      <c r="ES6" s="122"/>
      <c r="ET6" s="122"/>
      <c r="EU6" s="122"/>
      <c r="EV6" s="122"/>
      <c r="EW6" s="122"/>
      <c r="EX6" s="122"/>
      <c r="EY6" s="122"/>
      <c r="EZ6" s="122"/>
      <c r="FA6" s="122"/>
      <c r="FB6" s="122"/>
      <c r="FC6" s="122"/>
      <c r="FD6" s="122"/>
      <c r="FE6" s="122"/>
      <c r="FF6" s="122"/>
      <c r="FG6" s="122"/>
      <c r="FH6" s="122"/>
      <c r="FI6" s="122"/>
      <c r="FJ6" s="122"/>
      <c r="FK6" s="122"/>
      <c r="FL6" s="122"/>
      <c r="FM6" s="122"/>
      <c r="FN6" s="122"/>
      <c r="FO6" s="122"/>
      <c r="FP6" s="122"/>
      <c r="FQ6" s="122"/>
      <c r="FR6" s="122"/>
      <c r="FS6" s="122"/>
      <c r="FT6" s="122"/>
      <c r="FU6" s="122"/>
      <c r="FV6" s="122"/>
      <c r="FW6" s="122"/>
      <c r="FX6" s="122"/>
      <c r="FY6" s="122"/>
      <c r="FZ6" s="122"/>
      <c r="GA6" s="122"/>
      <c r="GB6" s="122"/>
      <c r="GC6" s="122"/>
      <c r="GD6" s="122"/>
      <c r="GE6" s="122"/>
      <c r="GF6" s="122"/>
      <c r="GG6" s="122"/>
      <c r="GH6" s="122"/>
      <c r="GI6" s="122"/>
      <c r="GJ6" s="122"/>
      <c r="GK6" s="122"/>
      <c r="GL6" s="122"/>
      <c r="GM6" s="122"/>
      <c r="GN6" s="122"/>
      <c r="GO6" s="122"/>
      <c r="GP6" s="122"/>
      <c r="GQ6" s="122"/>
      <c r="GR6" s="122"/>
      <c r="GS6" s="122"/>
      <c r="GT6" s="122"/>
      <c r="GU6" s="122"/>
      <c r="GV6" s="122"/>
      <c r="GW6" s="122"/>
      <c r="GX6" s="122"/>
      <c r="GY6" s="122"/>
      <c r="GZ6" s="122"/>
      <c r="HA6" s="122"/>
      <c r="HB6" s="122"/>
      <c r="HC6" s="122"/>
      <c r="HD6" s="122"/>
      <c r="HE6" s="122"/>
      <c r="HF6" s="122"/>
      <c r="HG6" s="122"/>
      <c r="HH6" s="122"/>
      <c r="HI6" s="122"/>
      <c r="HJ6" s="122"/>
      <c r="HK6" s="122"/>
      <c r="HL6" s="122"/>
      <c r="HM6" s="122"/>
      <c r="HN6" s="122"/>
      <c r="HO6" s="122"/>
      <c r="HP6" s="122"/>
      <c r="HQ6" s="122"/>
      <c r="HR6" s="122"/>
      <c r="HS6" s="122"/>
      <c r="HT6" s="122"/>
      <c r="HU6" s="122"/>
      <c r="HV6" s="122"/>
      <c r="HW6" s="122"/>
      <c r="HX6" s="122"/>
      <c r="HY6" s="122"/>
      <c r="HZ6" s="122"/>
      <c r="IA6" s="122"/>
      <c r="IB6" s="122"/>
      <c r="IC6" s="122"/>
      <c r="ID6" s="122"/>
      <c r="IE6" s="122"/>
      <c r="IF6" s="122"/>
      <c r="IG6" s="122"/>
      <c r="IH6" s="122"/>
      <c r="II6" s="122"/>
      <c r="IJ6" s="122"/>
      <c r="IK6" s="122"/>
      <c r="IL6" s="122"/>
      <c r="IM6" s="122"/>
      <c r="IN6" s="122"/>
      <c r="IO6" s="122"/>
      <c r="IP6" s="122"/>
      <c r="IQ6" s="122"/>
      <c r="IR6" s="122"/>
      <c r="IS6" s="122"/>
      <c r="IT6" s="122"/>
      <c r="IU6" s="122"/>
    </row>
    <row r="7" spans="1:255" ht="15">
      <c r="A7" s="59" t="str">
        <f>HLOOKUP(INDICE!$F$2,Nombres!$C$3:$D$636,7,FALSE)</f>
        <v>España</v>
      </c>
      <c r="B7" s="109">
        <v>4.178077818615378</v>
      </c>
      <c r="C7" s="109">
        <v>4.0379924217929295</v>
      </c>
      <c r="D7" s="109">
        <v>3.909175765111224</v>
      </c>
      <c r="E7" s="110">
        <v>3.938966283453662</v>
      </c>
      <c r="F7" s="109">
        <v>3.8913902636108206</v>
      </c>
      <c r="G7" s="111">
        <v>4.04429005967463</v>
      </c>
      <c r="H7" s="111">
        <v>3.96997392312433</v>
      </c>
      <c r="I7" s="111">
        <v>4.096256538938987</v>
      </c>
      <c r="J7" s="120"/>
      <c r="K7" s="121"/>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row>
    <row r="8" spans="1:11" ht="15">
      <c r="A8" s="97"/>
      <c r="B8" s="106"/>
      <c r="C8" s="106"/>
      <c r="D8" s="106"/>
      <c r="E8" s="107"/>
      <c r="F8" s="106"/>
      <c r="G8" s="106"/>
      <c r="H8" s="106"/>
      <c r="I8" s="106"/>
      <c r="J8" s="120"/>
      <c r="K8" s="123"/>
    </row>
    <row r="9" spans="1:255" ht="15">
      <c r="A9" s="59" t="str">
        <f>HLOOKUP(INDICE!$F$2,Nombres!$C$3:$D$636,11,FALSE)</f>
        <v>México</v>
      </c>
      <c r="B9" s="109">
        <v>2.9742155731406323</v>
      </c>
      <c r="C9" s="109">
        <v>2.8285712072663385</v>
      </c>
      <c r="D9" s="109">
        <v>2.541893659021946</v>
      </c>
      <c r="E9" s="110">
        <v>2.5107924596677957</v>
      </c>
      <c r="F9" s="109">
        <v>2.3333530903875235</v>
      </c>
      <c r="G9" s="111">
        <v>2.466013262493771</v>
      </c>
      <c r="H9" s="111">
        <v>2.55481601692409</v>
      </c>
      <c r="I9" s="111">
        <v>2.6081906311057015</v>
      </c>
      <c r="J9" s="120"/>
      <c r="K9" s="123"/>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row>
    <row r="10" spans="1:11" ht="15">
      <c r="A10" s="97"/>
      <c r="B10" s="106"/>
      <c r="C10" s="106"/>
      <c r="D10" s="106"/>
      <c r="E10" s="107"/>
      <c r="F10" s="106"/>
      <c r="G10" s="106"/>
      <c r="H10" s="106"/>
      <c r="I10" s="106"/>
      <c r="J10" s="120"/>
      <c r="K10" s="123"/>
    </row>
    <row r="11" spans="1:13" ht="15">
      <c r="A11" s="59" t="str">
        <f>HLOOKUP(INDICE!$F$2,Nombres!$C$3:$D$636,12,FALSE)</f>
        <v>Turquía </v>
      </c>
      <c r="B11" s="109">
        <v>6.698800791801732</v>
      </c>
      <c r="C11" s="109">
        <v>5.919127384056333</v>
      </c>
      <c r="D11" s="109">
        <v>5.599938647841903</v>
      </c>
      <c r="E11" s="110">
        <v>5.08234793442285</v>
      </c>
      <c r="F11" s="109">
        <v>4.309474416942526</v>
      </c>
      <c r="G11" s="111">
        <v>4.189769748161</v>
      </c>
      <c r="H11" s="111">
        <v>3.82700997224813</v>
      </c>
      <c r="I11" s="111">
        <v>3.7950683998186996</v>
      </c>
      <c r="J11" s="120"/>
      <c r="K11"/>
      <c r="L11"/>
      <c r="M11"/>
    </row>
    <row r="12" spans="1:11" ht="15">
      <c r="A12" s="97"/>
      <c r="B12" s="106"/>
      <c r="C12" s="106"/>
      <c r="D12" s="106"/>
      <c r="E12" s="107"/>
      <c r="F12" s="106"/>
      <c r="G12" s="106"/>
      <c r="H12" s="106"/>
      <c r="I12" s="106"/>
      <c r="J12" s="120"/>
      <c r="K12" s="123"/>
    </row>
    <row r="13" spans="1:255" ht="15">
      <c r="A13" s="59" t="str">
        <f>HLOOKUP(INDICE!$F$2,Nombres!$C$3:$D$636,13,FALSE)</f>
        <v>América del Sur </v>
      </c>
      <c r="B13" s="109">
        <v>4.284321593196776</v>
      </c>
      <c r="C13" s="109">
        <v>4.158127481179529</v>
      </c>
      <c r="D13" s="109">
        <v>4.121804637551528</v>
      </c>
      <c r="E13" s="110">
        <v>4.102382240738093</v>
      </c>
      <c r="F13" s="109">
        <v>4.25658640482325</v>
      </c>
      <c r="G13" s="111">
        <v>4.349103076951501</v>
      </c>
      <c r="H13" s="111">
        <v>4.629452997470117</v>
      </c>
      <c r="I13" s="111">
        <v>4.829301766127326</v>
      </c>
      <c r="J13" s="120"/>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row>
    <row r="14" spans="1:13" ht="15">
      <c r="A14" s="97"/>
      <c r="B14" s="124"/>
      <c r="C14" s="124"/>
      <c r="D14" s="124"/>
      <c r="E14" s="288"/>
      <c r="F14" s="124"/>
      <c r="G14" s="289"/>
      <c r="H14" s="289"/>
      <c r="I14" s="289"/>
      <c r="J14" s="120"/>
      <c r="K14" s="123"/>
      <c r="L14" s="122"/>
      <c r="M14" s="122"/>
    </row>
    <row r="15" spans="1:255" ht="15">
      <c r="A15" s="59" t="str">
        <f>HLOOKUP(INDICE!$F$2,Nombres!$C$3:$D$636,263,FALSE)</f>
        <v>Resto de Negocios</v>
      </c>
      <c r="B15" s="109">
        <v>0.5653319412795116</v>
      </c>
      <c r="C15" s="109">
        <v>0.5487597965212433</v>
      </c>
      <c r="D15" s="109">
        <v>0.38241011703822275</v>
      </c>
      <c r="E15" s="110">
        <v>0.37083506306028896</v>
      </c>
      <c r="F15" s="109">
        <v>0.5009380645660598</v>
      </c>
      <c r="G15" s="111">
        <v>0.4944907644175156</v>
      </c>
      <c r="H15" s="111">
        <v>0.5515473515388137</v>
      </c>
      <c r="I15" s="111">
        <v>0.6500187007597408</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row>
    <row r="16" spans="1:255" ht="15">
      <c r="A16" s="125"/>
      <c r="B16" s="124"/>
      <c r="C16" s="124"/>
      <c r="D16" s="290"/>
      <c r="E16" s="290"/>
      <c r="F16" s="124"/>
      <c r="G16" s="124"/>
      <c r="H16" s="290"/>
      <c r="I16" s="290"/>
      <c r="J16" s="123"/>
      <c r="K16" s="123"/>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122"/>
      <c r="BL16" s="122"/>
      <c r="BM16" s="122"/>
      <c r="BN16" s="122"/>
      <c r="BO16" s="122"/>
      <c r="BP16" s="122"/>
      <c r="BQ16" s="122"/>
      <c r="BR16" s="122"/>
      <c r="BS16" s="122"/>
      <c r="BT16" s="122"/>
      <c r="BU16" s="122"/>
      <c r="BV16" s="122"/>
      <c r="BW16" s="122"/>
      <c r="BX16" s="122"/>
      <c r="BY16" s="122"/>
      <c r="BZ16" s="122"/>
      <c r="CA16" s="122"/>
      <c r="CB16" s="122"/>
      <c r="CC16" s="122"/>
      <c r="CD16" s="122"/>
      <c r="CE16" s="122"/>
      <c r="CF16" s="122"/>
      <c r="CG16" s="122"/>
      <c r="CH16" s="122"/>
      <c r="CI16" s="122"/>
      <c r="CJ16" s="122"/>
      <c r="CK16" s="122"/>
      <c r="CL16" s="122"/>
      <c r="CM16" s="122"/>
      <c r="CN16" s="122"/>
      <c r="CO16" s="122"/>
      <c r="CP16" s="122"/>
      <c r="CQ16" s="122"/>
      <c r="CR16" s="122"/>
      <c r="CS16" s="122"/>
      <c r="CT16" s="122"/>
      <c r="CU16" s="122"/>
      <c r="CV16" s="122"/>
      <c r="CW16" s="122"/>
      <c r="CX16" s="122"/>
      <c r="CY16" s="122"/>
      <c r="CZ16" s="122"/>
      <c r="DA16" s="122"/>
      <c r="DB16" s="122"/>
      <c r="DC16" s="122"/>
      <c r="DD16" s="122"/>
      <c r="DE16" s="122"/>
      <c r="DF16" s="122"/>
      <c r="DG16" s="122"/>
      <c r="DH16" s="122"/>
      <c r="DI16" s="122"/>
      <c r="DJ16" s="122"/>
      <c r="DK16" s="122"/>
      <c r="DL16" s="122"/>
      <c r="DM16" s="122"/>
      <c r="DN16" s="122"/>
      <c r="DO16" s="122"/>
      <c r="DP16" s="122"/>
      <c r="DQ16" s="122"/>
      <c r="DR16" s="122"/>
      <c r="DS16" s="122"/>
      <c r="DT16" s="122"/>
      <c r="DU16" s="122"/>
      <c r="DV16" s="122"/>
      <c r="DW16" s="122"/>
      <c r="DX16" s="122"/>
      <c r="DY16" s="122"/>
      <c r="DZ16" s="122"/>
      <c r="EA16" s="122"/>
      <c r="EB16" s="122"/>
      <c r="EC16" s="122"/>
      <c r="ED16" s="122"/>
      <c r="EE16" s="122"/>
      <c r="EF16" s="122"/>
      <c r="EG16" s="122"/>
      <c r="EH16" s="122"/>
      <c r="EI16" s="122"/>
      <c r="EJ16" s="122"/>
      <c r="EK16" s="122"/>
      <c r="EL16" s="122"/>
      <c r="EM16" s="122"/>
      <c r="EN16" s="122"/>
      <c r="EO16" s="122"/>
      <c r="EP16" s="122"/>
      <c r="EQ16" s="122"/>
      <c r="ER16" s="122"/>
      <c r="ES16" s="122"/>
      <c r="ET16" s="122"/>
      <c r="EU16" s="122"/>
      <c r="EV16" s="122"/>
      <c r="EW16" s="122"/>
      <c r="EX16" s="122"/>
      <c r="EY16" s="122"/>
      <c r="EZ16" s="122"/>
      <c r="FA16" s="122"/>
      <c r="FB16" s="122"/>
      <c r="FC16" s="122"/>
      <c r="FD16" s="122"/>
      <c r="FE16" s="122"/>
      <c r="FF16" s="122"/>
      <c r="FG16" s="122"/>
      <c r="FH16" s="122"/>
      <c r="FI16" s="122"/>
      <c r="FJ16" s="122"/>
      <c r="FK16" s="122"/>
      <c r="FL16" s="122"/>
      <c r="FM16" s="122"/>
      <c r="FN16" s="122"/>
      <c r="FO16" s="122"/>
      <c r="FP16" s="122"/>
      <c r="FQ16" s="122"/>
      <c r="FR16" s="122"/>
      <c r="FS16" s="122"/>
      <c r="FT16" s="122"/>
      <c r="FU16" s="122"/>
      <c r="FV16" s="122"/>
      <c r="FW16" s="122"/>
      <c r="FX16" s="122"/>
      <c r="FY16" s="122"/>
      <c r="FZ16" s="122"/>
      <c r="GA16" s="122"/>
      <c r="GB16" s="122"/>
      <c r="GC16" s="122"/>
      <c r="GD16" s="122"/>
      <c r="GE16" s="122"/>
      <c r="GF16" s="122"/>
      <c r="GG16" s="122"/>
      <c r="GH16" s="122"/>
      <c r="GI16" s="122"/>
      <c r="GJ16" s="122"/>
      <c r="GK16" s="122"/>
      <c r="GL16" s="122"/>
      <c r="GM16" s="122"/>
      <c r="GN16" s="122"/>
      <c r="GO16" s="122"/>
      <c r="GP16" s="122"/>
      <c r="GQ16" s="122"/>
      <c r="GR16" s="122"/>
      <c r="GS16" s="122"/>
      <c r="GT16" s="122"/>
      <c r="GU16" s="122"/>
      <c r="GV16" s="122"/>
      <c r="GW16" s="122"/>
      <c r="GX16" s="122"/>
      <c r="GY16" s="122"/>
      <c r="GZ16" s="122"/>
      <c r="HA16" s="122"/>
      <c r="HB16" s="122"/>
      <c r="HC16" s="122"/>
      <c r="HD16" s="122"/>
      <c r="HE16" s="122"/>
      <c r="HF16" s="122"/>
      <c r="HG16" s="122"/>
      <c r="HH16" s="122"/>
      <c r="HI16" s="122"/>
      <c r="HJ16" s="122"/>
      <c r="HK16" s="122"/>
      <c r="HL16" s="122"/>
      <c r="HM16" s="122"/>
      <c r="HN16" s="122"/>
      <c r="HO16" s="122"/>
      <c r="HP16" s="122"/>
      <c r="HQ16" s="122"/>
      <c r="HR16" s="122"/>
      <c r="HS16" s="122"/>
      <c r="HT16" s="122"/>
      <c r="HU16" s="122"/>
      <c r="HV16" s="122"/>
      <c r="HW16" s="122"/>
      <c r="HX16" s="122"/>
      <c r="HY16" s="122"/>
      <c r="HZ16" s="122"/>
      <c r="IA16" s="122"/>
      <c r="IB16" s="122"/>
      <c r="IC16" s="122"/>
      <c r="ID16" s="122"/>
      <c r="IE16" s="122"/>
      <c r="IF16" s="122"/>
      <c r="IG16" s="122"/>
      <c r="IH16" s="122"/>
      <c r="II16" s="122"/>
      <c r="IJ16" s="122"/>
      <c r="IK16" s="122"/>
      <c r="IL16" s="122"/>
      <c r="IM16" s="122"/>
      <c r="IN16" s="122"/>
      <c r="IO16" s="122"/>
      <c r="IP16" s="122"/>
      <c r="IQ16" s="122"/>
      <c r="IR16" s="122"/>
      <c r="IS16" s="122"/>
      <c r="IT16" s="122"/>
      <c r="IU16" s="122"/>
    </row>
    <row r="17" spans="1:11" ht="15">
      <c r="A17" s="97"/>
      <c r="B17" s="124"/>
      <c r="C17" s="124"/>
      <c r="D17" s="126"/>
      <c r="E17" s="126"/>
      <c r="F17" s="124"/>
      <c r="G17" s="124"/>
      <c r="H17" s="126"/>
      <c r="I17" s="126"/>
      <c r="J17" s="123"/>
      <c r="K17" s="123"/>
    </row>
    <row r="18" spans="1:255" ht="18">
      <c r="A18" s="93" t="str">
        <f>HLOOKUP(INDICE!$F$2,Nombres!$C$3:$D$636,86,FALSE)</f>
        <v>Tasa de cobertura</v>
      </c>
      <c r="B18" s="127"/>
      <c r="C18" s="127"/>
      <c r="D18" s="128"/>
      <c r="E18" s="128"/>
      <c r="F18" s="127"/>
      <c r="G18" s="127"/>
      <c r="H18" s="128"/>
      <c r="I18" s="128"/>
      <c r="J18" s="123"/>
      <c r="K18" s="123"/>
      <c r="L18" s="129"/>
      <c r="M18" s="129"/>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22"/>
      <c r="BD18" s="122"/>
      <c r="BE18" s="122"/>
      <c r="BF18" s="122"/>
      <c r="BG18" s="122"/>
      <c r="BH18" s="122"/>
      <c r="BI18" s="122"/>
      <c r="BJ18" s="122"/>
      <c r="BK18" s="122"/>
      <c r="BL18" s="122"/>
      <c r="BM18" s="122"/>
      <c r="BN18" s="122"/>
      <c r="BO18" s="122"/>
      <c r="BP18" s="122"/>
      <c r="BQ18" s="122"/>
      <c r="BR18" s="122"/>
      <c r="BS18" s="122"/>
      <c r="BT18" s="122"/>
      <c r="BU18" s="122"/>
      <c r="BV18" s="122"/>
      <c r="BW18" s="122"/>
      <c r="BX18" s="122"/>
      <c r="BY18" s="122"/>
      <c r="BZ18" s="122"/>
      <c r="CA18" s="122"/>
      <c r="CB18" s="122"/>
      <c r="CC18" s="122"/>
      <c r="CD18" s="122"/>
      <c r="CE18" s="122"/>
      <c r="CF18" s="122"/>
      <c r="CG18" s="122"/>
      <c r="CH18" s="122"/>
      <c r="CI18" s="122"/>
      <c r="CJ18" s="122"/>
      <c r="CK18" s="122"/>
      <c r="CL18" s="122"/>
      <c r="CM18" s="122"/>
      <c r="CN18" s="122"/>
      <c r="CO18" s="122"/>
      <c r="CP18" s="122"/>
      <c r="CQ18" s="122"/>
      <c r="CR18" s="122"/>
      <c r="CS18" s="122"/>
      <c r="CT18" s="122"/>
      <c r="CU18" s="122"/>
      <c r="CV18" s="122"/>
      <c r="CW18" s="122"/>
      <c r="CX18" s="122"/>
      <c r="CY18" s="122"/>
      <c r="CZ18" s="122"/>
      <c r="DA18" s="122"/>
      <c r="DB18" s="122"/>
      <c r="DC18" s="122"/>
      <c r="DD18" s="122"/>
      <c r="DE18" s="122"/>
      <c r="DF18" s="122"/>
      <c r="DG18" s="122"/>
      <c r="DH18" s="122"/>
      <c r="DI18" s="122"/>
      <c r="DJ18" s="122"/>
      <c r="DK18" s="122"/>
      <c r="DL18" s="122"/>
      <c r="DM18" s="122"/>
      <c r="DN18" s="122"/>
      <c r="DO18" s="122"/>
      <c r="DP18" s="122"/>
      <c r="DQ18" s="122"/>
      <c r="DR18" s="122"/>
      <c r="DS18" s="122"/>
      <c r="DT18" s="122"/>
      <c r="DU18" s="122"/>
      <c r="DV18" s="122"/>
      <c r="DW18" s="122"/>
      <c r="DX18" s="122"/>
      <c r="DY18" s="122"/>
      <c r="DZ18" s="122"/>
      <c r="EA18" s="122"/>
      <c r="EB18" s="122"/>
      <c r="EC18" s="122"/>
      <c r="ED18" s="122"/>
      <c r="EE18" s="122"/>
      <c r="EF18" s="122"/>
      <c r="EG18" s="122"/>
      <c r="EH18" s="122"/>
      <c r="EI18" s="122"/>
      <c r="EJ18" s="122"/>
      <c r="EK18" s="122"/>
      <c r="EL18" s="122"/>
      <c r="EM18" s="122"/>
      <c r="EN18" s="122"/>
      <c r="EO18" s="122"/>
      <c r="EP18" s="122"/>
      <c r="EQ18" s="122"/>
      <c r="ER18" s="122"/>
      <c r="ES18" s="122"/>
      <c r="ET18" s="122"/>
      <c r="EU18" s="122"/>
      <c r="EV18" s="122"/>
      <c r="EW18" s="122"/>
      <c r="EX18" s="122"/>
      <c r="EY18" s="122"/>
      <c r="EZ18" s="122"/>
      <c r="FA18" s="122"/>
      <c r="FB18" s="122"/>
      <c r="FC18" s="122"/>
      <c r="FD18" s="122"/>
      <c r="FE18" s="122"/>
      <c r="FF18" s="122"/>
      <c r="FG18" s="122"/>
      <c r="FH18" s="122"/>
      <c r="FI18" s="122"/>
      <c r="FJ18" s="122"/>
      <c r="FK18" s="122"/>
      <c r="FL18" s="122"/>
      <c r="FM18" s="122"/>
      <c r="FN18" s="122"/>
      <c r="FO18" s="122"/>
      <c r="FP18" s="122"/>
      <c r="FQ18" s="122"/>
      <c r="FR18" s="122"/>
      <c r="FS18" s="122"/>
      <c r="FT18" s="122"/>
      <c r="FU18" s="122"/>
      <c r="FV18" s="122"/>
      <c r="FW18" s="122"/>
      <c r="FX18" s="122"/>
      <c r="FY18" s="122"/>
      <c r="FZ18" s="122"/>
      <c r="GA18" s="122"/>
      <c r="GB18" s="122"/>
      <c r="GC18" s="122"/>
      <c r="GD18" s="122"/>
      <c r="GE18" s="122"/>
      <c r="GF18" s="122"/>
      <c r="GG18" s="122"/>
      <c r="GH18" s="122"/>
      <c r="GI18" s="122"/>
      <c r="GJ18" s="122"/>
      <c r="GK18" s="122"/>
      <c r="GL18" s="122"/>
      <c r="GM18" s="122"/>
      <c r="GN18" s="122"/>
      <c r="GO18" s="122"/>
      <c r="GP18" s="122"/>
      <c r="GQ18" s="122"/>
      <c r="GR18" s="122"/>
      <c r="GS18" s="122"/>
      <c r="GT18" s="122"/>
      <c r="GU18" s="122"/>
      <c r="GV18" s="122"/>
      <c r="GW18" s="122"/>
      <c r="GX18" s="122"/>
      <c r="GY18" s="122"/>
      <c r="GZ18" s="122"/>
      <c r="HA18" s="122"/>
      <c r="HB18" s="122"/>
      <c r="HC18" s="122"/>
      <c r="HD18" s="122"/>
      <c r="HE18" s="122"/>
      <c r="HF18" s="122"/>
      <c r="HG18" s="122"/>
      <c r="HH18" s="122"/>
      <c r="HI18" s="122"/>
      <c r="HJ18" s="122"/>
      <c r="HK18" s="122"/>
      <c r="HL18" s="122"/>
      <c r="HM18" s="122"/>
      <c r="HN18" s="122"/>
      <c r="HO18" s="122"/>
      <c r="HP18" s="122"/>
      <c r="HQ18" s="122"/>
      <c r="HR18" s="122"/>
      <c r="HS18" s="122"/>
      <c r="HT18" s="122"/>
      <c r="HU18" s="122"/>
      <c r="HV18" s="122"/>
      <c r="HW18" s="122"/>
      <c r="HX18" s="122"/>
      <c r="HY18" s="122"/>
      <c r="HZ18" s="122"/>
      <c r="IA18" s="122"/>
      <c r="IB18" s="122"/>
      <c r="IC18" s="122"/>
      <c r="ID18" s="122"/>
      <c r="IE18" s="122"/>
      <c r="IF18" s="122"/>
      <c r="IG18" s="122"/>
      <c r="IH18" s="122"/>
      <c r="II18" s="122"/>
      <c r="IJ18" s="122"/>
      <c r="IK18" s="122"/>
      <c r="IL18" s="122"/>
      <c r="IM18" s="122"/>
      <c r="IN18" s="122"/>
      <c r="IO18" s="122"/>
      <c r="IP18" s="122"/>
      <c r="IQ18" s="122"/>
      <c r="IR18" s="122"/>
      <c r="IS18" s="122"/>
      <c r="IT18" s="122"/>
      <c r="IU18" s="122"/>
    </row>
    <row r="19" spans="1:11" ht="15">
      <c r="A19" s="96" t="str">
        <f>HLOOKUP(INDICE!$F$2,Nombres!$C$3:$D$636,84,FALSE)</f>
        <v>(Porcentaje)</v>
      </c>
      <c r="B19" s="113"/>
      <c r="C19" s="113"/>
      <c r="D19" s="126"/>
      <c r="E19" s="126"/>
      <c r="F19" s="113"/>
      <c r="G19" s="113"/>
      <c r="H19" s="126"/>
      <c r="I19" s="126"/>
      <c r="J19" s="123"/>
      <c r="K19" s="123"/>
    </row>
    <row r="20" spans="1:255" ht="15.75">
      <c r="A20" s="97"/>
      <c r="B20" s="118">
        <f>+B$3</f>
        <v>44651</v>
      </c>
      <c r="C20" s="118">
        <f aca="true" t="shared" si="0" ref="C20:I20">+C$3</f>
        <v>44742</v>
      </c>
      <c r="D20" s="118">
        <f t="shared" si="0"/>
        <v>44834</v>
      </c>
      <c r="E20" s="118">
        <f t="shared" si="0"/>
        <v>44926</v>
      </c>
      <c r="F20" s="118">
        <f t="shared" si="0"/>
        <v>45016</v>
      </c>
      <c r="G20" s="118">
        <f t="shared" si="0"/>
        <v>45107</v>
      </c>
      <c r="H20" s="118">
        <f t="shared" si="0"/>
        <v>45199</v>
      </c>
      <c r="I20" s="118">
        <f t="shared" si="0"/>
        <v>45291</v>
      </c>
      <c r="J20" s="123"/>
      <c r="K20" s="123"/>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c r="CM20" s="129"/>
      <c r="CN20" s="129"/>
      <c r="CO20" s="129"/>
      <c r="CP20" s="129"/>
      <c r="CQ20" s="129"/>
      <c r="CR20" s="129"/>
      <c r="CS20" s="129"/>
      <c r="CT20" s="129"/>
      <c r="CU20" s="129"/>
      <c r="CV20" s="129"/>
      <c r="CW20" s="129"/>
      <c r="CX20" s="129"/>
      <c r="CY20" s="129"/>
      <c r="CZ20" s="129"/>
      <c r="DA20" s="129"/>
      <c r="DB20" s="129"/>
      <c r="DC20" s="129"/>
      <c r="DD20" s="129"/>
      <c r="DE20" s="129"/>
      <c r="DF20" s="129"/>
      <c r="DG20" s="129"/>
      <c r="DH20" s="129"/>
      <c r="DI20" s="129"/>
      <c r="DJ20" s="129"/>
      <c r="DK20" s="129"/>
      <c r="DL20" s="129"/>
      <c r="DM20" s="129"/>
      <c r="DN20" s="129"/>
      <c r="DO20" s="129"/>
      <c r="DP20" s="129"/>
      <c r="DQ20" s="129"/>
      <c r="DR20" s="129"/>
      <c r="DS20" s="129"/>
      <c r="DT20" s="129"/>
      <c r="DU20" s="129"/>
      <c r="DV20" s="129"/>
      <c r="DW20" s="129"/>
      <c r="DX20" s="129"/>
      <c r="DY20" s="129"/>
      <c r="DZ20" s="129"/>
      <c r="EA20" s="129"/>
      <c r="EB20" s="129"/>
      <c r="EC20" s="129"/>
      <c r="ED20" s="129"/>
      <c r="EE20" s="129"/>
      <c r="EF20" s="129"/>
      <c r="EG20" s="129"/>
      <c r="EH20" s="129"/>
      <c r="EI20" s="129"/>
      <c r="EJ20" s="129"/>
      <c r="EK20" s="129"/>
      <c r="EL20" s="129"/>
      <c r="EM20" s="129"/>
      <c r="EN20" s="129"/>
      <c r="EO20" s="129"/>
      <c r="EP20" s="129"/>
      <c r="EQ20" s="129"/>
      <c r="ER20" s="129"/>
      <c r="ES20" s="129"/>
      <c r="ET20" s="129"/>
      <c r="EU20" s="129"/>
      <c r="EV20" s="129"/>
      <c r="EW20" s="129"/>
      <c r="EX20" s="129"/>
      <c r="EY20" s="129"/>
      <c r="EZ20" s="129"/>
      <c r="FA20" s="129"/>
      <c r="FB20" s="129"/>
      <c r="FC20" s="129"/>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c r="IR20" s="129"/>
      <c r="IS20" s="129"/>
      <c r="IT20" s="129"/>
      <c r="IU20" s="129"/>
    </row>
    <row r="21" spans="1:11" ht="15">
      <c r="A21" s="97"/>
      <c r="B21" s="130"/>
      <c r="C21" s="130"/>
      <c r="D21" s="126"/>
      <c r="E21" s="126"/>
      <c r="F21" s="130"/>
      <c r="G21" s="130"/>
      <c r="H21" s="126"/>
      <c r="I21" s="126"/>
      <c r="J21" s="123"/>
      <c r="K21" s="123"/>
    </row>
    <row r="22" spans="1:13" ht="15">
      <c r="A22" s="102" t="str">
        <f>HLOOKUP(INDICE!$F$2,Nombres!$C$3:$D$636,275,FALSE)</f>
        <v>Grupo BBVA  (*)</v>
      </c>
      <c r="B22" s="131">
        <v>75.90959260579432</v>
      </c>
      <c r="C22" s="131">
        <v>78.44317836158264</v>
      </c>
      <c r="D22" s="131">
        <v>82.90490483475553</v>
      </c>
      <c r="E22" s="132">
        <v>81.34031740533463</v>
      </c>
      <c r="F22" s="131">
        <v>82.46398208703984</v>
      </c>
      <c r="G22" s="238">
        <v>79.6213853029347</v>
      </c>
      <c r="H22" s="238">
        <v>79.05599688960015</v>
      </c>
      <c r="I22" s="238">
        <v>76.84913153421559</v>
      </c>
      <c r="J22" s="133"/>
      <c r="K22"/>
      <c r="L22"/>
      <c r="M22"/>
    </row>
    <row r="23" spans="1:13" ht="15">
      <c r="A23" s="97"/>
      <c r="B23" s="134"/>
      <c r="C23" s="134"/>
      <c r="D23" s="134"/>
      <c r="E23" s="135"/>
      <c r="F23" s="134"/>
      <c r="G23" s="134"/>
      <c r="H23" s="134"/>
      <c r="I23" s="134"/>
      <c r="J23" s="133"/>
      <c r="K23" s="123"/>
      <c r="L23" s="122"/>
      <c r="M23" s="122"/>
    </row>
    <row r="24" spans="1:255" ht="15">
      <c r="A24" s="59" t="str">
        <f>HLOOKUP(INDICE!$F$2,Nombres!$C$3:$D$636,7,FALSE)</f>
        <v>España</v>
      </c>
      <c r="B24" s="136">
        <v>61.43107082733417</v>
      </c>
      <c r="C24" s="136">
        <v>61.47458778999283</v>
      </c>
      <c r="D24" s="136">
        <v>64.02578141219166</v>
      </c>
      <c r="E24" s="137">
        <v>60.932596217374446</v>
      </c>
      <c r="F24" s="136">
        <v>58.65475746024477</v>
      </c>
      <c r="G24" s="239">
        <v>56.62990733260397</v>
      </c>
      <c r="H24" s="239">
        <v>55.095567234147715</v>
      </c>
      <c r="I24" s="239">
        <v>54.95821279693512</v>
      </c>
      <c r="J24" s="133"/>
      <c r="K24" s="138"/>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row>
    <row r="25" spans="1:255" ht="15">
      <c r="A25" s="97"/>
      <c r="B25" s="134"/>
      <c r="C25" s="134"/>
      <c r="D25" s="134"/>
      <c r="E25" s="135"/>
      <c r="F25" s="134"/>
      <c r="G25" s="134"/>
      <c r="H25" s="134"/>
      <c r="I25" s="134"/>
      <c r="J25" s="133"/>
      <c r="K25" s="123"/>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22"/>
      <c r="BD25" s="122"/>
      <c r="BE25" s="122"/>
      <c r="BF25" s="122"/>
      <c r="BG25" s="122"/>
      <c r="BH25" s="122"/>
      <c r="BI25" s="122"/>
      <c r="BJ25" s="122"/>
      <c r="BK25" s="122"/>
      <c r="BL25" s="122"/>
      <c r="BM25" s="122"/>
      <c r="BN25" s="122"/>
      <c r="BO25" s="122"/>
      <c r="BP25" s="122"/>
      <c r="BQ25" s="122"/>
      <c r="BR25" s="122"/>
      <c r="BS25" s="122"/>
      <c r="BT25" s="122"/>
      <c r="BU25" s="122"/>
      <c r="BV25" s="122"/>
      <c r="BW25" s="122"/>
      <c r="BX25" s="122"/>
      <c r="BY25" s="122"/>
      <c r="BZ25" s="122"/>
      <c r="CA25" s="122"/>
      <c r="CB25" s="122"/>
      <c r="CC25" s="122"/>
      <c r="CD25" s="122"/>
      <c r="CE25" s="122"/>
      <c r="CF25" s="122"/>
      <c r="CG25" s="122"/>
      <c r="CH25" s="122"/>
      <c r="CI25" s="122"/>
      <c r="CJ25" s="122"/>
      <c r="CK25" s="122"/>
      <c r="CL25" s="122"/>
      <c r="CM25" s="122"/>
      <c r="CN25" s="122"/>
      <c r="CO25" s="122"/>
      <c r="CP25" s="122"/>
      <c r="CQ25" s="122"/>
      <c r="CR25" s="122"/>
      <c r="CS25" s="122"/>
      <c r="CT25" s="122"/>
      <c r="CU25" s="122"/>
      <c r="CV25" s="122"/>
      <c r="CW25" s="122"/>
      <c r="CX25" s="122"/>
      <c r="CY25" s="122"/>
      <c r="CZ25" s="122"/>
      <c r="DA25" s="122"/>
      <c r="DB25" s="122"/>
      <c r="DC25" s="122"/>
      <c r="DD25" s="122"/>
      <c r="DE25" s="122"/>
      <c r="DF25" s="122"/>
      <c r="DG25" s="122"/>
      <c r="DH25" s="122"/>
      <c r="DI25" s="122"/>
      <c r="DJ25" s="122"/>
      <c r="DK25" s="122"/>
      <c r="DL25" s="122"/>
      <c r="DM25" s="122"/>
      <c r="DN25" s="122"/>
      <c r="DO25" s="122"/>
      <c r="DP25" s="122"/>
      <c r="DQ25" s="122"/>
      <c r="DR25" s="122"/>
      <c r="DS25" s="122"/>
      <c r="DT25" s="122"/>
      <c r="DU25" s="122"/>
      <c r="DV25" s="122"/>
      <c r="DW25" s="122"/>
      <c r="DX25" s="122"/>
      <c r="DY25" s="122"/>
      <c r="DZ25" s="122"/>
      <c r="EA25" s="122"/>
      <c r="EB25" s="122"/>
      <c r="EC25" s="122"/>
      <c r="ED25" s="122"/>
      <c r="EE25" s="122"/>
      <c r="EF25" s="122"/>
      <c r="EG25" s="122"/>
      <c r="EH25" s="122"/>
      <c r="EI25" s="122"/>
      <c r="EJ25" s="122"/>
      <c r="EK25" s="122"/>
      <c r="EL25" s="122"/>
      <c r="EM25" s="122"/>
      <c r="EN25" s="122"/>
      <c r="EO25" s="122"/>
      <c r="EP25" s="122"/>
      <c r="EQ25" s="122"/>
      <c r="ER25" s="122"/>
      <c r="ES25" s="122"/>
      <c r="ET25" s="122"/>
      <c r="EU25" s="122"/>
      <c r="EV25" s="122"/>
      <c r="EW25" s="122"/>
      <c r="EX25" s="122"/>
      <c r="EY25" s="122"/>
      <c r="EZ25" s="122"/>
      <c r="FA25" s="122"/>
      <c r="FB25" s="122"/>
      <c r="FC25" s="122"/>
      <c r="FD25" s="122"/>
      <c r="FE25" s="122"/>
      <c r="FF25" s="122"/>
      <c r="FG25" s="122"/>
      <c r="FH25" s="122"/>
      <c r="FI25" s="122"/>
      <c r="FJ25" s="122"/>
      <c r="FK25" s="122"/>
      <c r="FL25" s="122"/>
      <c r="FM25" s="122"/>
      <c r="FN25" s="122"/>
      <c r="FO25" s="122"/>
      <c r="FP25" s="122"/>
      <c r="FQ25" s="122"/>
      <c r="FR25" s="122"/>
      <c r="FS25" s="122"/>
      <c r="FT25" s="122"/>
      <c r="FU25" s="122"/>
      <c r="FV25" s="122"/>
      <c r="FW25" s="122"/>
      <c r="FX25" s="122"/>
      <c r="FY25" s="122"/>
      <c r="FZ25" s="122"/>
      <c r="GA25" s="122"/>
      <c r="GB25" s="122"/>
      <c r="GC25" s="122"/>
      <c r="GD25" s="122"/>
      <c r="GE25" s="122"/>
      <c r="GF25" s="122"/>
      <c r="GG25" s="122"/>
      <c r="GH25" s="122"/>
      <c r="GI25" s="122"/>
      <c r="GJ25" s="122"/>
      <c r="GK25" s="122"/>
      <c r="GL25" s="122"/>
      <c r="GM25" s="122"/>
      <c r="GN25" s="122"/>
      <c r="GO25" s="122"/>
      <c r="GP25" s="122"/>
      <c r="GQ25" s="122"/>
      <c r="GR25" s="122"/>
      <c r="GS25" s="122"/>
      <c r="GT25" s="122"/>
      <c r="GU25" s="122"/>
      <c r="GV25" s="122"/>
      <c r="GW25" s="122"/>
      <c r="GX25" s="122"/>
      <c r="GY25" s="122"/>
      <c r="GZ25" s="122"/>
      <c r="HA25" s="122"/>
      <c r="HB25" s="122"/>
      <c r="HC25" s="122"/>
      <c r="HD25" s="122"/>
      <c r="HE25" s="122"/>
      <c r="HF25" s="122"/>
      <c r="HG25" s="122"/>
      <c r="HH25" s="122"/>
      <c r="HI25" s="122"/>
      <c r="HJ25" s="122"/>
      <c r="HK25" s="122"/>
      <c r="HL25" s="122"/>
      <c r="HM25" s="122"/>
      <c r="HN25" s="122"/>
      <c r="HO25" s="122"/>
      <c r="HP25" s="122"/>
      <c r="HQ25" s="122"/>
      <c r="HR25" s="122"/>
      <c r="HS25" s="122"/>
      <c r="HT25" s="122"/>
      <c r="HU25" s="122"/>
      <c r="HV25" s="122"/>
      <c r="HW25" s="122"/>
      <c r="HX25" s="122"/>
      <c r="HY25" s="122"/>
      <c r="HZ25" s="122"/>
      <c r="IA25" s="122"/>
      <c r="IB25" s="122"/>
      <c r="IC25" s="122"/>
      <c r="ID25" s="122"/>
      <c r="IE25" s="122"/>
      <c r="IF25" s="122"/>
      <c r="IG25" s="122"/>
      <c r="IH25" s="122"/>
      <c r="II25" s="122"/>
      <c r="IJ25" s="122"/>
      <c r="IK25" s="122"/>
      <c r="IL25" s="122"/>
      <c r="IM25" s="122"/>
      <c r="IN25" s="122"/>
      <c r="IO25" s="122"/>
      <c r="IP25" s="122"/>
      <c r="IQ25" s="122"/>
      <c r="IR25" s="122"/>
      <c r="IS25" s="122"/>
      <c r="IT25" s="122"/>
      <c r="IU25" s="122"/>
    </row>
    <row r="26" spans="1:255" ht="15">
      <c r="A26" s="59" t="str">
        <f>HLOOKUP(INDICE!$F$2,Nombres!$C$3:$D$636,11,FALSE)</f>
        <v>México</v>
      </c>
      <c r="B26" s="136">
        <v>115.32998289468945</v>
      </c>
      <c r="C26" s="136">
        <v>118.86552892861486</v>
      </c>
      <c r="D26" s="136">
        <v>133.31832481070737</v>
      </c>
      <c r="E26" s="137">
        <v>128.8645225885075</v>
      </c>
      <c r="F26" s="136">
        <v>137.06742757462104</v>
      </c>
      <c r="G26" s="239">
        <v>129.24640407780984</v>
      </c>
      <c r="H26" s="239">
        <v>126.67282691395425</v>
      </c>
      <c r="I26" s="239">
        <v>123.39901049335091</v>
      </c>
      <c r="J26" s="133"/>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row>
    <row r="27" spans="1:13" ht="15">
      <c r="A27" s="97"/>
      <c r="B27" s="134"/>
      <c r="C27" s="134"/>
      <c r="D27" s="134"/>
      <c r="E27" s="135"/>
      <c r="F27" s="134"/>
      <c r="G27" s="134"/>
      <c r="H27" s="134"/>
      <c r="I27" s="134"/>
      <c r="J27" s="133"/>
      <c r="K27"/>
      <c r="L27"/>
      <c r="M27"/>
    </row>
    <row r="28" spans="1:255" ht="15">
      <c r="A28" s="59" t="str">
        <f>HLOOKUP(INDICE!$F$2,Nombres!$C$3:$D$636,12,FALSE)</f>
        <v>Turquía </v>
      </c>
      <c r="B28" s="136">
        <v>74.76965437494731</v>
      </c>
      <c r="C28" s="136">
        <v>82.60315255904412</v>
      </c>
      <c r="D28" s="136">
        <v>86.05853473922438</v>
      </c>
      <c r="E28" s="137">
        <v>90.42479667675309</v>
      </c>
      <c r="F28" s="136">
        <v>98.55999197638175</v>
      </c>
      <c r="G28" s="239">
        <v>97.19711764119351</v>
      </c>
      <c r="H28" s="239">
        <v>100.2640344585812</v>
      </c>
      <c r="I28" s="239">
        <v>97.06062552095362</v>
      </c>
      <c r="J28" s="133"/>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row>
    <row r="29" spans="1:11" ht="15">
      <c r="A29" s="97"/>
      <c r="B29" s="134"/>
      <c r="C29" s="134"/>
      <c r="D29" s="134"/>
      <c r="E29" s="135"/>
      <c r="F29" s="134"/>
      <c r="G29" s="134"/>
      <c r="H29" s="134"/>
      <c r="I29" s="134"/>
      <c r="J29" s="133"/>
      <c r="K29" s="123"/>
    </row>
    <row r="30" spans="1:255" ht="15">
      <c r="A30" s="59" t="str">
        <f>HLOOKUP(INDICE!$F$2,Nombres!$C$3:$D$636,13,FALSE)</f>
        <v>América del Sur </v>
      </c>
      <c r="B30" s="136">
        <v>99.13889189453238</v>
      </c>
      <c r="C30" s="136">
        <v>99.95403110476879</v>
      </c>
      <c r="D30" s="136">
        <v>99.68469214441657</v>
      </c>
      <c r="E30" s="137">
        <v>100.74038921512967</v>
      </c>
      <c r="F30" s="136">
        <v>99.17788049015059</v>
      </c>
      <c r="G30" s="239">
        <v>95.20998020280496</v>
      </c>
      <c r="H30" s="239">
        <v>92.92232042409006</v>
      </c>
      <c r="I30" s="239">
        <v>88.1089568185964</v>
      </c>
      <c r="J30" s="133"/>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row>
    <row r="31" spans="1:255" ht="15">
      <c r="A31" s="97"/>
      <c r="B31" s="139"/>
      <c r="C31" s="139"/>
      <c r="D31" s="139"/>
      <c r="E31" s="140"/>
      <c r="F31" s="139"/>
      <c r="G31" s="240"/>
      <c r="H31" s="240"/>
      <c r="I31" s="240"/>
      <c r="J31" s="133"/>
      <c r="K31" s="123"/>
      <c r="L31" s="122"/>
      <c r="M31" s="122"/>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row>
    <row r="32" spans="1:255" ht="15">
      <c r="A32" s="59" t="str">
        <f>HLOOKUP(INDICE!$F$2,Nombres!$C$3:$D$636,263,FALSE)</f>
        <v>Resto de Negocios</v>
      </c>
      <c r="B32" s="136">
        <v>116.20250793137077</v>
      </c>
      <c r="C32" s="136">
        <v>120.38337582944483</v>
      </c>
      <c r="D32" s="136">
        <v>158.1811853476769</v>
      </c>
      <c r="E32" s="137">
        <v>130.66737621004722</v>
      </c>
      <c r="F32" s="136">
        <v>100.7975027839465</v>
      </c>
      <c r="G32" s="239">
        <v>96.27303569322623</v>
      </c>
      <c r="H32" s="239">
        <v>81.88545614184875</v>
      </c>
      <c r="I32" s="239">
        <v>68.64242498621807</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row>
    <row r="33" spans="1:13" ht="15">
      <c r="A33" s="125"/>
      <c r="B33" s="141"/>
      <c r="C33" s="141"/>
      <c r="D33" s="126"/>
      <c r="E33" s="126"/>
      <c r="F33" s="141"/>
      <c r="G33" s="141"/>
      <c r="H33" s="126"/>
      <c r="I33" s="126"/>
      <c r="J33" s="123"/>
      <c r="K33" s="123"/>
      <c r="L33" s="122"/>
      <c r="M33" s="122"/>
    </row>
    <row r="34" spans="1:255" ht="15">
      <c r="A34" s="97"/>
      <c r="B34" s="141"/>
      <c r="C34" s="141"/>
      <c r="D34" s="126"/>
      <c r="E34" s="126"/>
      <c r="F34" s="141"/>
      <c r="G34" s="141"/>
      <c r="H34" s="126"/>
      <c r="I34" s="126"/>
      <c r="J34" s="123"/>
      <c r="K34" s="123"/>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row>
    <row r="35" spans="1:255" ht="18">
      <c r="A35" s="93" t="str">
        <f>HLOOKUP(INDICE!$F$2,Nombres!$C$3:$D$636,87,FALSE)</f>
        <v>Coste del riesgo acumulado</v>
      </c>
      <c r="B35" s="127"/>
      <c r="C35" s="127"/>
      <c r="D35" s="128"/>
      <c r="E35" s="128"/>
      <c r="F35" s="127"/>
      <c r="G35" s="127"/>
      <c r="H35" s="128"/>
      <c r="I35" s="128"/>
      <c r="J35" s="123"/>
      <c r="K35" s="123"/>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122"/>
      <c r="DQ35" s="122"/>
      <c r="DR35" s="122"/>
      <c r="DS35" s="122"/>
      <c r="DT35" s="122"/>
      <c r="DU35" s="122"/>
      <c r="DV35" s="122"/>
      <c r="DW35" s="122"/>
      <c r="DX35" s="122"/>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122"/>
      <c r="IH35" s="122"/>
      <c r="II35" s="122"/>
      <c r="IJ35" s="122"/>
      <c r="IK35" s="122"/>
      <c r="IL35" s="122"/>
      <c r="IM35" s="122"/>
      <c r="IN35" s="122"/>
      <c r="IO35" s="122"/>
      <c r="IP35" s="122"/>
      <c r="IQ35" s="122"/>
      <c r="IR35" s="122"/>
      <c r="IS35" s="122"/>
      <c r="IT35" s="122"/>
      <c r="IU35" s="122"/>
    </row>
    <row r="36" spans="1:11" ht="15">
      <c r="A36" s="96" t="str">
        <f>HLOOKUP(INDICE!$F$2,Nombres!$C$3:$D$636,84,FALSE)</f>
        <v>(Porcentaje)</v>
      </c>
      <c r="B36" s="141"/>
      <c r="C36" s="141"/>
      <c r="D36" s="126"/>
      <c r="E36" s="126"/>
      <c r="F36" s="141"/>
      <c r="G36" s="141"/>
      <c r="H36" s="126"/>
      <c r="I36" s="126"/>
      <c r="J36" s="123"/>
      <c r="K36" s="123"/>
    </row>
    <row r="37" spans="1:255" ht="15.75">
      <c r="A37" s="97"/>
      <c r="B37" s="118">
        <f>+B$3</f>
        <v>44651</v>
      </c>
      <c r="C37" s="118">
        <f aca="true" t="shared" si="1" ref="C37:I37">+C$3</f>
        <v>44742</v>
      </c>
      <c r="D37" s="118">
        <f t="shared" si="1"/>
        <v>44834</v>
      </c>
      <c r="E37" s="118">
        <f t="shared" si="1"/>
        <v>44926</v>
      </c>
      <c r="F37" s="118">
        <f t="shared" si="1"/>
        <v>45016</v>
      </c>
      <c r="G37" s="118">
        <f t="shared" si="1"/>
        <v>45107</v>
      </c>
      <c r="H37" s="118">
        <f t="shared" si="1"/>
        <v>45199</v>
      </c>
      <c r="I37" s="118">
        <f t="shared" si="1"/>
        <v>45291</v>
      </c>
      <c r="J37" s="123"/>
      <c r="K37" s="123"/>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122"/>
      <c r="CQ37" s="122"/>
      <c r="CR37" s="122"/>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122"/>
      <c r="GE37" s="122"/>
      <c r="GF37" s="122"/>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row>
    <row r="38" spans="1:11" ht="15">
      <c r="A38" s="97"/>
      <c r="B38" s="130"/>
      <c r="C38" s="130"/>
      <c r="D38" s="126"/>
      <c r="E38" s="126"/>
      <c r="F38" s="130"/>
      <c r="G38" s="130"/>
      <c r="H38" s="126"/>
      <c r="I38" s="126"/>
      <c r="J38" s="123"/>
      <c r="K38" s="123"/>
    </row>
    <row r="39" spans="1:13" ht="15">
      <c r="A39" s="102" t="str">
        <f>HLOOKUP(INDICE!$F$2,Nombres!$C$3:$D$636,275,FALSE)</f>
        <v>Grupo BBVA  (*)</v>
      </c>
      <c r="B39" s="142">
        <v>0.8155986952391824</v>
      </c>
      <c r="C39" s="142">
        <v>0.8070490788616349</v>
      </c>
      <c r="D39" s="142">
        <v>0.8638078285393995</v>
      </c>
      <c r="E39" s="143">
        <v>0.9132038791617962</v>
      </c>
      <c r="F39" s="142">
        <v>1.0461780866401273</v>
      </c>
      <c r="G39" s="142">
        <v>1.0397676564131588</v>
      </c>
      <c r="H39" s="241">
        <v>1.111785191717336</v>
      </c>
      <c r="I39" s="241">
        <v>1.1481633623229064</v>
      </c>
      <c r="J39" s="105"/>
      <c r="K39"/>
      <c r="L39"/>
      <c r="M39"/>
    </row>
    <row r="40" spans="1:13" ht="15">
      <c r="A40" s="97"/>
      <c r="B40" s="144"/>
      <c r="C40" s="144"/>
      <c r="D40" s="144"/>
      <c r="E40" s="145"/>
      <c r="F40" s="144"/>
      <c r="G40" s="144"/>
      <c r="H40" s="144"/>
      <c r="I40" s="144"/>
      <c r="J40" s="123"/>
      <c r="K40" s="123"/>
      <c r="L40" s="122"/>
      <c r="M40" s="122"/>
    </row>
    <row r="41" spans="1:13" ht="15">
      <c r="A41" s="59" t="str">
        <f>HLOOKUP(INDICE!$F$2,Nombres!$C$3:$D$636,7,FALSE)</f>
        <v>España</v>
      </c>
      <c r="B41" s="146">
        <v>0.16651458403934324</v>
      </c>
      <c r="C41" s="146">
        <v>0.2006528444635625</v>
      </c>
      <c r="D41" s="146">
        <v>0.236374292451908</v>
      </c>
      <c r="E41" s="147">
        <v>0.2845246615123951</v>
      </c>
      <c r="F41" s="146">
        <v>0.26676018510131627</v>
      </c>
      <c r="G41" s="242">
        <v>0.2749151192442661</v>
      </c>
      <c r="H41" s="242">
        <v>0.3116270599301094</v>
      </c>
      <c r="I41" s="242">
        <v>0.3694317143425287</v>
      </c>
      <c r="J41" s="105"/>
      <c r="K41"/>
      <c r="L41"/>
      <c r="M41"/>
    </row>
    <row r="42" spans="1:13" ht="15">
      <c r="A42" s="97"/>
      <c r="B42" s="144"/>
      <c r="C42" s="144"/>
      <c r="D42" s="144"/>
      <c r="E42" s="145"/>
      <c r="F42" s="144"/>
      <c r="G42" s="144"/>
      <c r="H42" s="144"/>
      <c r="I42" s="144"/>
      <c r="J42" s="105"/>
      <c r="K42"/>
      <c r="L42"/>
      <c r="M42"/>
    </row>
    <row r="43" spans="1:255" ht="15">
      <c r="A43" s="59" t="str">
        <f>HLOOKUP(INDICE!$F$2,Nombres!$C$3:$D$636,11,FALSE)</f>
        <v>México</v>
      </c>
      <c r="B43" s="146">
        <v>2.8539751186157454</v>
      </c>
      <c r="C43" s="146">
        <v>2.5869715095204815</v>
      </c>
      <c r="D43" s="146">
        <v>2.5912679297384478</v>
      </c>
      <c r="E43" s="147">
        <v>2.487269989089657</v>
      </c>
      <c r="F43" s="146">
        <v>2.88173543480886</v>
      </c>
      <c r="G43" s="242">
        <v>2.8607913671655503</v>
      </c>
      <c r="H43" s="242">
        <v>2.9444678629903533</v>
      </c>
      <c r="I43" s="242">
        <v>2.9559919416959155</v>
      </c>
      <c r="J43" s="105"/>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row>
    <row r="44" spans="1:255" ht="15">
      <c r="A44" s="97"/>
      <c r="B44" s="144"/>
      <c r="C44" s="144"/>
      <c r="D44" s="144"/>
      <c r="E44" s="145"/>
      <c r="F44" s="144"/>
      <c r="G44" s="144"/>
      <c r="H44" s="144"/>
      <c r="I44" s="144"/>
      <c r="J44" s="123"/>
      <c r="K44" s="123"/>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22"/>
      <c r="BD44" s="122"/>
      <c r="BE44" s="122"/>
      <c r="BF44" s="122"/>
      <c r="BG44" s="122"/>
      <c r="BH44" s="122"/>
      <c r="BI44" s="122"/>
      <c r="BJ44" s="122"/>
      <c r="BK44" s="122"/>
      <c r="BL44" s="122"/>
      <c r="BM44" s="122"/>
      <c r="BN44" s="122"/>
      <c r="BO44" s="122"/>
      <c r="BP44" s="122"/>
      <c r="BQ44" s="122"/>
      <c r="BR44" s="122"/>
      <c r="BS44" s="122"/>
      <c r="BT44" s="122"/>
      <c r="BU44" s="122"/>
      <c r="BV44" s="122"/>
      <c r="BW44" s="122"/>
      <c r="BX44" s="122"/>
      <c r="BY44" s="122"/>
      <c r="BZ44" s="122"/>
      <c r="CA44" s="122"/>
      <c r="CB44" s="122"/>
      <c r="CC44" s="122"/>
      <c r="CD44" s="122"/>
      <c r="CE44" s="122"/>
      <c r="CF44" s="122"/>
      <c r="CG44" s="122"/>
      <c r="CH44" s="122"/>
      <c r="CI44" s="122"/>
      <c r="CJ44" s="122"/>
      <c r="CK44" s="122"/>
      <c r="CL44" s="122"/>
      <c r="CM44" s="122"/>
      <c r="CN44" s="122"/>
      <c r="CO44" s="122"/>
      <c r="CP44" s="122"/>
      <c r="CQ44" s="122"/>
      <c r="CR44" s="122"/>
      <c r="CS44" s="122"/>
      <c r="CT44" s="122"/>
      <c r="CU44" s="122"/>
      <c r="CV44" s="122"/>
      <c r="CW44" s="122"/>
      <c r="CX44" s="122"/>
      <c r="CY44" s="122"/>
      <c r="CZ44" s="122"/>
      <c r="DA44" s="122"/>
      <c r="DB44" s="122"/>
      <c r="DC44" s="122"/>
      <c r="DD44" s="122"/>
      <c r="DE44" s="122"/>
      <c r="DF44" s="122"/>
      <c r="DG44" s="122"/>
      <c r="DH44" s="122"/>
      <c r="DI44" s="122"/>
      <c r="DJ44" s="122"/>
      <c r="DK44" s="122"/>
      <c r="DL44" s="122"/>
      <c r="DM44" s="122"/>
      <c r="DN44" s="122"/>
      <c r="DO44" s="122"/>
      <c r="DP44" s="122"/>
      <c r="DQ44" s="122"/>
      <c r="DR44" s="122"/>
      <c r="DS44" s="122"/>
      <c r="DT44" s="122"/>
      <c r="DU44" s="122"/>
      <c r="DV44" s="122"/>
      <c r="DW44" s="122"/>
      <c r="DX44" s="122"/>
      <c r="DY44" s="122"/>
      <c r="DZ44" s="122"/>
      <c r="EA44" s="122"/>
      <c r="EB44" s="122"/>
      <c r="EC44" s="122"/>
      <c r="ED44" s="122"/>
      <c r="EE44" s="122"/>
      <c r="EF44" s="122"/>
      <c r="EG44" s="122"/>
      <c r="EH44" s="122"/>
      <c r="EI44" s="122"/>
      <c r="EJ44" s="122"/>
      <c r="EK44" s="122"/>
      <c r="EL44" s="122"/>
      <c r="EM44" s="122"/>
      <c r="EN44" s="122"/>
      <c r="EO44" s="122"/>
      <c r="EP44" s="122"/>
      <c r="EQ44" s="122"/>
      <c r="ER44" s="122"/>
      <c r="ES44" s="122"/>
      <c r="ET44" s="122"/>
      <c r="EU44" s="122"/>
      <c r="EV44" s="122"/>
      <c r="EW44" s="122"/>
      <c r="EX44" s="122"/>
      <c r="EY44" s="122"/>
      <c r="EZ44" s="122"/>
      <c r="FA44" s="122"/>
      <c r="FB44" s="122"/>
      <c r="FC44" s="122"/>
      <c r="FD44" s="122"/>
      <c r="FE44" s="122"/>
      <c r="FF44" s="122"/>
      <c r="FG44" s="122"/>
      <c r="FH44" s="122"/>
      <c r="FI44" s="122"/>
      <c r="FJ44" s="122"/>
      <c r="FK44" s="122"/>
      <c r="FL44" s="122"/>
      <c r="FM44" s="122"/>
      <c r="FN44" s="122"/>
      <c r="FO44" s="122"/>
      <c r="FP44" s="122"/>
      <c r="FQ44" s="122"/>
      <c r="FR44" s="122"/>
      <c r="FS44" s="122"/>
      <c r="FT44" s="122"/>
      <c r="FU44" s="122"/>
      <c r="FV44" s="122"/>
      <c r="FW44" s="122"/>
      <c r="FX44" s="122"/>
      <c r="FY44" s="122"/>
      <c r="FZ44" s="122"/>
      <c r="GA44" s="122"/>
      <c r="GB44" s="122"/>
      <c r="GC44" s="122"/>
      <c r="GD44" s="122"/>
      <c r="GE44" s="122"/>
      <c r="GF44" s="122"/>
      <c r="GG44" s="122"/>
      <c r="GH44" s="122"/>
      <c r="GI44" s="122"/>
      <c r="GJ44" s="122"/>
      <c r="GK44" s="122"/>
      <c r="GL44" s="122"/>
      <c r="GM44" s="122"/>
      <c r="GN44" s="122"/>
      <c r="GO44" s="122"/>
      <c r="GP44" s="122"/>
      <c r="GQ44" s="122"/>
      <c r="GR44" s="122"/>
      <c r="GS44" s="122"/>
      <c r="GT44" s="122"/>
      <c r="GU44" s="122"/>
      <c r="GV44" s="122"/>
      <c r="GW44" s="122"/>
      <c r="GX44" s="122"/>
      <c r="GY44" s="122"/>
      <c r="GZ44" s="122"/>
      <c r="HA44" s="122"/>
      <c r="HB44" s="122"/>
      <c r="HC44" s="122"/>
      <c r="HD44" s="122"/>
      <c r="HE44" s="122"/>
      <c r="HF44" s="122"/>
      <c r="HG44" s="122"/>
      <c r="HH44" s="122"/>
      <c r="HI44" s="122"/>
      <c r="HJ44" s="122"/>
      <c r="HK44" s="122"/>
      <c r="HL44" s="122"/>
      <c r="HM44" s="122"/>
      <c r="HN44" s="122"/>
      <c r="HO44" s="122"/>
      <c r="HP44" s="122"/>
      <c r="HQ44" s="122"/>
      <c r="HR44" s="122"/>
      <c r="HS44" s="122"/>
      <c r="HT44" s="122"/>
      <c r="HU44" s="122"/>
      <c r="HV44" s="122"/>
      <c r="HW44" s="122"/>
      <c r="HX44" s="122"/>
      <c r="HY44" s="122"/>
      <c r="HZ44" s="122"/>
      <c r="IA44" s="122"/>
      <c r="IB44" s="122"/>
      <c r="IC44" s="122"/>
      <c r="ID44" s="122"/>
      <c r="IE44" s="122"/>
      <c r="IF44" s="122"/>
      <c r="IG44" s="122"/>
      <c r="IH44" s="122"/>
      <c r="II44" s="122"/>
      <c r="IJ44" s="122"/>
      <c r="IK44" s="122"/>
      <c r="IL44" s="122"/>
      <c r="IM44" s="122"/>
      <c r="IN44" s="122"/>
      <c r="IO44" s="122"/>
      <c r="IP44" s="122"/>
      <c r="IQ44" s="122"/>
      <c r="IR44" s="122"/>
      <c r="IS44" s="122"/>
      <c r="IT44" s="122"/>
      <c r="IU44" s="122"/>
    </row>
    <row r="45" spans="1:255" ht="15">
      <c r="A45" s="59" t="str">
        <f>HLOOKUP(INDICE!$F$2,Nombres!$C$3:$D$636,12,FALSE)</f>
        <v>Turquía </v>
      </c>
      <c r="B45" s="146">
        <v>0.9923298524529925</v>
      </c>
      <c r="C45" s="146">
        <v>0.8826030774853713</v>
      </c>
      <c r="D45" s="146">
        <v>0.8922152967813575</v>
      </c>
      <c r="E45" s="147">
        <v>0.9367779079075232</v>
      </c>
      <c r="F45" s="146">
        <v>0.5178951955506698</v>
      </c>
      <c r="G45" s="242">
        <v>0.22820085527974912</v>
      </c>
      <c r="H45" s="242">
        <v>0.26133458313306335</v>
      </c>
      <c r="I45" s="242">
        <v>0.2518747657636194</v>
      </c>
      <c r="J45" s="10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row>
    <row r="46" spans="1:11" ht="15">
      <c r="A46" s="97"/>
      <c r="B46" s="144"/>
      <c r="C46" s="144"/>
      <c r="D46" s="144"/>
      <c r="E46" s="145"/>
      <c r="F46" s="144"/>
      <c r="G46" s="144"/>
      <c r="H46" s="144"/>
      <c r="I46" s="144"/>
      <c r="J46" s="123"/>
      <c r="K46" s="123"/>
    </row>
    <row r="47" spans="1:255" ht="15">
      <c r="A47" s="59" t="str">
        <f>HLOOKUP(INDICE!$F$2,Nombres!$C$3:$D$636,13,FALSE)</f>
        <v>América del Sur </v>
      </c>
      <c r="B47" s="146">
        <v>1.1698478580990255</v>
      </c>
      <c r="C47" s="146">
        <v>1.242325751645526</v>
      </c>
      <c r="D47" s="146">
        <v>1.4285602755730216</v>
      </c>
      <c r="E47" s="147">
        <v>1.6888714589062457</v>
      </c>
      <c r="F47" s="146">
        <v>2.183473672640772</v>
      </c>
      <c r="G47" s="242">
        <v>2.3360372185084475</v>
      </c>
      <c r="H47" s="242">
        <v>2.5036703352777807</v>
      </c>
      <c r="I47" s="242">
        <v>2.5129104035120133</v>
      </c>
      <c r="J47" s="105"/>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row>
    <row r="48" spans="1:255" ht="15">
      <c r="A48" s="97"/>
      <c r="B48" s="148"/>
      <c r="C48" s="148"/>
      <c r="D48" s="148"/>
      <c r="E48" s="149"/>
      <c r="F48" s="148"/>
      <c r="G48" s="243"/>
      <c r="H48" s="243"/>
      <c r="I48" s="243"/>
      <c r="J48" s="123"/>
      <c r="K48" s="123"/>
      <c r="L48" s="122"/>
      <c r="M48" s="122"/>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row>
    <row r="49" spans="1:255" ht="15">
      <c r="A49" s="59" t="str">
        <f>HLOOKUP(INDICE!$F$2,Nombres!$C$3:$D$636,263,FALSE)</f>
        <v>Resto de Negocios</v>
      </c>
      <c r="B49" s="146">
        <v>-0.10382136162482422</v>
      </c>
      <c r="C49" s="146">
        <v>0.000887280529842365</v>
      </c>
      <c r="D49" s="146">
        <v>0.016140154405523275</v>
      </c>
      <c r="E49" s="147">
        <v>0.04107059930871794</v>
      </c>
      <c r="F49" s="146">
        <v>0.20706999025765302</v>
      </c>
      <c r="G49" s="242">
        <v>0.12919843091876942</v>
      </c>
      <c r="H49" s="242">
        <v>0.09135935383963693</v>
      </c>
      <c r="I49" s="242">
        <v>0.07572563432304427</v>
      </c>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row>
    <row r="50" spans="1:9" ht="15">
      <c r="A50" s="125"/>
      <c r="B50" s="97"/>
      <c r="C50" s="141"/>
      <c r="D50" s="141"/>
      <c r="E50" s="141"/>
      <c r="F50" s="97"/>
      <c r="G50" s="244"/>
      <c r="H50" s="244"/>
      <c r="I50" s="244"/>
    </row>
    <row r="51" spans="1:255" ht="15">
      <c r="A51" s="114"/>
      <c r="B51" s="97"/>
      <c r="C51" s="97"/>
      <c r="D51" s="97"/>
      <c r="E51" s="97"/>
      <c r="F51" s="97"/>
      <c r="G51" s="97"/>
      <c r="H51" s="97"/>
      <c r="I51" s="97"/>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row>
    <row r="52" spans="1:9" ht="15">
      <c r="A52" s="97"/>
      <c r="B52" s="97"/>
      <c r="C52" s="97"/>
      <c r="D52" s="97"/>
      <c r="E52" s="97"/>
      <c r="F52" s="97"/>
      <c r="G52" s="97"/>
      <c r="H52" s="97"/>
      <c r="I52" s="97"/>
    </row>
    <row r="53" spans="1:255" ht="15">
      <c r="A53" s="150"/>
      <c r="B53" s="115"/>
      <c r="C53" s="115"/>
      <c r="D53" s="115"/>
      <c r="E53" s="115"/>
      <c r="F53" s="115"/>
      <c r="G53" s="115"/>
      <c r="H53" s="150"/>
      <c r="I53" s="150"/>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row>
    <row r="54" spans="14:255" ht="15">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22"/>
      <c r="BD54" s="122"/>
      <c r="BE54" s="122"/>
      <c r="BF54" s="122"/>
      <c r="BG54" s="122"/>
      <c r="BH54" s="122"/>
      <c r="BI54" s="122"/>
      <c r="BJ54" s="122"/>
      <c r="BK54" s="122"/>
      <c r="BL54" s="122"/>
      <c r="BM54" s="122"/>
      <c r="BN54" s="122"/>
      <c r="BO54" s="122"/>
      <c r="BP54" s="122"/>
      <c r="BQ54" s="122"/>
      <c r="BR54" s="122"/>
      <c r="BS54" s="122"/>
      <c r="BT54" s="122"/>
      <c r="BU54" s="122"/>
      <c r="BV54" s="122"/>
      <c r="BW54" s="122"/>
      <c r="BX54" s="122"/>
      <c r="BY54" s="122"/>
      <c r="BZ54" s="122"/>
      <c r="CA54" s="122"/>
      <c r="CB54" s="122"/>
      <c r="CC54" s="122"/>
      <c r="CD54" s="122"/>
      <c r="CE54" s="122"/>
      <c r="CF54" s="122"/>
      <c r="CG54" s="122"/>
      <c r="CH54" s="122"/>
      <c r="CI54" s="122"/>
      <c r="CJ54" s="122"/>
      <c r="CK54" s="122"/>
      <c r="CL54" s="122"/>
      <c r="CM54" s="122"/>
      <c r="CN54" s="122"/>
      <c r="CO54" s="122"/>
      <c r="CP54" s="122"/>
      <c r="CQ54" s="122"/>
      <c r="CR54" s="122"/>
      <c r="CS54" s="122"/>
      <c r="CT54" s="122"/>
      <c r="CU54" s="122"/>
      <c r="CV54" s="122"/>
      <c r="CW54" s="122"/>
      <c r="CX54" s="122"/>
      <c r="CY54" s="122"/>
      <c r="CZ54" s="122"/>
      <c r="DA54" s="122"/>
      <c r="DB54" s="122"/>
      <c r="DC54" s="122"/>
      <c r="DD54" s="122"/>
      <c r="DE54" s="122"/>
      <c r="DF54" s="122"/>
      <c r="DG54" s="122"/>
      <c r="DH54" s="122"/>
      <c r="DI54" s="122"/>
      <c r="DJ54" s="122"/>
      <c r="DK54" s="122"/>
      <c r="DL54" s="122"/>
      <c r="DM54" s="122"/>
      <c r="DN54" s="122"/>
      <c r="DO54" s="122"/>
      <c r="DP54" s="122"/>
      <c r="DQ54" s="122"/>
      <c r="DR54" s="122"/>
      <c r="DS54" s="122"/>
      <c r="DT54" s="122"/>
      <c r="DU54" s="122"/>
      <c r="DV54" s="122"/>
      <c r="DW54" s="122"/>
      <c r="DX54" s="122"/>
      <c r="DY54" s="122"/>
      <c r="DZ54" s="122"/>
      <c r="EA54" s="122"/>
      <c r="EB54" s="122"/>
      <c r="EC54" s="122"/>
      <c r="ED54" s="122"/>
      <c r="EE54" s="122"/>
      <c r="EF54" s="122"/>
      <c r="EG54" s="122"/>
      <c r="EH54" s="122"/>
      <c r="EI54" s="122"/>
      <c r="EJ54" s="122"/>
      <c r="EK54" s="122"/>
      <c r="EL54" s="122"/>
      <c r="EM54" s="122"/>
      <c r="EN54" s="122"/>
      <c r="EO54" s="122"/>
      <c r="EP54" s="122"/>
      <c r="EQ54" s="122"/>
      <c r="ER54" s="122"/>
      <c r="ES54" s="122"/>
      <c r="ET54" s="122"/>
      <c r="EU54" s="122"/>
      <c r="EV54" s="122"/>
      <c r="EW54" s="122"/>
      <c r="EX54" s="122"/>
      <c r="EY54" s="122"/>
      <c r="EZ54" s="122"/>
      <c r="FA54" s="122"/>
      <c r="FB54" s="122"/>
      <c r="FC54" s="122"/>
      <c r="FD54" s="122"/>
      <c r="FE54" s="122"/>
      <c r="FF54" s="122"/>
      <c r="FG54" s="122"/>
      <c r="FH54" s="122"/>
      <c r="FI54" s="122"/>
      <c r="FJ54" s="122"/>
      <c r="FK54" s="122"/>
      <c r="FL54" s="122"/>
      <c r="FM54" s="122"/>
      <c r="FN54" s="122"/>
      <c r="FO54" s="122"/>
      <c r="FP54" s="122"/>
      <c r="FQ54" s="122"/>
      <c r="FR54" s="122"/>
      <c r="FS54" s="122"/>
      <c r="FT54" s="122"/>
      <c r="FU54" s="122"/>
      <c r="FV54" s="122"/>
      <c r="FW54" s="122"/>
      <c r="FX54" s="122"/>
      <c r="FY54" s="122"/>
      <c r="FZ54" s="122"/>
      <c r="GA54" s="122"/>
      <c r="GB54" s="122"/>
      <c r="GC54" s="122"/>
      <c r="GD54" s="122"/>
      <c r="GE54" s="122"/>
      <c r="GF54" s="122"/>
      <c r="GG54" s="122"/>
      <c r="GH54" s="122"/>
      <c r="GI54" s="122"/>
      <c r="GJ54" s="122"/>
      <c r="GK54" s="122"/>
      <c r="GL54" s="122"/>
      <c r="GM54" s="122"/>
      <c r="GN54" s="122"/>
      <c r="GO54" s="122"/>
      <c r="GP54" s="122"/>
      <c r="GQ54" s="122"/>
      <c r="GR54" s="122"/>
      <c r="GS54" s="122"/>
      <c r="GT54" s="122"/>
      <c r="GU54" s="122"/>
      <c r="GV54" s="122"/>
      <c r="GW54" s="122"/>
      <c r="GX54" s="122"/>
      <c r="GY54" s="122"/>
      <c r="GZ54" s="122"/>
      <c r="HA54" s="122"/>
      <c r="HB54" s="122"/>
      <c r="HC54" s="122"/>
      <c r="HD54" s="122"/>
      <c r="HE54" s="122"/>
      <c r="HF54" s="122"/>
      <c r="HG54" s="122"/>
      <c r="HH54" s="122"/>
      <c r="HI54" s="122"/>
      <c r="HJ54" s="122"/>
      <c r="HK54" s="122"/>
      <c r="HL54" s="122"/>
      <c r="HM54" s="122"/>
      <c r="HN54" s="122"/>
      <c r="HO54" s="122"/>
      <c r="HP54" s="122"/>
      <c r="HQ54" s="122"/>
      <c r="HR54" s="122"/>
      <c r="HS54" s="122"/>
      <c r="HT54" s="122"/>
      <c r="HU54" s="122"/>
      <c r="HV54" s="122"/>
      <c r="HW54" s="122"/>
      <c r="HX54" s="122"/>
      <c r="HY54" s="122"/>
      <c r="HZ54" s="122"/>
      <c r="IA54" s="122"/>
      <c r="IB54" s="122"/>
      <c r="IC54" s="122"/>
      <c r="ID54" s="122"/>
      <c r="IE54" s="122"/>
      <c r="IF54" s="122"/>
      <c r="IG54" s="122"/>
      <c r="IH54" s="122"/>
      <c r="II54" s="122"/>
      <c r="IJ54" s="122"/>
      <c r="IK54" s="122"/>
      <c r="IL54" s="122"/>
      <c r="IM54" s="122"/>
      <c r="IN54" s="122"/>
      <c r="IO54" s="122"/>
      <c r="IP54" s="122"/>
      <c r="IQ54" s="122"/>
      <c r="IR54" s="122"/>
      <c r="IS54" s="122"/>
      <c r="IT54" s="122"/>
      <c r="IU54" s="122"/>
    </row>
    <row r="994" ht="15">
      <c r="A994" s="151" t="s">
        <v>391</v>
      </c>
    </row>
  </sheetData>
  <sheetProtection/>
  <printOptions/>
  <pageMargins left="0.7" right="0.7" top="0.75" bottom="0.75" header="0.3" footer="0.3"/>
  <pageSetup orientation="portrait" paperSize="9"/>
  <drawing r:id="rId1"/>
</worksheet>
</file>

<file path=xl/worksheets/sheet18.xml><?xml version="1.0" encoding="utf-8"?>
<worksheet xmlns="http://schemas.openxmlformats.org/spreadsheetml/2006/main" xmlns:r="http://schemas.openxmlformats.org/officeDocument/2006/relationships">
  <dimension ref="A1:AO997"/>
  <sheetViews>
    <sheetView showGridLines="0" zoomScalePageLayoutView="0" workbookViewId="0" topLeftCell="A1">
      <selection activeCell="A1" sqref="A1"/>
    </sheetView>
  </sheetViews>
  <sheetFormatPr defaultColWidth="11.421875" defaultRowHeight="15"/>
  <cols>
    <col min="1" max="1" width="23.8515625" style="0" customWidth="1"/>
  </cols>
  <sheetData>
    <row r="1" spans="1:41" ht="18">
      <c r="A1" s="245" t="str">
        <f>HLOOKUP(INDICE!$F$2,Nombres!$C$3:$D$636,123,FALSE)</f>
        <v>Oficinas</v>
      </c>
      <c r="B1" s="152"/>
      <c r="C1" s="152"/>
      <c r="D1" s="153"/>
      <c r="E1" s="153"/>
      <c r="F1" s="153"/>
      <c r="G1" s="153"/>
      <c r="H1" s="153"/>
      <c r="I1" s="153"/>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row>
    <row r="2" spans="1:41" ht="33.75" customHeight="1">
      <c r="A2" s="154"/>
      <c r="B2" s="99">
        <f>+España!B32</f>
        <v>44651</v>
      </c>
      <c r="C2" s="99">
        <f>+España!C32</f>
        <v>44742</v>
      </c>
      <c r="D2" s="99">
        <f>+España!D32</f>
        <v>44834</v>
      </c>
      <c r="E2" s="99">
        <f>+España!E32</f>
        <v>44926</v>
      </c>
      <c r="F2" s="99">
        <f>+España!F32</f>
        <v>45016</v>
      </c>
      <c r="G2" s="99">
        <f>+España!G32</f>
        <v>45107</v>
      </c>
      <c r="H2" s="99">
        <f>+España!H32</f>
        <v>45199</v>
      </c>
      <c r="I2" s="99">
        <f>+España!I32</f>
        <v>45291</v>
      </c>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1:41" ht="15">
      <c r="A3" s="246" t="str">
        <f>HLOOKUP(INDICE!$F$2,Nombres!$C$3:$D$636,7,FALSE)</f>
        <v>España</v>
      </c>
      <c r="B3" s="41">
        <v>1886</v>
      </c>
      <c r="C3" s="41">
        <v>1886</v>
      </c>
      <c r="D3" s="41">
        <v>1886</v>
      </c>
      <c r="E3" s="41">
        <v>1886</v>
      </c>
      <c r="F3" s="41">
        <v>1883</v>
      </c>
      <c r="G3" s="41">
        <v>1883</v>
      </c>
      <c r="H3" s="41">
        <v>1883</v>
      </c>
      <c r="I3" s="41">
        <v>1882</v>
      </c>
      <c r="J3" s="54"/>
      <c r="K3" s="31"/>
      <c r="L3" s="115"/>
      <c r="M3" s="115"/>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row>
    <row r="4" spans="1:41" ht="15">
      <c r="A4" s="246" t="str">
        <f>HLOOKUP(INDICE!$F$2,Nombres!$C$3:$D$636,11,FALSE)</f>
        <v>México</v>
      </c>
      <c r="B4" s="41">
        <v>1722</v>
      </c>
      <c r="C4" s="41">
        <v>1726</v>
      </c>
      <c r="D4" s="41">
        <v>1727</v>
      </c>
      <c r="E4" s="41">
        <v>1733</v>
      </c>
      <c r="F4" s="41">
        <v>1735</v>
      </c>
      <c r="G4" s="41">
        <v>1736</v>
      </c>
      <c r="H4" s="41">
        <v>1740</v>
      </c>
      <c r="I4" s="41">
        <v>1706</v>
      </c>
      <c r="J4" s="54"/>
      <c r="K4" s="31"/>
      <c r="L4" s="115"/>
      <c r="M4" s="115"/>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row>
    <row r="5" spans="1:41" ht="15">
      <c r="A5" s="246" t="str">
        <f>HLOOKUP(INDICE!$F$2,Nombres!$C$3:$D$636,12,FALSE)</f>
        <v>Turquía </v>
      </c>
      <c r="B5" s="41">
        <v>1003</v>
      </c>
      <c r="C5" s="41">
        <v>992</v>
      </c>
      <c r="D5" s="41">
        <v>984</v>
      </c>
      <c r="E5" s="41">
        <v>972</v>
      </c>
      <c r="F5" s="41">
        <v>969</v>
      </c>
      <c r="G5" s="41">
        <v>958</v>
      </c>
      <c r="H5" s="41">
        <v>956</v>
      </c>
      <c r="I5" s="41">
        <v>935</v>
      </c>
      <c r="J5" s="54"/>
      <c r="K5" s="31"/>
      <c r="L5" s="115"/>
      <c r="M5" s="115"/>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row>
    <row r="6" spans="1:41" ht="15">
      <c r="A6" s="246" t="str">
        <f>HLOOKUP(INDICE!$F$2,Nombres!$C$3:$D$636,13,FALSE)</f>
        <v>América del Sur </v>
      </c>
      <c r="B6" s="41">
        <v>1428</v>
      </c>
      <c r="C6" s="41">
        <v>1427</v>
      </c>
      <c r="D6" s="41">
        <v>1422</v>
      </c>
      <c r="E6" s="41">
        <v>1418</v>
      </c>
      <c r="F6" s="41">
        <v>1433</v>
      </c>
      <c r="G6" s="41">
        <v>1400</v>
      </c>
      <c r="H6" s="41">
        <v>1407</v>
      </c>
      <c r="I6" s="41">
        <v>1395</v>
      </c>
      <c r="J6" s="54"/>
      <c r="K6" s="31"/>
      <c r="L6" s="115"/>
      <c r="M6" s="115"/>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row>
    <row r="7" spans="1:41" ht="15">
      <c r="A7" s="155" t="str">
        <f>HLOOKUP(INDICE!$F$2,Nombres!$C$3:$D$636,14,FALSE)</f>
        <v>Argentina</v>
      </c>
      <c r="B7" s="247">
        <v>243</v>
      </c>
      <c r="C7" s="247">
        <v>243</v>
      </c>
      <c r="D7" s="247">
        <v>243</v>
      </c>
      <c r="E7" s="247">
        <v>243</v>
      </c>
      <c r="F7" s="247">
        <v>243</v>
      </c>
      <c r="G7" s="247">
        <v>243</v>
      </c>
      <c r="H7" s="247">
        <v>243</v>
      </c>
      <c r="I7" s="247">
        <v>243</v>
      </c>
      <c r="J7" s="54"/>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row>
    <row r="8" spans="1:41" ht="15">
      <c r="A8" s="155" t="str">
        <f>HLOOKUP(INDICE!$F$2,Nombres!$C$3:$D$636,15,FALSE)</f>
        <v>Chile</v>
      </c>
      <c r="B8" s="44">
        <v>10</v>
      </c>
      <c r="C8" s="44">
        <v>11</v>
      </c>
      <c r="D8" s="44">
        <v>11</v>
      </c>
      <c r="E8" s="44">
        <v>10</v>
      </c>
      <c r="F8" s="44">
        <v>10</v>
      </c>
      <c r="G8" s="44">
        <v>10</v>
      </c>
      <c r="H8" s="44">
        <v>10</v>
      </c>
      <c r="I8" s="44">
        <v>10</v>
      </c>
      <c r="J8" s="54"/>
      <c r="K8" s="31"/>
      <c r="L8" s="115"/>
      <c r="M8" s="115"/>
      <c r="N8" s="259"/>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row>
    <row r="9" spans="1:41" ht="15">
      <c r="A9" s="248" t="str">
        <f>HLOOKUP(INDICE!$F$2,Nombres!$C$3:$D$636,16,FALSE)</f>
        <v>Colombia</v>
      </c>
      <c r="B9" s="44">
        <v>517</v>
      </c>
      <c r="C9" s="44">
        <v>517</v>
      </c>
      <c r="D9" s="44">
        <v>512</v>
      </c>
      <c r="E9" s="44">
        <v>513</v>
      </c>
      <c r="F9" s="44">
        <v>528</v>
      </c>
      <c r="G9" s="44">
        <v>508</v>
      </c>
      <c r="H9" s="44">
        <v>521</v>
      </c>
      <c r="I9" s="44">
        <v>514</v>
      </c>
      <c r="J9" s="54"/>
      <c r="K9" s="31"/>
      <c r="L9" s="115"/>
      <c r="M9" s="115"/>
      <c r="N9" s="259"/>
      <c r="O9" s="31"/>
      <c r="P9" s="31"/>
      <c r="Q9" s="31"/>
      <c r="R9" s="31"/>
      <c r="S9" s="31"/>
      <c r="T9" s="31"/>
      <c r="U9" s="31"/>
      <c r="V9" s="31"/>
      <c r="W9" s="31"/>
      <c r="X9" s="31"/>
      <c r="Y9" s="31"/>
      <c r="Z9" s="31"/>
      <c r="AA9" s="31"/>
      <c r="AB9" s="31"/>
      <c r="AC9" s="31"/>
      <c r="AD9" s="31"/>
      <c r="AE9" s="31"/>
      <c r="AF9" s="31"/>
      <c r="AG9" s="31"/>
      <c r="AH9" s="31"/>
      <c r="AI9" s="31"/>
      <c r="AJ9" s="31"/>
      <c r="AK9" s="31"/>
      <c r="AL9" s="31"/>
      <c r="AM9" s="31"/>
      <c r="AN9" s="31"/>
      <c r="AO9" s="31"/>
    </row>
    <row r="10" spans="1:41" ht="15">
      <c r="A10" s="248" t="str">
        <f>HLOOKUP(INDICE!$F$2,Nombres!$C$3:$D$636,17,FALSE)</f>
        <v>Perú</v>
      </c>
      <c r="B10" s="44">
        <v>315</v>
      </c>
      <c r="C10" s="44">
        <v>314</v>
      </c>
      <c r="D10" s="44">
        <v>314</v>
      </c>
      <c r="E10" s="44">
        <v>314</v>
      </c>
      <c r="F10" s="44">
        <v>314</v>
      </c>
      <c r="G10" s="44">
        <v>308</v>
      </c>
      <c r="H10" s="44">
        <v>305</v>
      </c>
      <c r="I10" s="44">
        <v>305</v>
      </c>
      <c r="J10" s="54"/>
      <c r="K10" s="115"/>
      <c r="L10" s="115"/>
      <c r="M10" s="115"/>
      <c r="N10" s="259"/>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ht="15">
      <c r="A11" s="248" t="str">
        <f>HLOOKUP(INDICE!$F$2,Nombres!$C$3:$D$636,89,FALSE)</f>
        <v>Resto de América del Sur</v>
      </c>
      <c r="B11" s="44">
        <v>343</v>
      </c>
      <c r="C11" s="44">
        <v>342</v>
      </c>
      <c r="D11" s="44">
        <v>342</v>
      </c>
      <c r="E11" s="44">
        <v>338</v>
      </c>
      <c r="F11" s="44">
        <v>338</v>
      </c>
      <c r="G11" s="44">
        <v>331</v>
      </c>
      <c r="H11" s="44">
        <v>328</v>
      </c>
      <c r="I11" s="44">
        <v>323</v>
      </c>
      <c r="J11" s="54"/>
      <c r="K11" s="115"/>
      <c r="L11" s="115"/>
      <c r="M11" s="115"/>
      <c r="N11" s="259"/>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ht="15">
      <c r="A12" s="246" t="str">
        <f>HLOOKUP(INDICE!$F$2,Nombres!$C$3:$D$636,279,FALSE)</f>
        <v>Resto de geografías</v>
      </c>
      <c r="B12" s="41">
        <v>32</v>
      </c>
      <c r="C12" s="41">
        <v>31</v>
      </c>
      <c r="D12" s="41">
        <v>31</v>
      </c>
      <c r="E12" s="41">
        <v>31</v>
      </c>
      <c r="F12" s="41">
        <v>31</v>
      </c>
      <c r="G12" s="41">
        <v>31</v>
      </c>
      <c r="H12" s="41">
        <v>31</v>
      </c>
      <c r="I12" s="41">
        <v>31</v>
      </c>
      <c r="J12" s="54"/>
      <c r="K12" s="115"/>
      <c r="L12" s="115"/>
      <c r="M12" s="115"/>
      <c r="N12" s="259"/>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row>
    <row r="13" spans="1:41" ht="15">
      <c r="A13" s="246" t="s">
        <v>5</v>
      </c>
      <c r="B13" s="41">
        <f aca="true" t="shared" si="0" ref="B13:I13">+SUM(B3:B5,B7:B12)</f>
        <v>6071</v>
      </c>
      <c r="C13" s="41">
        <f t="shared" si="0"/>
        <v>6062</v>
      </c>
      <c r="D13" s="41">
        <f t="shared" si="0"/>
        <v>6050</v>
      </c>
      <c r="E13" s="41">
        <f t="shared" si="0"/>
        <v>6040</v>
      </c>
      <c r="F13" s="41">
        <f t="shared" si="0"/>
        <v>6051</v>
      </c>
      <c r="G13" s="41">
        <f t="shared" si="0"/>
        <v>6008</v>
      </c>
      <c r="H13" s="41">
        <f t="shared" si="0"/>
        <v>6017</v>
      </c>
      <c r="I13" s="41">
        <f t="shared" si="0"/>
        <v>5949</v>
      </c>
      <c r="J13" s="54"/>
      <c r="K13" s="115"/>
      <c r="L13" s="115"/>
      <c r="M13" s="115"/>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M13" s="31"/>
      <c r="AN13" s="31"/>
      <c r="AO13" s="31"/>
    </row>
    <row r="14" spans="1:41" ht="15">
      <c r="A14" s="156"/>
      <c r="B14" s="157">
        <v>0</v>
      </c>
      <c r="C14" s="157">
        <v>0</v>
      </c>
      <c r="D14" s="157">
        <v>0</v>
      </c>
      <c r="E14" s="157">
        <v>0</v>
      </c>
      <c r="F14" s="157">
        <v>0</v>
      </c>
      <c r="G14" s="157">
        <v>0</v>
      </c>
      <c r="H14" s="157">
        <v>0</v>
      </c>
      <c r="I14" s="157">
        <v>0</v>
      </c>
      <c r="J14" s="54"/>
      <c r="K14" s="115"/>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row>
    <row r="15" spans="1:41" ht="15">
      <c r="A15" s="156"/>
      <c r="B15" s="157"/>
      <c r="C15" s="157"/>
      <c r="D15" s="157"/>
      <c r="E15" s="157"/>
      <c r="F15" s="157"/>
      <c r="G15" s="157"/>
      <c r="H15" s="157"/>
      <c r="I15" s="157"/>
      <c r="J15" s="31"/>
      <c r="K15" s="115"/>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row>
    <row r="16" spans="1:41" ht="18">
      <c r="A16" s="245" t="str">
        <f>HLOOKUP(INDICE!$F$2,Nombres!$C$3:$D$636,124,FALSE)</f>
        <v>Empleados</v>
      </c>
      <c r="B16" s="152"/>
      <c r="C16" s="152"/>
      <c r="D16" s="153"/>
      <c r="E16" s="153"/>
      <c r="F16" s="153"/>
      <c r="G16" s="153"/>
      <c r="H16" s="153"/>
      <c r="I16" s="153"/>
      <c r="J16" s="31"/>
      <c r="K16" s="115"/>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row>
    <row r="17" spans="1:41" ht="15.75">
      <c r="A17" s="154"/>
      <c r="B17" s="99">
        <f aca="true" t="shared" si="1" ref="B17:I17">+B$2</f>
        <v>44651</v>
      </c>
      <c r="C17" s="99">
        <f t="shared" si="1"/>
        <v>44742</v>
      </c>
      <c r="D17" s="99">
        <f t="shared" si="1"/>
        <v>44834</v>
      </c>
      <c r="E17" s="99">
        <f t="shared" si="1"/>
        <v>44926</v>
      </c>
      <c r="F17" s="99">
        <f t="shared" si="1"/>
        <v>45016</v>
      </c>
      <c r="G17" s="99">
        <f t="shared" si="1"/>
        <v>45107</v>
      </c>
      <c r="H17" s="99">
        <f t="shared" si="1"/>
        <v>45199</v>
      </c>
      <c r="I17" s="99">
        <f t="shared" si="1"/>
        <v>45291</v>
      </c>
      <c r="J17" s="158"/>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1"/>
      <c r="AK17" s="31"/>
      <c r="AL17" s="31"/>
      <c r="AM17" s="31"/>
      <c r="AN17" s="31"/>
      <c r="AO17" s="31"/>
    </row>
    <row r="18" spans="1:41" ht="33.75" customHeight="1">
      <c r="A18" s="246" t="str">
        <f>HLOOKUP(INDICE!$F$2,Nombres!$C$3:$D$636,7,FALSE)</f>
        <v>España</v>
      </c>
      <c r="B18" s="41">
        <v>24797</v>
      </c>
      <c r="C18" s="41">
        <v>24995</v>
      </c>
      <c r="D18" s="41">
        <v>25676</v>
      </c>
      <c r="E18" s="41">
        <v>25945</v>
      </c>
      <c r="F18" s="41">
        <v>26380</v>
      </c>
      <c r="G18" s="41">
        <v>26764</v>
      </c>
      <c r="H18" s="41">
        <v>27080</v>
      </c>
      <c r="I18" s="41">
        <v>27410</v>
      </c>
      <c r="J18" s="158"/>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c r="AL18" s="31"/>
      <c r="AM18" s="31"/>
      <c r="AN18" s="31"/>
      <c r="AO18" s="31"/>
    </row>
    <row r="19" spans="1:41" ht="15">
      <c r="A19" s="246" t="str">
        <f>HLOOKUP(INDICE!$F$2,Nombres!$C$3:$D$636,11,FALSE)</f>
        <v>México</v>
      </c>
      <c r="B19" s="41">
        <v>41139</v>
      </c>
      <c r="C19" s="41">
        <v>41477</v>
      </c>
      <c r="D19" s="41">
        <v>42362</v>
      </c>
      <c r="E19" s="41">
        <v>43511</v>
      </c>
      <c r="F19" s="41">
        <v>44158</v>
      </c>
      <c r="G19" s="41">
        <v>45515</v>
      </c>
      <c r="H19" s="41">
        <v>46328</v>
      </c>
      <c r="I19" s="41">
        <v>46891</v>
      </c>
      <c r="J19" s="115"/>
      <c r="K19" s="41"/>
      <c r="L19" s="31"/>
      <c r="M19" s="54"/>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row>
    <row r="20" spans="1:41" ht="15">
      <c r="A20" s="246" t="str">
        <f>HLOOKUP(INDICE!$F$2,Nombres!$C$3:$D$636,12,FALSE)</f>
        <v>Turquía </v>
      </c>
      <c r="B20" s="41">
        <v>21680</v>
      </c>
      <c r="C20" s="41">
        <v>21917</v>
      </c>
      <c r="D20" s="41">
        <v>21916</v>
      </c>
      <c r="E20" s="41">
        <v>21684</v>
      </c>
      <c r="F20" s="41">
        <v>21610</v>
      </c>
      <c r="G20" s="41">
        <v>21775</v>
      </c>
      <c r="H20" s="41">
        <v>21970</v>
      </c>
      <c r="I20" s="41">
        <v>22016</v>
      </c>
      <c r="J20" s="115"/>
      <c r="K20" s="41"/>
      <c r="L20" s="31"/>
      <c r="M20" s="54"/>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row>
    <row r="21" spans="1:41" ht="15">
      <c r="A21" s="246" t="str">
        <f>HLOOKUP(INDICE!$F$2,Nombres!$C$3:$D$636,13,FALSE)</f>
        <v>América del Sur </v>
      </c>
      <c r="B21" s="41">
        <v>22472</v>
      </c>
      <c r="C21" s="41">
        <v>22771</v>
      </c>
      <c r="D21" s="41">
        <v>22994</v>
      </c>
      <c r="E21" s="41">
        <v>23149</v>
      </c>
      <c r="F21" s="41">
        <v>23361</v>
      </c>
      <c r="G21" s="41">
        <v>23588</v>
      </c>
      <c r="H21" s="41">
        <v>23624</v>
      </c>
      <c r="I21" s="41">
        <v>23679</v>
      </c>
      <c r="J21" s="115"/>
      <c r="K21" s="41"/>
      <c r="L21" s="31"/>
      <c r="M21" s="54"/>
      <c r="N21" s="31"/>
      <c r="O21" s="31"/>
      <c r="P21" s="31"/>
      <c r="Q21" s="31"/>
      <c r="R21" s="31"/>
      <c r="S21" s="31"/>
      <c r="T21" s="31"/>
      <c r="U21" s="31"/>
      <c r="V21" s="31"/>
      <c r="W21" s="31"/>
      <c r="X21" s="31"/>
      <c r="Y21" s="31"/>
      <c r="Z21" s="31"/>
      <c r="AA21" s="31"/>
      <c r="AB21" s="31"/>
      <c r="AC21" s="31"/>
      <c r="AD21" s="31"/>
      <c r="AE21" s="31"/>
      <c r="AF21" s="31"/>
      <c r="AG21" s="31"/>
      <c r="AH21" s="31"/>
      <c r="AI21" s="31"/>
      <c r="AJ21" s="31"/>
      <c r="AK21" s="31"/>
      <c r="AL21" s="31"/>
      <c r="AM21" s="31"/>
      <c r="AN21" s="31"/>
      <c r="AO21" s="31"/>
    </row>
    <row r="22" spans="1:41" ht="15">
      <c r="A22" s="155" t="str">
        <f>HLOOKUP(INDICE!$F$2,Nombres!$C$3:$D$636,14,FALSE)</f>
        <v>Argentina</v>
      </c>
      <c r="B22" s="44">
        <v>5847</v>
      </c>
      <c r="C22" s="44">
        <v>5815</v>
      </c>
      <c r="D22" s="44">
        <v>5849</v>
      </c>
      <c r="E22" s="44">
        <v>5869</v>
      </c>
      <c r="F22" s="44">
        <v>5916</v>
      </c>
      <c r="G22" s="44">
        <v>5970</v>
      </c>
      <c r="H22" s="44">
        <v>6000</v>
      </c>
      <c r="I22" s="44">
        <v>5996</v>
      </c>
      <c r="J22" s="115"/>
      <c r="K22" s="41"/>
      <c r="L22" s="31"/>
      <c r="M22" s="54"/>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row>
    <row r="23" spans="1:41" ht="15">
      <c r="A23" s="155" t="str">
        <f>HLOOKUP(INDICE!$F$2,Nombres!$C$3:$D$636,15,FALSE)</f>
        <v>Chile</v>
      </c>
      <c r="B23" s="44">
        <v>722</v>
      </c>
      <c r="C23" s="44">
        <v>747</v>
      </c>
      <c r="D23" s="44">
        <v>779</v>
      </c>
      <c r="E23" s="44">
        <v>767</v>
      </c>
      <c r="F23" s="44">
        <v>784</v>
      </c>
      <c r="G23" s="44">
        <v>784</v>
      </c>
      <c r="H23" s="44">
        <v>790</v>
      </c>
      <c r="I23" s="44">
        <v>786</v>
      </c>
      <c r="J23" s="54"/>
      <c r="K23" s="44"/>
      <c r="L23" s="31"/>
      <c r="M23" s="54"/>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row>
    <row r="24" spans="1:41" ht="15">
      <c r="A24" s="248" t="str">
        <f>HLOOKUP(INDICE!$F$2,Nombres!$C$3:$D$636,16,FALSE)</f>
        <v>Colombia</v>
      </c>
      <c r="B24" s="44">
        <v>6826</v>
      </c>
      <c r="C24" s="44">
        <v>6950</v>
      </c>
      <c r="D24" s="44">
        <v>6871</v>
      </c>
      <c r="E24" s="44">
        <v>6678</v>
      </c>
      <c r="F24" s="44">
        <v>6727</v>
      </c>
      <c r="G24" s="44">
        <v>6735</v>
      </c>
      <c r="H24" s="44">
        <v>6774</v>
      </c>
      <c r="I24" s="44">
        <v>6830</v>
      </c>
      <c r="J24" s="54"/>
      <c r="K24" s="44"/>
      <c r="L24" s="115"/>
      <c r="M24" s="54"/>
      <c r="N24" s="260"/>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row>
    <row r="25" spans="1:41" ht="15">
      <c r="A25" s="248" t="str">
        <f>HLOOKUP(INDICE!$F$2,Nombres!$C$3:$D$636,17,FALSE)</f>
        <v>Perú</v>
      </c>
      <c r="B25" s="44">
        <v>6290</v>
      </c>
      <c r="C25" s="44">
        <v>6514</v>
      </c>
      <c r="D25" s="44">
        <v>6696</v>
      </c>
      <c r="E25" s="44">
        <v>6985</v>
      </c>
      <c r="F25" s="44">
        <v>7098</v>
      </c>
      <c r="G25" s="44">
        <v>7286</v>
      </c>
      <c r="H25" s="44">
        <v>7555</v>
      </c>
      <c r="I25" s="44">
        <v>7547</v>
      </c>
      <c r="J25" s="54"/>
      <c r="K25" s="44"/>
      <c r="L25" s="115"/>
      <c r="M25" s="54"/>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row>
    <row r="26" spans="1:41" ht="15">
      <c r="A26" s="248" t="str">
        <f>HLOOKUP(INDICE!$F$2,Nombres!$C$3:$D$636,89,FALSE)</f>
        <v>Resto de América del Sur</v>
      </c>
      <c r="B26" s="44">
        <v>2787</v>
      </c>
      <c r="C26" s="44">
        <v>2745</v>
      </c>
      <c r="D26" s="44">
        <v>2799</v>
      </c>
      <c r="E26" s="44">
        <v>2850</v>
      </c>
      <c r="F26" s="44">
        <v>2836</v>
      </c>
      <c r="G26" s="44">
        <v>2813</v>
      </c>
      <c r="H26" s="44">
        <v>2505</v>
      </c>
      <c r="I26" s="44">
        <v>2520</v>
      </c>
      <c r="J26" s="54"/>
      <c r="K26" s="44"/>
      <c r="L26" s="115"/>
      <c r="M26" s="54"/>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27" spans="1:41" ht="15">
      <c r="A27" s="246" t="str">
        <f>HLOOKUP(INDICE!$F$2,Nombres!$C$3:$D$636,279,FALSE)</f>
        <v>Resto de geografías</v>
      </c>
      <c r="B27" s="41">
        <v>1314</v>
      </c>
      <c r="C27" s="41">
        <v>1305</v>
      </c>
      <c r="D27" s="41">
        <v>1363</v>
      </c>
      <c r="E27" s="41">
        <v>1386</v>
      </c>
      <c r="F27" s="41">
        <v>1414</v>
      </c>
      <c r="G27" s="41">
        <v>1428</v>
      </c>
      <c r="H27" s="41">
        <v>1455</v>
      </c>
      <c r="I27" s="41">
        <v>1490</v>
      </c>
      <c r="J27" s="54"/>
      <c r="K27" s="44"/>
      <c r="L27" s="115"/>
      <c r="M27" s="54"/>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row>
    <row r="28" spans="1:41" ht="15">
      <c r="A28" s="246" t="s">
        <v>5</v>
      </c>
      <c r="B28" s="41">
        <f aca="true" t="shared" si="2" ref="B28:I28">+SUM(B18:B20,B22:B27)</f>
        <v>111402</v>
      </c>
      <c r="C28" s="41">
        <f t="shared" si="2"/>
        <v>112465</v>
      </c>
      <c r="D28" s="41">
        <f t="shared" si="2"/>
        <v>114311</v>
      </c>
      <c r="E28" s="41">
        <f t="shared" si="2"/>
        <v>115675</v>
      </c>
      <c r="F28" s="41">
        <f t="shared" si="2"/>
        <v>116923</v>
      </c>
      <c r="G28" s="41">
        <f t="shared" si="2"/>
        <v>119070</v>
      </c>
      <c r="H28" s="41">
        <f t="shared" si="2"/>
        <v>120457</v>
      </c>
      <c r="I28" s="41">
        <f t="shared" si="2"/>
        <v>121486</v>
      </c>
      <c r="J28" s="54"/>
      <c r="K28" s="44"/>
      <c r="L28" s="115"/>
      <c r="M28" s="54"/>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row>
    <row r="29" spans="1:41" ht="15">
      <c r="A29" s="156"/>
      <c r="B29" s="157">
        <v>0</v>
      </c>
      <c r="C29" s="157">
        <v>0</v>
      </c>
      <c r="D29" s="157">
        <v>0</v>
      </c>
      <c r="E29" s="157">
        <v>0</v>
      </c>
      <c r="F29" s="157">
        <v>0</v>
      </c>
      <c r="G29" s="157">
        <v>0</v>
      </c>
      <c r="H29" s="157">
        <v>0</v>
      </c>
      <c r="I29" s="157">
        <v>0</v>
      </c>
      <c r="J29" s="115"/>
      <c r="K29" s="44"/>
      <c r="L29" s="31"/>
      <c r="M29" s="54"/>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row>
    <row r="30" spans="1:41" ht="15">
      <c r="A30" s="156"/>
      <c r="B30" s="157"/>
      <c r="C30" s="157"/>
      <c r="D30" s="157"/>
      <c r="E30" s="157"/>
      <c r="F30" s="157"/>
      <c r="G30" s="157"/>
      <c r="H30" s="157"/>
      <c r="I30" s="157"/>
      <c r="J30" s="54"/>
      <c r="K30" s="31"/>
      <c r="L30" s="31"/>
      <c r="M30" s="54"/>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row>
    <row r="31" spans="1:41" ht="18">
      <c r="A31" s="245" t="str">
        <f>HLOOKUP(INDICE!$F$2,Nombres!$C$3:$D$636,125,FALSE)</f>
        <v>Cajeros automáticos</v>
      </c>
      <c r="B31" s="152"/>
      <c r="C31" s="152"/>
      <c r="D31" s="153"/>
      <c r="E31" s="153"/>
      <c r="F31" s="153"/>
      <c r="G31" s="153"/>
      <c r="H31" s="153"/>
      <c r="I31" s="153"/>
      <c r="J31" s="31"/>
      <c r="K31" s="31"/>
      <c r="L31" s="31"/>
      <c r="M31" s="31"/>
      <c r="N31" s="31"/>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row>
    <row r="32" spans="1:41" ht="15.75">
      <c r="A32" s="141"/>
      <c r="B32" s="99">
        <f aca="true" t="shared" si="3" ref="B32:I32">+B$2</f>
        <v>44651</v>
      </c>
      <c r="C32" s="99">
        <f t="shared" si="3"/>
        <v>44742</v>
      </c>
      <c r="D32" s="99">
        <f t="shared" si="3"/>
        <v>44834</v>
      </c>
      <c r="E32" s="99">
        <f t="shared" si="3"/>
        <v>44926</v>
      </c>
      <c r="F32" s="99">
        <f t="shared" si="3"/>
        <v>45016</v>
      </c>
      <c r="G32" s="99">
        <f t="shared" si="3"/>
        <v>45107</v>
      </c>
      <c r="H32" s="99">
        <f t="shared" si="3"/>
        <v>45199</v>
      </c>
      <c r="I32" s="99">
        <f t="shared" si="3"/>
        <v>45291</v>
      </c>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row>
    <row r="33" spans="1:41" ht="15">
      <c r="A33" s="246" t="str">
        <f>HLOOKUP(INDICE!$F$2,Nombres!$C$3:$D$636,7,FALSE)</f>
        <v>España</v>
      </c>
      <c r="B33" s="41">
        <v>4890</v>
      </c>
      <c r="C33" s="41">
        <v>4870</v>
      </c>
      <c r="D33" s="41">
        <v>4851</v>
      </c>
      <c r="E33" s="41">
        <v>4773</v>
      </c>
      <c r="F33" s="41">
        <v>4754</v>
      </c>
      <c r="G33" s="41">
        <v>4732</v>
      </c>
      <c r="H33" s="41">
        <v>4727</v>
      </c>
      <c r="I33" s="41">
        <v>4720</v>
      </c>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row>
    <row r="34" spans="1:41" ht="30" customHeight="1">
      <c r="A34" s="246" t="str">
        <f>HLOOKUP(INDICE!$F$2,Nombres!$C$3:$D$636,11,FALSE)</f>
        <v>México</v>
      </c>
      <c r="B34" s="41">
        <v>13558</v>
      </c>
      <c r="C34" s="41">
        <v>13672</v>
      </c>
      <c r="D34" s="41">
        <v>13783</v>
      </c>
      <c r="E34" s="41">
        <v>14019</v>
      </c>
      <c r="F34" s="41">
        <v>14160</v>
      </c>
      <c r="G34" s="41">
        <v>14232</v>
      </c>
      <c r="H34" s="41">
        <v>14417</v>
      </c>
      <c r="I34" s="41">
        <v>14500</v>
      </c>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row>
    <row r="35" spans="1:41" ht="15">
      <c r="A35" s="246" t="str">
        <f>HLOOKUP(INDICE!$F$2,Nombres!$C$3:$D$636,12,FALSE)</f>
        <v>Turquía </v>
      </c>
      <c r="B35" s="41">
        <v>5606</v>
      </c>
      <c r="C35" s="41">
        <v>5632</v>
      </c>
      <c r="D35" s="41">
        <v>5651</v>
      </c>
      <c r="E35" s="41">
        <v>5659</v>
      </c>
      <c r="F35" s="41">
        <v>5606</v>
      </c>
      <c r="G35" s="41">
        <v>5593</v>
      </c>
      <c r="H35" s="41">
        <v>5579</v>
      </c>
      <c r="I35" s="41">
        <v>5718</v>
      </c>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1"/>
    </row>
    <row r="36" spans="1:41" ht="15">
      <c r="A36" s="246" t="str">
        <f>HLOOKUP(INDICE!$F$2,Nombres!$C$3:$D$636,13,FALSE)</f>
        <v>América del Sur </v>
      </c>
      <c r="B36" s="41">
        <v>5302</v>
      </c>
      <c r="C36" s="41">
        <v>5307</v>
      </c>
      <c r="D36" s="41">
        <v>5314</v>
      </c>
      <c r="E36" s="41">
        <v>5334</v>
      </c>
      <c r="F36" s="41">
        <v>5340</v>
      </c>
      <c r="G36" s="41">
        <v>5312</v>
      </c>
      <c r="H36" s="41">
        <v>5313</v>
      </c>
      <c r="I36" s="41">
        <v>5341</v>
      </c>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1"/>
      <c r="AM36" s="31"/>
      <c r="AN36" s="31"/>
      <c r="AO36" s="31"/>
    </row>
    <row r="37" spans="1:41" ht="15">
      <c r="A37" s="155" t="str">
        <f>HLOOKUP(INDICE!$F$2,Nombres!$C$3:$D$636,14,FALSE)</f>
        <v>Argentina</v>
      </c>
      <c r="B37" s="44">
        <v>1708</v>
      </c>
      <c r="C37" s="44">
        <v>1707</v>
      </c>
      <c r="D37" s="44">
        <v>1704</v>
      </c>
      <c r="E37" s="44">
        <v>1703</v>
      </c>
      <c r="F37" s="44">
        <v>1703</v>
      </c>
      <c r="G37" s="44">
        <v>1700</v>
      </c>
      <c r="H37" s="44">
        <v>1697</v>
      </c>
      <c r="I37" s="44">
        <v>1697</v>
      </c>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row>
    <row r="38" spans="1:41" ht="15">
      <c r="A38" s="155" t="str">
        <f>HLOOKUP(INDICE!$F$2,Nombres!$C$3:$D$636,15,FALSE)</f>
        <v>Chile</v>
      </c>
      <c r="B38" s="44">
        <v>0</v>
      </c>
      <c r="C38" s="44">
        <v>0</v>
      </c>
      <c r="D38" s="44">
        <v>0</v>
      </c>
      <c r="E38" s="44">
        <v>0</v>
      </c>
      <c r="F38" s="44">
        <v>0</v>
      </c>
      <c r="G38" s="44">
        <v>0</v>
      </c>
      <c r="H38" s="44">
        <v>0</v>
      </c>
      <c r="I38" s="44">
        <v>0</v>
      </c>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row>
    <row r="39" spans="1:41" ht="15">
      <c r="A39" s="248" t="str">
        <f>HLOOKUP(INDICE!$F$2,Nombres!$C$3:$D$636,16,FALSE)</f>
        <v>Colombia</v>
      </c>
      <c r="B39" s="44">
        <v>1451</v>
      </c>
      <c r="C39" s="44">
        <v>1457</v>
      </c>
      <c r="D39" s="44">
        <v>1485</v>
      </c>
      <c r="E39" s="44">
        <v>1495</v>
      </c>
      <c r="F39" s="44">
        <v>1493</v>
      </c>
      <c r="G39" s="44">
        <v>1483</v>
      </c>
      <c r="H39" s="44">
        <v>1482</v>
      </c>
      <c r="I39" s="44">
        <v>1485</v>
      </c>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row>
    <row r="40" spans="1:41" ht="15">
      <c r="A40" s="248" t="str">
        <f>HLOOKUP(INDICE!$F$2,Nombres!$C$3:$D$636,17,FALSE)</f>
        <v>Perú</v>
      </c>
      <c r="B40" s="44">
        <v>1916</v>
      </c>
      <c r="C40" s="44">
        <v>1916</v>
      </c>
      <c r="D40" s="44">
        <v>1898</v>
      </c>
      <c r="E40" s="44">
        <v>1909</v>
      </c>
      <c r="F40" s="44">
        <v>1918</v>
      </c>
      <c r="G40" s="44">
        <v>1914</v>
      </c>
      <c r="H40" s="44">
        <v>1919</v>
      </c>
      <c r="I40" s="44">
        <v>1950</v>
      </c>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row>
    <row r="41" spans="1:41" ht="15">
      <c r="A41" s="248" t="str">
        <f>HLOOKUP(INDICE!$F$2,Nombres!$C$3:$D$636,89,FALSE)</f>
        <v>Resto de América del Sur</v>
      </c>
      <c r="B41" s="44">
        <v>227</v>
      </c>
      <c r="C41" s="44">
        <v>227</v>
      </c>
      <c r="D41" s="44">
        <v>227</v>
      </c>
      <c r="E41" s="44">
        <v>227</v>
      </c>
      <c r="F41" s="44">
        <v>226</v>
      </c>
      <c r="G41" s="44">
        <v>215</v>
      </c>
      <c r="H41" s="44">
        <v>215</v>
      </c>
      <c r="I41" s="44">
        <v>209</v>
      </c>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1"/>
      <c r="AM41" s="31"/>
      <c r="AN41" s="31"/>
      <c r="AO41" s="31"/>
    </row>
    <row r="42" spans="1:41" ht="15">
      <c r="A42" s="246" t="str">
        <f>HLOOKUP(INDICE!$F$2,Nombres!$C$3:$D$636,279,FALSE)</f>
        <v>Resto de geografías</v>
      </c>
      <c r="B42" s="41">
        <v>23</v>
      </c>
      <c r="C42" s="41">
        <v>23</v>
      </c>
      <c r="D42" s="41">
        <v>22</v>
      </c>
      <c r="E42" s="41">
        <v>22</v>
      </c>
      <c r="F42" s="41">
        <v>22</v>
      </c>
      <c r="G42" s="41">
        <v>22</v>
      </c>
      <c r="H42" s="41">
        <v>22</v>
      </c>
      <c r="I42" s="41">
        <v>22</v>
      </c>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row>
    <row r="43" spans="1:41" ht="15">
      <c r="A43" s="246" t="s">
        <v>5</v>
      </c>
      <c r="B43" s="41">
        <f aca="true" t="shared" si="4" ref="B43:I43">+SUM(B33:B35,B37:B42)</f>
        <v>29379</v>
      </c>
      <c r="C43" s="41">
        <f t="shared" si="4"/>
        <v>29504</v>
      </c>
      <c r="D43" s="41">
        <f t="shared" si="4"/>
        <v>29621</v>
      </c>
      <c r="E43" s="41">
        <f t="shared" si="4"/>
        <v>29807</v>
      </c>
      <c r="F43" s="41">
        <f t="shared" si="4"/>
        <v>29882</v>
      </c>
      <c r="G43" s="41">
        <f t="shared" si="4"/>
        <v>29891</v>
      </c>
      <c r="H43" s="41">
        <f t="shared" si="4"/>
        <v>30058</v>
      </c>
      <c r="I43" s="41">
        <f t="shared" si="4"/>
        <v>30301</v>
      </c>
      <c r="J43" s="31"/>
      <c r="K43" s="31"/>
      <c r="L43" s="158"/>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row>
    <row r="44" spans="1:41" ht="15">
      <c r="A44" s="97"/>
      <c r="B44" s="157">
        <v>0</v>
      </c>
      <c r="C44" s="157">
        <v>0</v>
      </c>
      <c r="D44" s="157">
        <v>0</v>
      </c>
      <c r="E44" s="157">
        <v>0</v>
      </c>
      <c r="F44" s="157">
        <v>0</v>
      </c>
      <c r="G44" s="157">
        <v>0</v>
      </c>
      <c r="H44" s="157">
        <v>0</v>
      </c>
      <c r="I44" s="157">
        <v>0</v>
      </c>
      <c r="J44" s="31"/>
      <c r="K44" s="31"/>
      <c r="L44" s="158"/>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row>
    <row r="45" spans="1:41" ht="15">
      <c r="A45" s="249"/>
      <c r="B45" s="97"/>
      <c r="C45" s="97"/>
      <c r="D45" s="97"/>
      <c r="E45" s="97"/>
      <c r="F45" s="97"/>
      <c r="G45" s="97"/>
      <c r="H45" s="97"/>
      <c r="I45" s="97"/>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row>
    <row r="46" spans="1:41" ht="15">
      <c r="A46" s="249"/>
      <c r="B46" s="97"/>
      <c r="C46" s="97"/>
      <c r="D46" s="97"/>
      <c r="E46" s="97"/>
      <c r="F46" s="97"/>
      <c r="G46" s="97"/>
      <c r="H46" s="97"/>
      <c r="I46" s="97"/>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row>
    <row r="47" spans="1:41" ht="15">
      <c r="A47" s="97"/>
      <c r="B47" s="97"/>
      <c r="C47" s="97"/>
      <c r="D47" s="97"/>
      <c r="E47" s="97"/>
      <c r="F47" s="97"/>
      <c r="G47" s="97"/>
      <c r="H47" s="97"/>
      <c r="I47" s="97"/>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row>
    <row r="48" spans="1:41" ht="15">
      <c r="A48" s="97"/>
      <c r="B48" s="97"/>
      <c r="C48" s="97"/>
      <c r="D48" s="97"/>
      <c r="E48" s="97"/>
      <c r="F48" s="97"/>
      <c r="G48" s="97"/>
      <c r="H48" s="97"/>
      <c r="I48" s="97"/>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row>
    <row r="49" spans="1:41" ht="15">
      <c r="A49" s="97"/>
      <c r="B49" s="97"/>
      <c r="C49" s="97"/>
      <c r="D49" s="97"/>
      <c r="E49" s="97"/>
      <c r="F49" s="97"/>
      <c r="G49" s="97"/>
      <c r="H49" s="97"/>
      <c r="I49" s="97"/>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row>
    <row r="50" spans="1:41" ht="15">
      <c r="A50" s="97"/>
      <c r="B50" s="97"/>
      <c r="C50" s="97"/>
      <c r="D50" s="97"/>
      <c r="E50" s="97"/>
      <c r="F50" s="97"/>
      <c r="G50" s="97"/>
      <c r="H50" s="97"/>
      <c r="I50" s="97"/>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row>
    <row r="51" spans="1:41" ht="15">
      <c r="A51" s="97"/>
      <c r="B51" s="97"/>
      <c r="C51" s="97"/>
      <c r="D51" s="97"/>
      <c r="E51" s="97"/>
      <c r="F51" s="97"/>
      <c r="G51" s="97"/>
      <c r="H51" s="97"/>
      <c r="I51" s="97"/>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row>
    <row r="52" spans="1:41" ht="15">
      <c r="A52" s="97"/>
      <c r="B52" s="97"/>
      <c r="C52" s="97"/>
      <c r="D52" s="97"/>
      <c r="E52" s="97"/>
      <c r="F52" s="97"/>
      <c r="G52" s="97"/>
      <c r="H52" s="97"/>
      <c r="I52" s="97"/>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row>
    <row r="53" spans="1:41" ht="15">
      <c r="A53" s="97"/>
      <c r="B53" s="97"/>
      <c r="C53" s="97"/>
      <c r="D53" s="97"/>
      <c r="E53" s="97"/>
      <c r="F53" s="97"/>
      <c r="G53" s="97"/>
      <c r="H53" s="97"/>
      <c r="I53" s="97"/>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row>
    <row r="54" spans="1:41" ht="15">
      <c r="A54" s="97"/>
      <c r="B54" s="97"/>
      <c r="C54" s="97"/>
      <c r="D54" s="97"/>
      <c r="E54" s="97"/>
      <c r="F54" s="97"/>
      <c r="G54" s="97"/>
      <c r="H54" s="97"/>
      <c r="I54" s="97"/>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row>
    <row r="55" spans="1:41" ht="15">
      <c r="A55" s="97"/>
      <c r="B55" s="97"/>
      <c r="C55" s="97"/>
      <c r="D55" s="97"/>
      <c r="E55" s="97"/>
      <c r="F55" s="97"/>
      <c r="G55" s="97"/>
      <c r="H55" s="97"/>
      <c r="I55" s="97"/>
      <c r="J55" s="31"/>
      <c r="K55" s="31"/>
      <c r="L55" s="31"/>
      <c r="M55" s="31"/>
      <c r="N55" s="31"/>
      <c r="O55" s="31"/>
      <c r="P55" s="31"/>
      <c r="Q55" s="31"/>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row>
    <row r="56" spans="1:41" ht="15">
      <c r="A56" s="97"/>
      <c r="B56" s="97"/>
      <c r="C56" s="97"/>
      <c r="D56" s="97"/>
      <c r="E56" s="97"/>
      <c r="F56" s="97"/>
      <c r="G56" s="97"/>
      <c r="H56" s="97"/>
      <c r="I56" s="97"/>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row>
    <row r="57" spans="1:41" ht="15">
      <c r="A57" s="97"/>
      <c r="B57" s="97"/>
      <c r="C57" s="97"/>
      <c r="D57" s="97"/>
      <c r="E57" s="97"/>
      <c r="F57" s="97"/>
      <c r="G57" s="97"/>
      <c r="H57" s="97"/>
      <c r="I57" s="97"/>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row>
    <row r="58" spans="1:41" ht="15">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row>
    <row r="59" spans="1:41" ht="15">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row>
    <row r="60" spans="1:41" ht="15">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row>
    <row r="61" spans="1:41" ht="15">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row>
    <row r="62" spans="1:41" ht="15">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row>
    <row r="63" spans="1:41" ht="15">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row>
    <row r="64" spans="1:41" ht="15">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row>
    <row r="65" spans="1:41" ht="1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row>
    <row r="66" spans="1:41" ht="15">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row>
    <row r="67" spans="1:41" ht="15">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row>
    <row r="68" spans="1:41" ht="15">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row>
    <row r="69" spans="1:41" ht="15">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row>
    <row r="70" s="31" customFormat="1" ht="15"/>
    <row r="71" s="31" customFormat="1" ht="15"/>
    <row r="72" s="31" customFormat="1" ht="15"/>
    <row r="73" s="31" customFormat="1" ht="15"/>
    <row r="74" s="31" customFormat="1" ht="15"/>
    <row r="75" s="31" customFormat="1" ht="15"/>
    <row r="76" s="31" customFormat="1" ht="15"/>
    <row r="77" s="31" customFormat="1" ht="15"/>
    <row r="78" s="31" customFormat="1" ht="15"/>
    <row r="79" s="31" customFormat="1" ht="15"/>
    <row r="80" s="31" customFormat="1" ht="15"/>
    <row r="81" s="31" customFormat="1" ht="15"/>
    <row r="82" s="31" customFormat="1" ht="15"/>
    <row r="83" s="31" customFormat="1" ht="15"/>
    <row r="84" s="31" customFormat="1" ht="15"/>
    <row r="85" s="31" customFormat="1" ht="15"/>
    <row r="86" s="31" customFormat="1" ht="15"/>
    <row r="87" s="31" customFormat="1" ht="15"/>
    <row r="88" s="31" customFormat="1" ht="15"/>
    <row r="89" s="31" customFormat="1" ht="15"/>
    <row r="90" s="31" customFormat="1" ht="15"/>
    <row r="91" s="31" customFormat="1" ht="15"/>
    <row r="92" s="31" customFormat="1" ht="15"/>
    <row r="93" s="31" customFormat="1" ht="15"/>
    <row r="94" s="31" customFormat="1" ht="15"/>
    <row r="95" s="31" customFormat="1" ht="15"/>
    <row r="96" s="31" customFormat="1" ht="15"/>
    <row r="97" s="31" customFormat="1" ht="15"/>
    <row r="98" s="31" customFormat="1" ht="15"/>
    <row r="99" s="31" customFormat="1" ht="15"/>
    <row r="100" s="31" customFormat="1" ht="15"/>
    <row r="101" s="31" customFormat="1" ht="15"/>
    <row r="102" s="31" customFormat="1" ht="15"/>
    <row r="103" s="31" customFormat="1" ht="15"/>
    <row r="104" s="31" customFormat="1" ht="15"/>
    <row r="105" s="31" customFormat="1" ht="15"/>
    <row r="106" s="31" customFormat="1" ht="15"/>
    <row r="107" s="31" customFormat="1" ht="15"/>
    <row r="108" s="31" customFormat="1" ht="15"/>
    <row r="109" s="31" customFormat="1" ht="15"/>
    <row r="110" s="31" customFormat="1" ht="15"/>
    <row r="111" s="31" customFormat="1" ht="15"/>
    <row r="112" s="31" customFormat="1" ht="15"/>
    <row r="113" s="31" customFormat="1" ht="15"/>
    <row r="114" s="31" customFormat="1" ht="15"/>
    <row r="115" s="31" customFormat="1" ht="15"/>
    <row r="116" s="31" customFormat="1" ht="15"/>
    <row r="117" s="31" customFormat="1" ht="15"/>
    <row r="118" s="31" customFormat="1" ht="15"/>
    <row r="119" s="31" customFormat="1" ht="15"/>
    <row r="120" s="31" customFormat="1" ht="15"/>
    <row r="121" s="31" customFormat="1" ht="15"/>
    <row r="122" s="31" customFormat="1" ht="15"/>
    <row r="123" s="31" customFormat="1" ht="15"/>
    <row r="124" s="31" customFormat="1" ht="15"/>
    <row r="125" s="31" customFormat="1" ht="15"/>
    <row r="126" s="31" customFormat="1" ht="15"/>
    <row r="127" s="31" customFormat="1" ht="15"/>
    <row r="128" s="31" customFormat="1" ht="15"/>
    <row r="129" s="31" customFormat="1" ht="15"/>
    <row r="130" s="31" customFormat="1" ht="15"/>
    <row r="131" s="31" customFormat="1" ht="15"/>
    <row r="132" s="31" customFormat="1" ht="15"/>
    <row r="133" s="31" customFormat="1" ht="15"/>
    <row r="134" s="31" customFormat="1" ht="15"/>
    <row r="135" s="31" customFormat="1" ht="15"/>
    <row r="136" s="31" customFormat="1" ht="15"/>
    <row r="137" s="31" customFormat="1" ht="15"/>
    <row r="138" s="31" customFormat="1" ht="15"/>
    <row r="139" s="31" customFormat="1" ht="15"/>
    <row r="140" s="31" customFormat="1" ht="15"/>
    <row r="141" s="31" customFormat="1" ht="15"/>
    <row r="142" s="31" customFormat="1" ht="15"/>
    <row r="143" s="31" customFormat="1" ht="15"/>
    <row r="144" s="31" customFormat="1" ht="15"/>
    <row r="145" s="31" customFormat="1" ht="15"/>
    <row r="146" s="31" customFormat="1" ht="15"/>
    <row r="147" s="31" customFormat="1" ht="15"/>
    <row r="148" s="31" customFormat="1" ht="15"/>
    <row r="149" s="31" customFormat="1" ht="15"/>
    <row r="150" s="31" customFormat="1" ht="15"/>
    <row r="151" s="31" customFormat="1" ht="15"/>
    <row r="152" s="31" customFormat="1" ht="15"/>
    <row r="153" s="31" customFormat="1" ht="15"/>
    <row r="154" s="31" customFormat="1" ht="15"/>
    <row r="155" s="31" customFormat="1" ht="15"/>
    <row r="156" s="31" customFormat="1" ht="15"/>
    <row r="157" s="31" customFormat="1" ht="15"/>
    <row r="158" s="31" customFormat="1" ht="15"/>
    <row r="159" s="31" customFormat="1" ht="15"/>
    <row r="160" s="31" customFormat="1" ht="15"/>
    <row r="161" s="31" customFormat="1" ht="15"/>
    <row r="162" s="31" customFormat="1" ht="15"/>
    <row r="163" s="31" customFormat="1" ht="15"/>
    <row r="164" s="31" customFormat="1" ht="15"/>
    <row r="165" s="31" customFormat="1" ht="15"/>
    <row r="166" s="31" customFormat="1" ht="15"/>
    <row r="167" s="31" customFormat="1" ht="15"/>
    <row r="168" s="31" customFormat="1" ht="15"/>
    <row r="169" s="31" customFormat="1" ht="15"/>
    <row r="170" s="31" customFormat="1" ht="15"/>
    <row r="171" s="31" customFormat="1" ht="15"/>
    <row r="172" s="31" customFormat="1" ht="15"/>
    <row r="173" s="31" customFormat="1" ht="15"/>
    <row r="174" s="31" customFormat="1" ht="15"/>
    <row r="175" s="31" customFormat="1" ht="15"/>
    <row r="176" s="31" customFormat="1" ht="15"/>
    <row r="177" s="31" customFormat="1" ht="15"/>
    <row r="178" s="31" customFormat="1" ht="15"/>
    <row r="179" s="31" customFormat="1" ht="15"/>
    <row r="180" s="31" customFormat="1" ht="15"/>
    <row r="181" s="31" customFormat="1" ht="15"/>
    <row r="182" s="31" customFormat="1" ht="15"/>
    <row r="183" s="31" customFormat="1" ht="15"/>
    <row r="184" s="31" customFormat="1" ht="15"/>
    <row r="185" s="31" customFormat="1" ht="15"/>
    <row r="186" s="31" customFormat="1" ht="15"/>
    <row r="187" s="31" customFormat="1" ht="15"/>
    <row r="188" s="31" customFormat="1" ht="15"/>
    <row r="189" s="31" customFormat="1" ht="15"/>
    <row r="190" s="31" customFormat="1" ht="15"/>
    <row r="191" s="31" customFormat="1" ht="15"/>
    <row r="192" s="31" customFormat="1" ht="15"/>
    <row r="193" s="31" customFormat="1" ht="15"/>
    <row r="194" s="31" customFormat="1" ht="15"/>
    <row r="195" s="31" customFormat="1" ht="15"/>
    <row r="196" s="31" customFormat="1" ht="15"/>
    <row r="197" s="31" customFormat="1" ht="15"/>
    <row r="198" s="31" customFormat="1" ht="15"/>
    <row r="199" s="31" customFormat="1" ht="15"/>
    <row r="200" s="31" customFormat="1" ht="15"/>
    <row r="201" s="31" customFormat="1" ht="15"/>
    <row r="202" s="31" customFormat="1" ht="15"/>
    <row r="203" s="31" customFormat="1" ht="15"/>
    <row r="204" s="31" customFormat="1" ht="15"/>
    <row r="205" s="31" customFormat="1" ht="15"/>
    <row r="206" s="31" customFormat="1" ht="15"/>
    <row r="207" s="31" customFormat="1" ht="15"/>
    <row r="208" s="31" customFormat="1" ht="15"/>
    <row r="209" s="31" customFormat="1" ht="15"/>
    <row r="210" s="31" customFormat="1" ht="15"/>
    <row r="211" s="31" customFormat="1" ht="15"/>
    <row r="212" s="31" customFormat="1" ht="15"/>
    <row r="213" s="31" customFormat="1" ht="15"/>
    <row r="214" s="31" customFormat="1" ht="15"/>
    <row r="215" s="31" customFormat="1" ht="15"/>
    <row r="216" s="31" customFormat="1" ht="15"/>
    <row r="217" s="31" customFormat="1" ht="15"/>
    <row r="218" s="31" customFormat="1" ht="15"/>
    <row r="219" s="31" customFormat="1" ht="15"/>
    <row r="220" s="31" customFormat="1" ht="15"/>
    <row r="221" s="31" customFormat="1" ht="15"/>
    <row r="222" s="31" customFormat="1" ht="15"/>
    <row r="223" s="31" customFormat="1" ht="15"/>
    <row r="224" s="31" customFormat="1" ht="15"/>
    <row r="225" s="31" customFormat="1" ht="15"/>
    <row r="226" s="31" customFormat="1" ht="15"/>
    <row r="227" s="31" customFormat="1" ht="15"/>
    <row r="228" s="31" customFormat="1" ht="15"/>
    <row r="229" s="31" customFormat="1" ht="15"/>
    <row r="230" s="31" customFormat="1" ht="15"/>
    <row r="231" s="31" customFormat="1" ht="15"/>
    <row r="232" s="31" customFormat="1" ht="15"/>
    <row r="233" s="31" customFormat="1" ht="15"/>
    <row r="234" s="31" customFormat="1" ht="15"/>
    <row r="235" s="31" customFormat="1" ht="15"/>
    <row r="236" s="31" customFormat="1" ht="15"/>
    <row r="237" s="31" customFormat="1" ht="15"/>
    <row r="238" s="31" customFormat="1" ht="15"/>
    <row r="239" s="31" customFormat="1" ht="15"/>
    <row r="240" s="31" customFormat="1" ht="15"/>
    <row r="241" s="31" customFormat="1" ht="15"/>
    <row r="242" s="31" customFormat="1" ht="15"/>
    <row r="243" s="31" customFormat="1" ht="15"/>
    <row r="244" s="31" customFormat="1" ht="15"/>
    <row r="245" s="31" customFormat="1" ht="15"/>
    <row r="246" s="31" customFormat="1" ht="15"/>
    <row r="247" s="31" customFormat="1" ht="15"/>
    <row r="248" s="31" customFormat="1" ht="15"/>
    <row r="249" s="31" customFormat="1" ht="15"/>
    <row r="250" s="31" customFormat="1" ht="15"/>
    <row r="251" s="31" customFormat="1" ht="15"/>
    <row r="252" s="31" customFormat="1" ht="15"/>
    <row r="253" s="31" customFormat="1" ht="15"/>
    <row r="254" s="31" customFormat="1" ht="15"/>
    <row r="255" s="31" customFormat="1" ht="15"/>
    <row r="256" s="31" customFormat="1" ht="15"/>
    <row r="257" s="31" customFormat="1" ht="15"/>
    <row r="258" s="31" customFormat="1" ht="15"/>
    <row r="259" s="31" customFormat="1" ht="15"/>
    <row r="260" s="31" customFormat="1" ht="15"/>
    <row r="261" s="31" customFormat="1" ht="15"/>
    <row r="262" s="31" customFormat="1" ht="15"/>
    <row r="263" s="31" customFormat="1" ht="15"/>
    <row r="264" s="31" customFormat="1" ht="15"/>
    <row r="265" s="31" customFormat="1" ht="15"/>
    <row r="266" s="31" customFormat="1" ht="15"/>
    <row r="267" s="31" customFormat="1" ht="15"/>
    <row r="268" s="31" customFormat="1" ht="15"/>
    <row r="269" s="31" customFormat="1" ht="15"/>
    <row r="270" s="31" customFormat="1" ht="15"/>
    <row r="271" s="31" customFormat="1" ht="15"/>
    <row r="272" s="31" customFormat="1" ht="15"/>
    <row r="273" s="31" customFormat="1" ht="15"/>
    <row r="274" s="31" customFormat="1" ht="15"/>
    <row r="275" s="31" customFormat="1" ht="15"/>
    <row r="276" s="31" customFormat="1" ht="15"/>
    <row r="277" s="31" customFormat="1" ht="15"/>
    <row r="278" s="31" customFormat="1" ht="15"/>
    <row r="279" s="31" customFormat="1" ht="15"/>
    <row r="280" s="31" customFormat="1" ht="15"/>
    <row r="281" s="31" customFormat="1" ht="15"/>
    <row r="282" s="31" customFormat="1" ht="15"/>
    <row r="283" s="31" customFormat="1" ht="15"/>
    <row r="284" s="31" customFormat="1" ht="15"/>
    <row r="285" s="31" customFormat="1" ht="15"/>
    <row r="286" s="31" customFormat="1" ht="15"/>
    <row r="287" s="31" customFormat="1" ht="15"/>
    <row r="288" s="31" customFormat="1" ht="15"/>
    <row r="289" s="31" customFormat="1" ht="15"/>
    <row r="290" s="31" customFormat="1" ht="15"/>
    <row r="291" s="31" customFormat="1" ht="15"/>
    <row r="292" s="31" customFormat="1" ht="15"/>
    <row r="293" s="31" customFormat="1" ht="15"/>
    <row r="294" s="31" customFormat="1" ht="15"/>
    <row r="295" s="31" customFormat="1" ht="15"/>
    <row r="296" s="31" customFormat="1" ht="15"/>
    <row r="297" s="31" customFormat="1" ht="15"/>
    <row r="298" s="31" customFormat="1" ht="15"/>
    <row r="299" s="31" customFormat="1" ht="15"/>
    <row r="300" s="31" customFormat="1" ht="15"/>
    <row r="301" s="31" customFormat="1" ht="15"/>
    <row r="302" s="31" customFormat="1" ht="15"/>
    <row r="303" s="31" customFormat="1" ht="15"/>
    <row r="304" s="31" customFormat="1" ht="15"/>
    <row r="305" s="31" customFormat="1" ht="15"/>
    <row r="306" s="31" customFormat="1" ht="15"/>
    <row r="307" s="31" customFormat="1" ht="15"/>
    <row r="308" s="31" customFormat="1" ht="15"/>
    <row r="309" s="31" customFormat="1" ht="15"/>
    <row r="310" s="31" customFormat="1" ht="15"/>
    <row r="311" s="31" customFormat="1" ht="15"/>
    <row r="312" s="31" customFormat="1" ht="15"/>
    <row r="313" s="31" customFormat="1" ht="15"/>
    <row r="314" s="31" customFormat="1" ht="15"/>
    <row r="315" s="31" customFormat="1" ht="15"/>
    <row r="316" s="31" customFormat="1" ht="15"/>
    <row r="317" s="31" customFormat="1" ht="15"/>
    <row r="318" s="31" customFormat="1" ht="15"/>
    <row r="319" s="31" customFormat="1" ht="15"/>
    <row r="320" s="31" customFormat="1" ht="15"/>
    <row r="321" s="31" customFormat="1" ht="15"/>
    <row r="322" s="31" customFormat="1" ht="15"/>
    <row r="323" s="31" customFormat="1" ht="15"/>
    <row r="324" s="31" customFormat="1" ht="15"/>
    <row r="325" s="31" customFormat="1" ht="15"/>
    <row r="326" s="31" customFormat="1" ht="15"/>
    <row r="327" s="31" customFormat="1" ht="15"/>
    <row r="328" s="31" customFormat="1" ht="15"/>
    <row r="329" s="31" customFormat="1" ht="15"/>
    <row r="330" s="31" customFormat="1" ht="15"/>
    <row r="331" s="31" customFormat="1" ht="15"/>
    <row r="332" s="31" customFormat="1" ht="15"/>
    <row r="333" s="31" customFormat="1" ht="15"/>
    <row r="334" s="31" customFormat="1" ht="15"/>
    <row r="335" s="31" customFormat="1" ht="15"/>
    <row r="336" s="31" customFormat="1" ht="15"/>
    <row r="337" s="31" customFormat="1" ht="15"/>
    <row r="338" s="31" customFormat="1" ht="15"/>
    <row r="339" s="31" customFormat="1" ht="15"/>
    <row r="340" s="31" customFormat="1" ht="15"/>
    <row r="341" s="31" customFormat="1" ht="15"/>
    <row r="342" s="31" customFormat="1" ht="15"/>
    <row r="343" s="31" customFormat="1" ht="15"/>
    <row r="344" s="31" customFormat="1" ht="15"/>
    <row r="345" s="31" customFormat="1" ht="15"/>
    <row r="346" s="31" customFormat="1" ht="15"/>
    <row r="347" s="31" customFormat="1" ht="15"/>
    <row r="348" s="31" customFormat="1" ht="15"/>
    <row r="349" s="31" customFormat="1" ht="15"/>
    <row r="350" s="31" customFormat="1" ht="15"/>
    <row r="351" s="31" customFormat="1" ht="15"/>
    <row r="352" s="31" customFormat="1" ht="15"/>
    <row r="353" s="31" customFormat="1" ht="15"/>
    <row r="354" s="31" customFormat="1" ht="15"/>
    <row r="355" s="31" customFormat="1" ht="15"/>
    <row r="356" s="31" customFormat="1" ht="15"/>
    <row r="357" s="31" customFormat="1" ht="15"/>
    <row r="358" s="31" customFormat="1" ht="15"/>
    <row r="359" s="31" customFormat="1" ht="15"/>
    <row r="360" s="31" customFormat="1" ht="15"/>
    <row r="361" s="31" customFormat="1" ht="15"/>
    <row r="362" s="31" customFormat="1" ht="15"/>
    <row r="363" s="31" customFormat="1" ht="15"/>
    <row r="364" s="31" customFormat="1" ht="15"/>
    <row r="365" s="31" customFormat="1" ht="15"/>
    <row r="366" s="31" customFormat="1" ht="15"/>
    <row r="367" s="31" customFormat="1" ht="15"/>
    <row r="368" s="31" customFormat="1" ht="15"/>
    <row r="369" s="31" customFormat="1" ht="15"/>
    <row r="370" s="31" customFormat="1" ht="15"/>
    <row r="371" s="31" customFormat="1" ht="15"/>
    <row r="372" s="31" customFormat="1" ht="15"/>
    <row r="373" s="31" customFormat="1" ht="15"/>
    <row r="374" s="31" customFormat="1" ht="15"/>
    <row r="375" s="31" customFormat="1" ht="15"/>
    <row r="376" s="31" customFormat="1" ht="15"/>
    <row r="377" s="31" customFormat="1" ht="15"/>
    <row r="378" s="31" customFormat="1" ht="15"/>
    <row r="379" s="31" customFormat="1" ht="15"/>
    <row r="380" s="31" customFormat="1" ht="15"/>
    <row r="381" s="31" customFormat="1" ht="15"/>
    <row r="382" s="31" customFormat="1" ht="15"/>
    <row r="383" s="31" customFormat="1" ht="15"/>
    <row r="384" s="31" customFormat="1" ht="15"/>
    <row r="385" s="31" customFormat="1" ht="15"/>
    <row r="386" s="31" customFormat="1" ht="15"/>
    <row r="387" s="31" customFormat="1" ht="15"/>
    <row r="388" s="31" customFormat="1" ht="15"/>
    <row r="389" s="31" customFormat="1" ht="15"/>
    <row r="390" s="31" customFormat="1" ht="15"/>
    <row r="391" s="31" customFormat="1" ht="15"/>
    <row r="392" s="31" customFormat="1" ht="15"/>
    <row r="393" s="31" customFormat="1" ht="15"/>
    <row r="394" s="31" customFormat="1" ht="15"/>
    <row r="395" s="31" customFormat="1" ht="15"/>
    <row r="396" s="31" customFormat="1" ht="15"/>
    <row r="397" s="31" customFormat="1" ht="15"/>
    <row r="398" s="31" customFormat="1" ht="15"/>
    <row r="399" s="31" customFormat="1" ht="15"/>
    <row r="400" s="31" customFormat="1" ht="15"/>
    <row r="401" s="31" customFormat="1" ht="15"/>
    <row r="402" s="31" customFormat="1" ht="15"/>
    <row r="403" s="31" customFormat="1" ht="15"/>
    <row r="404" s="31" customFormat="1" ht="15"/>
    <row r="405" s="31" customFormat="1" ht="15"/>
    <row r="406" spans="1:9" s="31" customFormat="1" ht="15">
      <c r="A406"/>
      <c r="B406"/>
      <c r="C406"/>
      <c r="D406"/>
      <c r="E406"/>
      <c r="F406"/>
      <c r="G406"/>
      <c r="H406"/>
      <c r="I406"/>
    </row>
    <row r="407" spans="1:9" s="31" customFormat="1" ht="15">
      <c r="A407"/>
      <c r="B407"/>
      <c r="C407"/>
      <c r="D407"/>
      <c r="E407"/>
      <c r="F407"/>
      <c r="G407"/>
      <c r="H407"/>
      <c r="I407"/>
    </row>
    <row r="408" spans="1:9" s="31" customFormat="1" ht="15">
      <c r="A408"/>
      <c r="B408"/>
      <c r="C408"/>
      <c r="D408"/>
      <c r="E408"/>
      <c r="F408"/>
      <c r="G408"/>
      <c r="H408"/>
      <c r="I408"/>
    </row>
    <row r="997" ht="15">
      <c r="A997" t="s">
        <v>391</v>
      </c>
    </row>
  </sheetData>
  <sheetProtection/>
  <conditionalFormatting sqref="B14:B15">
    <cfRule type="cellIs" priority="6" dxfId="19" operator="notEqual">
      <formula>0</formula>
    </cfRule>
  </conditionalFormatting>
  <conditionalFormatting sqref="C14:C15">
    <cfRule type="cellIs" priority="5" dxfId="19" operator="notEqual">
      <formula>0</formula>
    </cfRule>
  </conditionalFormatting>
  <conditionalFormatting sqref="D14:D15">
    <cfRule type="cellIs" priority="4" dxfId="19" operator="notEqual">
      <formula>0</formula>
    </cfRule>
  </conditionalFormatting>
  <conditionalFormatting sqref="E14:I15">
    <cfRule type="cellIs" priority="3" dxfId="19" operator="notEqual">
      <formula>0</formula>
    </cfRule>
  </conditionalFormatting>
  <conditionalFormatting sqref="B29:I30">
    <cfRule type="cellIs" priority="2" dxfId="19" operator="notEqual">
      <formula>0</formula>
    </cfRule>
  </conditionalFormatting>
  <conditionalFormatting sqref="B44:I44">
    <cfRule type="cellIs" priority="1" dxfId="19" operator="notEqual">
      <formula>0</formula>
    </cfRule>
  </conditionalFormatting>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dimension ref="A1:W1000"/>
  <sheetViews>
    <sheetView showGridLines="0" zoomScalePageLayoutView="0" workbookViewId="0" topLeftCell="A1">
      <selection activeCell="A1" sqref="A1"/>
    </sheetView>
  </sheetViews>
  <sheetFormatPr defaultColWidth="11.421875" defaultRowHeight="15"/>
  <cols>
    <col min="1" max="1" width="13.421875" style="0" customWidth="1"/>
    <col min="2" max="2" width="32.140625" style="0" customWidth="1"/>
    <col min="6" max="6" width="8.140625" style="0" customWidth="1"/>
    <col min="7" max="7" width="7.421875" style="0" customWidth="1"/>
    <col min="8" max="9" width="14.140625" style="0" customWidth="1"/>
  </cols>
  <sheetData>
    <row r="1" spans="1:23" ht="18">
      <c r="A1" s="93" t="str">
        <f>HLOOKUP(INDICE!$F$2,Nombres!$C$3:$D$636,161,FALSE)</f>
        <v>Tipos de cambio</v>
      </c>
      <c r="B1" s="93"/>
      <c r="C1" s="94"/>
      <c r="D1" s="94"/>
      <c r="E1" s="94"/>
      <c r="F1" s="94"/>
      <c r="G1" s="94"/>
      <c r="H1" s="94"/>
      <c r="I1" s="94"/>
      <c r="J1" s="115"/>
      <c r="K1" s="95"/>
      <c r="L1" s="95"/>
      <c r="M1" s="95"/>
      <c r="N1" s="159"/>
      <c r="O1" s="159"/>
      <c r="P1" s="159"/>
      <c r="Q1" s="159"/>
      <c r="R1" s="159"/>
      <c r="S1" s="159"/>
      <c r="T1" s="159"/>
      <c r="U1" s="159"/>
      <c r="V1" s="159"/>
      <c r="W1" s="159"/>
    </row>
    <row r="2" spans="1:13" ht="15">
      <c r="A2" s="160" t="str">
        <f>HLOOKUP(INDICE!$F$2,Nombres!$C$3:$D$636,162,FALSE)</f>
        <v>(Expresados en divisa/euro)</v>
      </c>
      <c r="B2" s="160"/>
      <c r="C2" s="161"/>
      <c r="D2" s="161"/>
      <c r="E2" s="161"/>
      <c r="F2" s="161"/>
      <c r="G2" s="161"/>
      <c r="H2" s="161"/>
      <c r="I2" s="161"/>
      <c r="J2" s="115"/>
      <c r="K2" s="95"/>
      <c r="L2" s="95"/>
      <c r="M2" s="95"/>
    </row>
    <row r="3" spans="1:9" ht="19.5">
      <c r="A3" s="162"/>
      <c r="B3" s="162"/>
      <c r="C3" s="304" t="str">
        <f>HLOOKUP(INDICE!$F$2,Nombres!$C$3:$D$636,163,FALSE)</f>
        <v>Cambios finales (*)</v>
      </c>
      <c r="D3" s="304"/>
      <c r="E3" s="304"/>
      <c r="F3" s="163"/>
      <c r="G3" s="164"/>
      <c r="H3" s="304" t="str">
        <f>HLOOKUP(INDICE!$F$2,Nombres!$C$3:$D$636,164,FALSE)</f>
        <v>Cambios medios (**)</v>
      </c>
      <c r="I3" s="304"/>
    </row>
    <row r="4" spans="1:9" ht="15.75">
      <c r="A4" s="98"/>
      <c r="B4" s="98"/>
      <c r="C4" s="75"/>
      <c r="D4" s="165" t="str">
        <f>HLOOKUP(INDICE!$F$2,Nombres!$C$3:$D$636,165,FALSE)</f>
        <v>∆% sobre</v>
      </c>
      <c r="E4" s="165" t="str">
        <f>HLOOKUP(INDICE!$F$2,Nombres!$C$3:$D$636,165,FALSE)</f>
        <v>∆% sobre</v>
      </c>
      <c r="F4" s="163"/>
      <c r="G4" s="164"/>
      <c r="H4" s="166"/>
      <c r="I4" s="165" t="str">
        <f>HLOOKUP(INDICE!$F$2,Nombres!$C$3:$D$636,165,FALSE)</f>
        <v>∆% sobre</v>
      </c>
    </row>
    <row r="5" spans="1:9" ht="15.75">
      <c r="A5" s="98"/>
      <c r="B5" s="98"/>
      <c r="C5" s="167">
        <v>45291</v>
      </c>
      <c r="D5" s="167">
        <f>DATE(YEAR(C5),MONTH(C5)-12,DAY(C5))</f>
        <v>44926</v>
      </c>
      <c r="E5" s="167">
        <v>45199</v>
      </c>
      <c r="F5" s="168"/>
      <c r="G5" s="169"/>
      <c r="H5" s="167">
        <f>+C5</f>
        <v>45291</v>
      </c>
      <c r="I5" s="170">
        <f>+D5</f>
        <v>44926</v>
      </c>
    </row>
    <row r="6" spans="1:9" ht="15">
      <c r="A6" s="59" t="str">
        <f>HLOOKUP(INDICE!$F$2,Nombres!$C$3:$D$636,152,FALSE)</f>
        <v>Peso mexicano</v>
      </c>
      <c r="B6" s="59"/>
      <c r="C6" s="171">
        <v>18.72309999997257</v>
      </c>
      <c r="D6" s="172">
        <v>0.11391810116983137</v>
      </c>
      <c r="E6" s="172">
        <v>-0.011755531935391805</v>
      </c>
      <c r="F6" s="173"/>
      <c r="G6" s="58"/>
      <c r="H6" s="171">
        <v>19.186603000073266</v>
      </c>
      <c r="I6" s="172">
        <v>0.10435943246001433</v>
      </c>
    </row>
    <row r="7" spans="1:9" ht="15">
      <c r="A7" s="59" t="str">
        <f>HLOOKUP(INDICE!$F$2,Nombres!$C$3:$D$636,153,FALSE)</f>
        <v>Dólar estadounidense</v>
      </c>
      <c r="B7" s="59"/>
      <c r="C7" s="171">
        <v>1.1049999999995248</v>
      </c>
      <c r="D7" s="172">
        <v>-0.03475113122095608</v>
      </c>
      <c r="E7" s="172">
        <v>-0.041266968325142095</v>
      </c>
      <c r="F7" s="141"/>
      <c r="G7" s="58"/>
      <c r="H7" s="171">
        <v>1.0814550000000487</v>
      </c>
      <c r="I7" s="172">
        <v>-0.026115742218028926</v>
      </c>
    </row>
    <row r="8" spans="1:9" ht="15">
      <c r="A8" s="59" t="str">
        <f>HLOOKUP(INDICE!$F$2,Nombres!$C$3:$D$636,154,FALSE)</f>
        <v>Peso argentino</v>
      </c>
      <c r="B8" s="269" t="s">
        <v>420</v>
      </c>
      <c r="C8" s="270">
        <v>892.8123746937832</v>
      </c>
      <c r="D8" s="172">
        <v>-0.788853280568594</v>
      </c>
      <c r="E8" s="172">
        <v>-0.5846647117594868</v>
      </c>
      <c r="F8" s="141"/>
      <c r="G8" s="58"/>
      <c r="H8" s="266" t="s">
        <v>413</v>
      </c>
      <c r="I8" s="266" t="s">
        <v>413</v>
      </c>
    </row>
    <row r="9" spans="1:9" ht="15">
      <c r="A9" s="59" t="str">
        <f>HLOOKUP(INDICE!$F$2,Nombres!$C$3:$D$636,155,FALSE)</f>
        <v>Peso chileno</v>
      </c>
      <c r="B9" s="59"/>
      <c r="C9" s="171">
        <v>977.4719498295709</v>
      </c>
      <c r="D9" s="172">
        <v>-0.06211798056420703</v>
      </c>
      <c r="E9" s="172">
        <v>-0.0171520563173716</v>
      </c>
      <c r="F9" s="141"/>
      <c r="G9" s="58"/>
      <c r="H9" s="171">
        <v>908.3487963819814</v>
      </c>
      <c r="I9" s="172">
        <v>0.0102875680118939</v>
      </c>
    </row>
    <row r="10" spans="1:9" ht="15">
      <c r="A10" s="59" t="str">
        <f>HLOOKUP(INDICE!$F$2,Nombres!$C$3:$D$636,156,FALSE)</f>
        <v>Peso colombiano</v>
      </c>
      <c r="B10" s="59"/>
      <c r="C10" s="171">
        <v>4223.365257258587</v>
      </c>
      <c r="D10" s="172">
        <v>0.2148035999061988</v>
      </c>
      <c r="E10" s="172">
        <v>0.024835077767840108</v>
      </c>
      <c r="F10" s="141"/>
      <c r="G10" s="58"/>
      <c r="H10" s="171">
        <v>4679.217025492112</v>
      </c>
      <c r="I10" s="172">
        <v>-0.04490884757425173</v>
      </c>
    </row>
    <row r="11" spans="1:9" ht="15">
      <c r="A11" s="59" t="str">
        <f>HLOOKUP(INDICE!$F$2,Nombres!$C$3:$D$636,157,FALSE)</f>
        <v>Sol peruano</v>
      </c>
      <c r="B11" s="59"/>
      <c r="C11" s="171">
        <v>4.104191000003832</v>
      </c>
      <c r="D11" s="172">
        <v>-0.011439769739074568</v>
      </c>
      <c r="E11" s="172">
        <v>-0.02624390531472065</v>
      </c>
      <c r="F11" s="141"/>
      <c r="G11" s="58"/>
      <c r="H11" s="171">
        <v>4.040390999997195</v>
      </c>
      <c r="I11" s="172">
        <v>-0.0023433375628489905</v>
      </c>
    </row>
    <row r="12" spans="1:9" ht="15">
      <c r="A12" s="59" t="str">
        <f>HLOOKUP(INDICE!$F$2,Nombres!$C$3:$D$636,158,FALSE)</f>
        <v>Lira turca</v>
      </c>
      <c r="B12" s="269" t="s">
        <v>420</v>
      </c>
      <c r="C12" s="171">
        <v>32.65309999984613</v>
      </c>
      <c r="D12" s="172">
        <v>-0.38857566356355056</v>
      </c>
      <c r="E12" s="172">
        <v>-0.11030193151453538</v>
      </c>
      <c r="F12" s="141"/>
      <c r="G12" s="58"/>
      <c r="H12" s="266" t="s">
        <v>413</v>
      </c>
      <c r="I12" s="266" t="s">
        <v>413</v>
      </c>
    </row>
    <row r="13" spans="1:9" ht="15">
      <c r="A13" s="97"/>
      <c r="B13" s="97"/>
      <c r="D13" s="174"/>
      <c r="E13" s="174"/>
      <c r="F13" s="174"/>
      <c r="G13" s="174"/>
      <c r="H13" s="97"/>
      <c r="I13" s="97"/>
    </row>
    <row r="14" spans="1:9" ht="15">
      <c r="A14" s="97"/>
      <c r="B14" s="97"/>
      <c r="C14" s="175"/>
      <c r="D14" s="174"/>
      <c r="E14" s="174"/>
      <c r="F14" s="174"/>
      <c r="G14" s="174"/>
      <c r="H14" s="97"/>
      <c r="I14" s="97"/>
    </row>
    <row r="15" spans="1:9" ht="15">
      <c r="A15" s="114" t="str">
        <f>HLOOKUP(INDICE!$F$2,Nombres!$C$3:$D$636,159,FALSE)</f>
        <v>(*) Utilizados en el cálculo de euros constantes de los datos de balance y actividad</v>
      </c>
      <c r="B15" s="114"/>
      <c r="C15" s="125"/>
      <c r="D15" s="125"/>
      <c r="E15" s="125"/>
      <c r="F15" s="174"/>
      <c r="G15" s="174"/>
      <c r="H15" s="97"/>
      <c r="I15" s="97"/>
    </row>
    <row r="16" spans="1:9" ht="15">
      <c r="A16" s="114" t="str">
        <f>HLOOKUP(INDICE!$F$2,Nombres!$C$3:$D$636,160,FALSE)</f>
        <v>(**) Utilizados en el cálculo de euros constantes de los datos de resultados</v>
      </c>
      <c r="B16" s="114"/>
      <c r="C16" s="125"/>
      <c r="D16" s="125"/>
      <c r="E16" s="125"/>
      <c r="F16" s="174"/>
      <c r="G16" s="174"/>
      <c r="H16" s="97"/>
      <c r="I16" s="97"/>
    </row>
    <row r="17" ht="15">
      <c r="A17" s="114" t="str">
        <f>HLOOKUP(INDICE!$F$2,Nombres!$C$3:$D$636,313,FALSE)</f>
        <v>(1) En aplicación de la NIC 21 "Efectos de las variaciones en los tipos de cambio de la moneda extranjera", la conversión de la cuenta de resultados de Turquía y Argentina se hace empleando el tipo de cambio final.</v>
      </c>
    </row>
    <row r="20" ht="15">
      <c r="D20" s="174"/>
    </row>
    <row r="25" spans="3:5" ht="15">
      <c r="C25" s="298"/>
      <c r="D25" s="298"/>
      <c r="E25" s="298"/>
    </row>
    <row r="27" ht="15">
      <c r="E27" s="298"/>
    </row>
    <row r="1000" ht="15">
      <c r="A1000" t="s">
        <v>391</v>
      </c>
    </row>
  </sheetData>
  <sheetProtection/>
  <mergeCells count="2">
    <mergeCell ref="C3:E3"/>
    <mergeCell ref="H3:I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1003"/>
  <sheetViews>
    <sheetView showGridLines="0" tabSelected="1" zoomScale="80" zoomScaleNormal="80" zoomScalePageLayoutView="0" workbookViewId="0" topLeftCell="A1">
      <selection activeCell="A5" sqref="A5"/>
    </sheetView>
  </sheetViews>
  <sheetFormatPr defaultColWidth="12.57421875" defaultRowHeight="23.25" customHeight="1"/>
  <cols>
    <col min="1" max="1" width="40.421875" style="1" customWidth="1"/>
    <col min="2" max="2" width="21.8515625" style="1" customWidth="1"/>
    <col min="3" max="3" width="115.7109375" style="28" customWidth="1"/>
    <col min="4" max="4" width="13.28125" style="1" customWidth="1"/>
    <col min="5" max="5" width="18.140625" style="1" hidden="1" customWidth="1"/>
    <col min="6" max="6" width="12.57421875" style="1" hidden="1" customWidth="1"/>
    <col min="7" max="16384" width="12.57421875" style="1" customWidth="1"/>
  </cols>
  <sheetData>
    <row r="1" spans="2:5" ht="23.25" customHeight="1">
      <c r="B1" s="2"/>
      <c r="C1" s="3"/>
      <c r="D1" s="2"/>
      <c r="E1" s="2"/>
    </row>
    <row r="2" spans="2:6" ht="23.25" customHeight="1">
      <c r="B2" s="2"/>
      <c r="C2" s="4" t="str">
        <f>HLOOKUP($F$2,Nombres!$C$3:$D$636,2,FALSE)</f>
        <v>Series trimestrales 2022-2023</v>
      </c>
      <c r="D2" s="2"/>
      <c r="E2" s="2"/>
      <c r="F2" s="5">
        <v>7</v>
      </c>
    </row>
    <row r="3" spans="2:5" ht="23.25" customHeight="1">
      <c r="B3" s="2"/>
      <c r="C3" s="3"/>
      <c r="D3" s="2"/>
      <c r="E3" s="2"/>
    </row>
    <row r="4" spans="1:7" ht="23.25" customHeight="1">
      <c r="A4" s="6"/>
      <c r="B4" s="2"/>
      <c r="C4" s="7" t="str">
        <f>HLOOKUP($F$2,Nombres!$C$3:$D$636,3,FALSE)</f>
        <v>Grupo BBVA</v>
      </c>
      <c r="D4" s="8"/>
      <c r="E4" s="2" t="b">
        <v>0</v>
      </c>
      <c r="G4" s="9"/>
    </row>
    <row r="5" spans="2:7" ht="23.25" customHeight="1">
      <c r="B5" s="2"/>
      <c r="C5" s="10" t="str">
        <f>HLOOKUP($F$2,Nombres!$C$3:$D$636,4,FALSE)</f>
        <v>Cuentas de resultados consolidadas</v>
      </c>
      <c r="D5" s="2"/>
      <c r="E5" s="2" t="b">
        <v>0</v>
      </c>
      <c r="F5" s="1" t="b">
        <f>OR($E$4,E5)</f>
        <v>0</v>
      </c>
      <c r="G5" s="9"/>
    </row>
    <row r="6" spans="2:7" ht="23.25" customHeight="1" hidden="1">
      <c r="B6" s="2"/>
      <c r="C6" s="10"/>
      <c r="D6" s="2"/>
      <c r="E6" s="2" t="b">
        <v>0</v>
      </c>
      <c r="F6" s="1" t="b">
        <f>OR($E$4,E6)</f>
        <v>0</v>
      </c>
      <c r="G6" s="9"/>
    </row>
    <row r="7" spans="2:7" ht="23.25" customHeight="1">
      <c r="B7" s="2"/>
      <c r="C7" s="10" t="str">
        <f>HLOOKUP($F$2,Nombres!$C$3:$D$636,5,FALSE)</f>
        <v>Balances de situación consolidados</v>
      </c>
      <c r="D7" s="2"/>
      <c r="E7" s="2"/>
      <c r="G7" s="9"/>
    </row>
    <row r="8" spans="2:7" ht="23.25" customHeight="1">
      <c r="B8" s="11"/>
      <c r="C8" s="7" t="str">
        <f>HLOOKUP($F$2,Nombres!$C$3:$D$636,6,FALSE)</f>
        <v>Áreas de negocio</v>
      </c>
      <c r="D8" s="11"/>
      <c r="E8" s="11" t="b">
        <v>0</v>
      </c>
      <c r="F8" s="12"/>
      <c r="G8" s="13"/>
    </row>
    <row r="9" spans="1:7" s="16" customFormat="1" ht="23.25" customHeight="1">
      <c r="A9" s="1"/>
      <c r="B9" s="14"/>
      <c r="C9" s="236" t="str">
        <f>HLOOKUP($F$2,Nombres!$C$3:$D$636,7,FALSE)</f>
        <v>España</v>
      </c>
      <c r="D9" s="14"/>
      <c r="E9" s="14" t="b">
        <v>1</v>
      </c>
      <c r="F9" s="1" t="b">
        <f aca="true" t="shared" si="0" ref="F9:F19">OR($E$8,E9)</f>
        <v>1</v>
      </c>
      <c r="G9" s="15"/>
    </row>
    <row r="10" spans="1:7" ht="23.25" customHeight="1">
      <c r="A10" s="17"/>
      <c r="B10" s="2"/>
      <c r="C10" s="10" t="str">
        <f>HLOOKUP($F$2,Nombres!$C$3:$D$636,11,FALSE)</f>
        <v>México</v>
      </c>
      <c r="D10" s="2"/>
      <c r="E10" s="2" t="b">
        <v>1</v>
      </c>
      <c r="F10" s="1" t="b">
        <f t="shared" si="0"/>
        <v>1</v>
      </c>
      <c r="G10" s="9"/>
    </row>
    <row r="11" spans="2:7" ht="23.25" customHeight="1">
      <c r="B11" s="2"/>
      <c r="C11" s="10" t="str">
        <f>HLOOKUP($F$2,Nombres!$C$3:$D$636,12,FALSE)</f>
        <v>Turquía </v>
      </c>
      <c r="D11" s="2"/>
      <c r="E11" s="2" t="b">
        <v>1</v>
      </c>
      <c r="F11" s="1" t="b">
        <f t="shared" si="0"/>
        <v>1</v>
      </c>
      <c r="G11" s="9"/>
    </row>
    <row r="12" spans="1:7" ht="23.25" customHeight="1">
      <c r="A12" s="18"/>
      <c r="B12" s="2"/>
      <c r="C12" s="10" t="str">
        <f>HLOOKUP($F$2,Nombres!$C$3:$D$636,13,FALSE)</f>
        <v>América del Sur </v>
      </c>
      <c r="D12" s="2"/>
      <c r="E12" s="2" t="b">
        <v>1</v>
      </c>
      <c r="F12" s="1" t="b">
        <f t="shared" si="0"/>
        <v>1</v>
      </c>
      <c r="G12" s="9"/>
    </row>
    <row r="13" spans="1:7" s="17" customFormat="1" ht="23.25" customHeight="1">
      <c r="A13" s="18"/>
      <c r="B13" s="19"/>
      <c r="C13" s="10" t="str">
        <f>HLOOKUP($F$2,Nombres!$C$3:$D$636,14,FALSE)</f>
        <v>Argentina</v>
      </c>
      <c r="D13" s="2"/>
      <c r="E13" s="2" t="b">
        <v>1</v>
      </c>
      <c r="F13" s="20" t="b">
        <f>OR($E$8,E13)</f>
        <v>1</v>
      </c>
      <c r="G13" s="21"/>
    </row>
    <row r="14" spans="2:7" ht="23.25" customHeight="1">
      <c r="B14" s="2"/>
      <c r="C14" s="10" t="str">
        <f>HLOOKUP($F$2,Nombres!$C$3:$D$636,15,FALSE)</f>
        <v>Chile</v>
      </c>
      <c r="D14" s="2"/>
      <c r="E14" s="2" t="b">
        <v>0</v>
      </c>
      <c r="F14" s="1" t="b">
        <f t="shared" si="0"/>
        <v>0</v>
      </c>
      <c r="G14" s="9"/>
    </row>
    <row r="15" spans="1:7" s="17" customFormat="1" ht="23.25" customHeight="1">
      <c r="A15" s="1"/>
      <c r="B15" s="19"/>
      <c r="C15" s="10" t="str">
        <f>HLOOKUP($F$2,Nombres!$C$3:$D$636,16,FALSE)</f>
        <v>Colombia</v>
      </c>
      <c r="D15" s="22"/>
      <c r="E15" s="2" t="b">
        <v>0</v>
      </c>
      <c r="F15" s="20" t="b">
        <f t="shared" si="0"/>
        <v>0</v>
      </c>
      <c r="G15" s="21"/>
    </row>
    <row r="16" spans="1:7" s="17" customFormat="1" ht="23.25" customHeight="1">
      <c r="A16" s="6"/>
      <c r="B16" s="19"/>
      <c r="C16" s="10" t="str">
        <f>HLOOKUP($F$2,Nombres!$C$3:$D$636,17,FALSE)</f>
        <v>Perú</v>
      </c>
      <c r="D16" s="22"/>
      <c r="E16" s="2" t="b">
        <v>1</v>
      </c>
      <c r="F16" s="20" t="b">
        <f t="shared" si="0"/>
        <v>1</v>
      </c>
      <c r="G16" s="21"/>
    </row>
    <row r="17" spans="2:7" ht="23.25" customHeight="1">
      <c r="B17" s="2"/>
      <c r="C17" s="10" t="str">
        <f>HLOOKUP($F$2,Nombres!$C$3:$D$636,263,FALSE)</f>
        <v>Resto de Negocios</v>
      </c>
      <c r="D17" s="22"/>
      <c r="E17" s="2" t="b">
        <v>0</v>
      </c>
      <c r="F17" s="1" t="b">
        <f t="shared" si="0"/>
        <v>0</v>
      </c>
      <c r="G17" s="9"/>
    </row>
    <row r="18" spans="2:7" ht="21.75" customHeight="1">
      <c r="B18" s="2"/>
      <c r="C18" s="10" t="str">
        <f>HLOOKUP($F$2,Nombres!$C$3:$D$636,19,FALSE)</f>
        <v>Centro Corporativo</v>
      </c>
      <c r="D18" s="22"/>
      <c r="E18" s="2" t="b">
        <v>0</v>
      </c>
      <c r="F18" s="1" t="b">
        <f t="shared" si="0"/>
        <v>0</v>
      </c>
      <c r="G18" s="9"/>
    </row>
    <row r="19" spans="2:7" ht="23.25" customHeight="1">
      <c r="B19" s="2"/>
      <c r="C19" s="23"/>
      <c r="D19" s="22"/>
      <c r="E19" s="2" t="b">
        <v>0</v>
      </c>
      <c r="F19" s="1" t="b">
        <f t="shared" si="0"/>
        <v>0</v>
      </c>
      <c r="G19" s="9"/>
    </row>
    <row r="20" spans="2:7" ht="24.75" customHeight="1">
      <c r="B20" s="2"/>
      <c r="C20" s="7" t="str">
        <f>HLOOKUP($F$2,Nombres!$C$3:$D$636,20,FALSE)</f>
        <v>Información adicional:</v>
      </c>
      <c r="D20" s="2"/>
      <c r="E20" s="2"/>
      <c r="G20" s="9"/>
    </row>
    <row r="21" spans="2:11" s="16" customFormat="1" ht="23.25" customHeight="1">
      <c r="B21" s="2"/>
      <c r="C21" s="10" t="str">
        <f>HLOOKUP($F$2,Nombres!$C$3:$D$636,21,FALSE)</f>
        <v>Corporate &amp; Investment Banking</v>
      </c>
      <c r="D21" s="2"/>
      <c r="E21" s="2"/>
      <c r="F21" s="1"/>
      <c r="G21" s="9"/>
      <c r="H21" s="1"/>
      <c r="I21" s="1"/>
      <c r="J21" s="1"/>
      <c r="K21" s="1"/>
    </row>
    <row r="22" spans="2:11" s="24" customFormat="1" ht="23.25" customHeight="1">
      <c r="B22" s="2"/>
      <c r="C22" s="7" t="str">
        <f>HLOOKUP($F$2,Nombres!$C$3:$D$636,22,FALSE)</f>
        <v>Anexo:</v>
      </c>
      <c r="D22" s="2"/>
      <c r="E22" s="2" t="b">
        <v>0</v>
      </c>
      <c r="F22" s="1" t="b">
        <f>OR($E$8,E22)</f>
        <v>0</v>
      </c>
      <c r="G22" s="9"/>
      <c r="H22" s="1"/>
      <c r="I22" s="1"/>
      <c r="J22" s="1"/>
      <c r="K22" s="1"/>
    </row>
    <row r="23" spans="2:7" ht="23.25" customHeight="1">
      <c r="B23" s="2"/>
      <c r="C23" s="25" t="str">
        <f>HLOOKUP($F$2,Nombres!$C$3:$D$636,23,FALSE)</f>
        <v>Eficiencia</v>
      </c>
      <c r="D23" s="22"/>
      <c r="E23" s="2"/>
      <c r="G23" s="9"/>
    </row>
    <row r="24" spans="2:7" ht="23.25" customHeight="1">
      <c r="B24" s="2"/>
      <c r="C24" s="25" t="str">
        <f>HLOOKUP($F$2,Nombres!$C$3:$D$636,24,FALSE)</f>
        <v>Tasas de mora, cobertura y coste de riesgo</v>
      </c>
      <c r="D24" s="22"/>
      <c r="E24" s="2"/>
      <c r="G24" s="9"/>
    </row>
    <row r="25" spans="2:7" ht="23.25" customHeight="1">
      <c r="B25" s="2"/>
      <c r="C25" s="25" t="str">
        <f>HLOOKUP($F$2,Nombres!$C$3:$D$636,25,FALSE)</f>
        <v>Empleados, oficinas y cajeros automáticos</v>
      </c>
      <c r="D25" s="22"/>
      <c r="E25" s="2"/>
      <c r="G25" s="9"/>
    </row>
    <row r="26" spans="2:7" ht="23.25" customHeight="1">
      <c r="B26" s="2"/>
      <c r="C26" s="25" t="str">
        <f>HLOOKUP($F$2,Nombres!$C$3:$D$636,26,FALSE)</f>
        <v>Tipos de cambio</v>
      </c>
      <c r="D26" s="14"/>
      <c r="E26" s="2"/>
      <c r="G26" s="9"/>
    </row>
    <row r="27" spans="2:11" ht="22.5" customHeight="1">
      <c r="B27" s="14"/>
      <c r="C27" s="25" t="str">
        <f>HLOOKUP($F$2,Nombres!$C$3:$D$636,27,FALSE)</f>
        <v>Diferenciales de la clientela</v>
      </c>
      <c r="D27" s="2"/>
      <c r="E27" s="14" t="b">
        <v>0</v>
      </c>
      <c r="F27" s="1" t="b">
        <f aca="true" t="shared" si="1" ref="F27:F34">OR($E$26,E27)</f>
        <v>0</v>
      </c>
      <c r="G27" s="15"/>
      <c r="H27" s="16"/>
      <c r="I27" s="16"/>
      <c r="J27" s="16"/>
      <c r="K27" s="16"/>
    </row>
    <row r="28" spans="2:11" ht="22.5" customHeight="1">
      <c r="B28" s="26"/>
      <c r="C28" s="25" t="str">
        <f>HLOOKUP($F$2,Nombres!$C$3:$D$636,28,FALSE)</f>
        <v>Activos ponderados por riesgo. Desglose por áreas de negocio y principales países</v>
      </c>
      <c r="D28" s="2"/>
      <c r="E28" s="26" t="b">
        <v>0</v>
      </c>
      <c r="F28" s="24" t="b">
        <f t="shared" si="1"/>
        <v>0</v>
      </c>
      <c r="G28" s="27"/>
      <c r="H28" s="24"/>
      <c r="I28" s="24"/>
      <c r="J28" s="24"/>
      <c r="K28" s="24"/>
    </row>
    <row r="29" spans="2:7" ht="23.25" customHeight="1">
      <c r="B29" s="2"/>
      <c r="C29" s="25" t="str">
        <f>HLOOKUP($F$2,Nombres!$C$3:$D$636,29,FALSE)</f>
        <v>Desglose del crédito no dudoso en gestión</v>
      </c>
      <c r="D29" s="2"/>
      <c r="E29" s="2" t="b">
        <v>0</v>
      </c>
      <c r="F29" s="1" t="b">
        <f t="shared" si="1"/>
        <v>0</v>
      </c>
      <c r="G29" s="9"/>
    </row>
    <row r="30" spans="2:7" ht="23.25" customHeight="1">
      <c r="B30" s="2"/>
      <c r="C30" s="25" t="str">
        <f>HLOOKUP($F$2,Nombres!$C$3:$D$636,120,FALSE)</f>
        <v>Desglose de los recursos de clientes en gestión</v>
      </c>
      <c r="D30" s="2"/>
      <c r="E30" s="2" t="b">
        <v>0</v>
      </c>
      <c r="F30" s="1" t="b">
        <f t="shared" si="1"/>
        <v>0</v>
      </c>
      <c r="G30" s="9"/>
    </row>
    <row r="31" spans="2:6" ht="23.25" customHeight="1">
      <c r="B31" s="2"/>
      <c r="C31" s="25" t="str">
        <f>HLOOKUP($F$2,Nombres!$C$3:$D$636,242,FALSE)</f>
        <v>Carteras Coap</v>
      </c>
      <c r="D31" s="14"/>
      <c r="E31" s="2" t="b">
        <v>1</v>
      </c>
      <c r="F31" s="1" t="b">
        <f t="shared" si="1"/>
        <v>1</v>
      </c>
    </row>
    <row r="32" spans="2:6" ht="23.25" customHeight="1">
      <c r="B32" s="2"/>
      <c r="C32" s="3"/>
      <c r="D32" s="26"/>
      <c r="E32" s="2" t="b">
        <v>0</v>
      </c>
      <c r="F32" s="1" t="b">
        <f t="shared" si="1"/>
        <v>0</v>
      </c>
    </row>
    <row r="33" spans="2:6" ht="23.25" customHeight="1">
      <c r="B33" s="2"/>
      <c r="C33" s="262"/>
      <c r="D33" s="2"/>
      <c r="E33" s="2" t="b">
        <v>0</v>
      </c>
      <c r="F33" s="1" t="b">
        <f t="shared" si="1"/>
        <v>0</v>
      </c>
    </row>
    <row r="34" spans="2:6" ht="23.25" customHeight="1">
      <c r="B34" s="2"/>
      <c r="C34" s="3"/>
      <c r="D34" s="2"/>
      <c r="E34" s="2" t="b">
        <v>0</v>
      </c>
      <c r="F34" s="1" t="b">
        <f t="shared" si="1"/>
        <v>0</v>
      </c>
    </row>
    <row r="35" spans="2:5" ht="23.25" customHeight="1">
      <c r="B35" s="2"/>
      <c r="C35" s="3"/>
      <c r="D35" s="2"/>
      <c r="E35" s="2"/>
    </row>
    <row r="36" spans="2:5" ht="23.25" customHeight="1">
      <c r="B36" s="2"/>
      <c r="C36" s="3"/>
      <c r="D36" s="2"/>
      <c r="E36" s="2"/>
    </row>
    <row r="37" spans="2:8" ht="23.25" customHeight="1">
      <c r="B37" s="2"/>
      <c r="C37" s="300"/>
      <c r="D37" s="300"/>
      <c r="E37" s="300"/>
      <c r="F37" s="300"/>
      <c r="G37" s="300"/>
      <c r="H37" s="300"/>
    </row>
    <row r="38" spans="2:5" ht="23.25" customHeight="1">
      <c r="B38" s="2"/>
      <c r="D38" s="2"/>
      <c r="E38" s="2"/>
    </row>
    <row r="39" spans="2:5" ht="23.25" customHeight="1">
      <c r="B39" s="2"/>
      <c r="D39" s="2"/>
      <c r="E39" s="2"/>
    </row>
    <row r="40" spans="2:5" ht="23.25" customHeight="1">
      <c r="B40" s="2"/>
      <c r="D40" s="2"/>
      <c r="E40" s="2"/>
    </row>
    <row r="41" spans="2:5" ht="23.25" customHeight="1">
      <c r="B41" s="2"/>
      <c r="D41" s="2"/>
      <c r="E41" s="2"/>
    </row>
    <row r="46" ht="23.25" customHeight="1">
      <c r="G46" s="272"/>
    </row>
    <row r="1003" ht="23.25" customHeight="1">
      <c r="A1003" s="1" t="s">
        <v>391</v>
      </c>
    </row>
  </sheetData>
  <sheetProtection/>
  <mergeCells count="1">
    <mergeCell ref="C37:H37"/>
  </mergeCells>
  <hyperlinks>
    <hyperlink ref="C5" location="'Cuenta de Resultados'!A1" display="'Cuenta de Resultados'!A1"/>
    <hyperlink ref="C9" location="España!A1" display="España!A1"/>
    <hyperlink ref="C10" location="Mexico!A1" display="Mexico!A1"/>
    <hyperlink ref="C11" location="Turquia!A1" display="Turquia!A1"/>
    <hyperlink ref="C12" location="AdS!A1" display="AdS!A1"/>
    <hyperlink ref="C13" location="Argentina!A1" display="Argentina!A1"/>
    <hyperlink ref="C14" location="Chile!A1" display="Chile!A1"/>
    <hyperlink ref="C15" location="Colombia!A1" display="Colombia!A1"/>
    <hyperlink ref="C16" location="Peru!A1" display="Peru!A1"/>
    <hyperlink ref="C17" location="'Resto de Negocios'!A1" display="'Resto de Negocios'!A1"/>
    <hyperlink ref="C18" location="'Centro Corporativo'!A1" display="'Centro Corporativo'!A1"/>
    <hyperlink ref="C21" location="'Corporate &amp; Investment Banking'!A1" display="'Corporate &amp; Investment Banking'!A1"/>
    <hyperlink ref="C23" location="Eficiencia!A1" display="Eficiencia!A1"/>
    <hyperlink ref="C24" location="'Mora,cobertura,coste de riesgo'!A1" display="'Mora,cobertura,coste de riesgo'!A1"/>
    <hyperlink ref="C25" location="'Empleados, oficinas y cajeros'!A1" display="'Empleados, oficinas y cajeros'!A1"/>
    <hyperlink ref="C26" location="'Tipos de Cambio'!A1" display="'Tipos de Cambio'!A1"/>
    <hyperlink ref="C28" location="APRs!A1" display="APRs!A1"/>
    <hyperlink ref="C29" location="Inversion!A1" display="Inversion!A1"/>
    <hyperlink ref="C27" location="Diferenciales!A1" display="Diferenciales!A1"/>
    <hyperlink ref="C30" location="Recursos!A1" display="Recursos!A1"/>
    <hyperlink ref="C7" location="Balance!A1" display="Balance!A1"/>
    <hyperlink ref="C31" location="ALCO!A1" display="ALCO!A1"/>
  </hyperlinks>
  <printOptions/>
  <pageMargins left="0.7" right="0.7" top="0.75" bottom="0.75" header="0.3" footer="0.3"/>
  <pageSetup horizontalDpi="600" verticalDpi="600" orientation="portrait" paperSize="9" r:id="rId3"/>
  <drawing r:id="rId2"/>
  <legacyDrawing r:id="rId1"/>
</worksheet>
</file>

<file path=xl/worksheets/sheet20.xml><?xml version="1.0" encoding="utf-8"?>
<worksheet xmlns="http://schemas.openxmlformats.org/spreadsheetml/2006/main" xmlns:r="http://schemas.openxmlformats.org/officeDocument/2006/relationships">
  <dimension ref="A1:AD996"/>
  <sheetViews>
    <sheetView showGridLines="0" zoomScalePageLayoutView="0" workbookViewId="0" topLeftCell="A1">
      <selection activeCell="A1" sqref="A1"/>
    </sheetView>
  </sheetViews>
  <sheetFormatPr defaultColWidth="11.421875" defaultRowHeight="15"/>
  <cols>
    <col min="1" max="1" width="30.7109375" style="177" customWidth="1"/>
    <col min="2" max="9" width="10.7109375" style="177" customWidth="1"/>
    <col min="10" max="13" width="11.57421875" style="177" customWidth="1"/>
    <col min="14" max="255" width="11.421875" style="177" customWidth="1"/>
  </cols>
  <sheetData>
    <row r="1" spans="1:9" ht="19.5">
      <c r="A1" s="93" t="str">
        <f>HLOOKUP(INDICE!$F$2,Nombres!$C$3:$D$636,171,FALSE)</f>
        <v>Diferenciales de la clientela (*)</v>
      </c>
      <c r="B1" s="176"/>
      <c r="C1" s="176"/>
      <c r="D1" s="176"/>
      <c r="E1" s="176"/>
      <c r="F1" s="176"/>
      <c r="G1" s="250"/>
      <c r="H1" s="250"/>
      <c r="I1" s="250"/>
    </row>
    <row r="2" spans="1:9" ht="19.5">
      <c r="A2" s="178" t="str">
        <f>HLOOKUP(INDICE!$F$2,Nombres!$C$3:$D$636,172,FALSE)</f>
        <v>(Porcentaje)</v>
      </c>
      <c r="B2" s="179"/>
      <c r="C2" s="179"/>
      <c r="D2" s="179"/>
      <c r="E2" s="179"/>
      <c r="F2" s="179"/>
      <c r="G2" s="180"/>
      <c r="H2" s="180"/>
      <c r="I2" s="180"/>
    </row>
    <row r="3" spans="1:9" ht="15.75">
      <c r="A3" s="180"/>
      <c r="B3" s="305">
        <f>+España!B6</f>
        <v>2022</v>
      </c>
      <c r="C3" s="305"/>
      <c r="D3" s="305"/>
      <c r="E3" s="305"/>
      <c r="F3" s="305">
        <f>+España!F6</f>
        <v>2023</v>
      </c>
      <c r="G3" s="305"/>
      <c r="H3" s="305"/>
      <c r="I3" s="305"/>
    </row>
    <row r="4" spans="1:9" ht="15.75">
      <c r="A4" s="141"/>
      <c r="B4" s="181" t="str">
        <f>HLOOKUP(INDICE!$F$2,Nombres!$C$3:$D$636,167,FALSE)</f>
        <v>1er Trim.</v>
      </c>
      <c r="C4" s="181" t="str">
        <f>HLOOKUP(INDICE!$F$2,Nombres!$C$3:$D$636,168,FALSE)</f>
        <v>2º Trim.</v>
      </c>
      <c r="D4" s="181" t="str">
        <f>HLOOKUP(INDICE!$F$2,Nombres!$C$3:$D$636,169,FALSE)</f>
        <v>3er Trim.</v>
      </c>
      <c r="E4" s="181" t="str">
        <f>HLOOKUP(INDICE!$F$2,Nombres!$C$3:$D$636,170,FALSE)</f>
        <v>4º Trim.</v>
      </c>
      <c r="F4" s="181" t="str">
        <f>HLOOKUP(INDICE!$F$2,Nombres!$C$3:$D$636,167,FALSE)</f>
        <v>1er Trim.</v>
      </c>
      <c r="G4" s="181" t="str">
        <f>HLOOKUP(INDICE!$F$2,Nombres!$C$3:$D$636,168,FALSE)</f>
        <v>2º Trim.</v>
      </c>
      <c r="H4" s="181" t="str">
        <f>HLOOKUP(INDICE!$F$2,Nombres!$C$3:$D$636,169,FALSE)</f>
        <v>3er Trim.</v>
      </c>
      <c r="I4" s="181" t="str">
        <f>HLOOKUP(INDICE!$F$2,Nombres!$C$3:$D$636,170,FALSE)</f>
        <v>4º Trim.</v>
      </c>
    </row>
    <row r="5" spans="1:9" ht="15">
      <c r="A5" s="141"/>
      <c r="B5" s="100"/>
      <c r="C5" s="100"/>
      <c r="D5" s="100"/>
      <c r="E5" s="100"/>
      <c r="F5" s="100"/>
      <c r="G5" s="180"/>
      <c r="H5" s="180"/>
      <c r="I5" s="180"/>
    </row>
    <row r="6" spans="1:30" ht="15">
      <c r="A6" s="182" t="str">
        <f>HLOOKUP(INDICE!$F$2,Nombres!$C$3:$D$636,173,FALSE)</f>
        <v>Rentabilidad de los prestamos</v>
      </c>
      <c r="B6" s="183">
        <v>0.017100471610330813</v>
      </c>
      <c r="C6" s="183">
        <v>0.0174293725158536</v>
      </c>
      <c r="D6" s="183">
        <v>0.01930581484305085</v>
      </c>
      <c r="E6" s="183">
        <v>0.02415878095690275</v>
      </c>
      <c r="F6" s="183">
        <v>0.031132326439448202</v>
      </c>
      <c r="G6" s="183">
        <v>0.036440019311857905</v>
      </c>
      <c r="H6" s="183">
        <v>0.040117115350621846</v>
      </c>
      <c r="I6" s="183">
        <v>0.04282067802922769</v>
      </c>
      <c r="J6" s="291"/>
      <c r="K6" s="283"/>
      <c r="L6" s="283"/>
      <c r="M6" s="283"/>
      <c r="O6" s="184"/>
      <c r="P6" s="184"/>
      <c r="Q6" s="184"/>
      <c r="R6" s="184"/>
      <c r="W6" s="184"/>
      <c r="X6" s="184"/>
      <c r="Y6" s="184"/>
      <c r="Z6" s="184"/>
      <c r="AA6" s="184"/>
      <c r="AB6" s="184"/>
      <c r="AC6" s="184"/>
      <c r="AD6" s="184"/>
    </row>
    <row r="7" spans="1:30" ht="15">
      <c r="A7" s="182" t="str">
        <f>HLOOKUP(INDICE!$F$2,Nombres!$C$3:$D$636,174,FALSE)</f>
        <v>Coste de los depositos</v>
      </c>
      <c r="B7" s="183">
        <v>-4.121262380617316E-05</v>
      </c>
      <c r="C7" s="183">
        <v>-0.000272600466156169</v>
      </c>
      <c r="D7" s="183">
        <v>-0.0007976495198733596</v>
      </c>
      <c r="E7" s="183">
        <v>-0.0020647080722731425</v>
      </c>
      <c r="F7" s="183">
        <v>-0.003673145585227048</v>
      </c>
      <c r="G7" s="183">
        <v>-0.005279021889935075</v>
      </c>
      <c r="H7" s="183">
        <v>-0.006849939213230677</v>
      </c>
      <c r="I7" s="183">
        <v>-0.008598091624278088</v>
      </c>
      <c r="J7" s="291"/>
      <c r="K7" s="283"/>
      <c r="L7" s="283"/>
      <c r="M7" s="283"/>
      <c r="O7" s="184"/>
      <c r="P7" s="184"/>
      <c r="Q7" s="184"/>
      <c r="R7" s="184"/>
      <c r="W7" s="184"/>
      <c r="X7" s="184"/>
      <c r="Y7" s="184"/>
      <c r="Z7" s="184"/>
      <c r="AA7" s="184"/>
      <c r="AB7" s="184"/>
      <c r="AC7" s="184"/>
      <c r="AD7" s="184"/>
    </row>
    <row r="8" spans="1:30" ht="15">
      <c r="A8" s="185" t="str">
        <f>HLOOKUP(INDICE!$F$2,Nombres!$C$3:$D$636,175,FALSE)</f>
        <v>Actividad bancaria en España</v>
      </c>
      <c r="B8" s="186">
        <v>0.01705925898652464</v>
      </c>
      <c r="C8" s="186">
        <v>0.01715677204969743</v>
      </c>
      <c r="D8" s="186">
        <v>0.01850816532317749</v>
      </c>
      <c r="E8" s="186">
        <v>0.022094072884629605</v>
      </c>
      <c r="F8" s="186">
        <v>0.027459180854221155</v>
      </c>
      <c r="G8" s="186">
        <v>0.03116099742192283</v>
      </c>
      <c r="H8" s="186">
        <v>0.03326717613739117</v>
      </c>
      <c r="I8" s="186">
        <v>0.0342225864049496</v>
      </c>
      <c r="J8" s="291"/>
      <c r="K8" s="283"/>
      <c r="L8" s="283"/>
      <c r="M8" s="283"/>
      <c r="O8" s="184"/>
      <c r="P8" s="184"/>
      <c r="Q8" s="184"/>
      <c r="R8" s="184"/>
      <c r="W8" s="184"/>
      <c r="X8" s="184"/>
      <c r="Y8" s="184"/>
      <c r="Z8" s="184"/>
      <c r="AA8" s="184"/>
      <c r="AB8" s="184"/>
      <c r="AC8" s="184"/>
      <c r="AD8" s="184"/>
    </row>
    <row r="9" spans="1:30" ht="15">
      <c r="A9" s="141"/>
      <c r="B9" s="187"/>
      <c r="C9" s="187"/>
      <c r="D9" s="187"/>
      <c r="E9" s="187"/>
      <c r="F9" s="187"/>
      <c r="G9" s="187"/>
      <c r="H9" s="187"/>
      <c r="I9" s="187"/>
      <c r="O9" s="184"/>
      <c r="P9" s="184"/>
      <c r="Q9" s="184"/>
      <c r="R9" s="184"/>
      <c r="W9" s="184"/>
      <c r="X9" s="184"/>
      <c r="Y9" s="184"/>
      <c r="Z9" s="184"/>
      <c r="AA9" s="184"/>
      <c r="AB9" s="184"/>
      <c r="AC9" s="184"/>
      <c r="AD9" s="184"/>
    </row>
    <row r="10" spans="1:30" ht="15">
      <c r="A10" s="182" t="str">
        <f>HLOOKUP(INDICE!$F$2,Nombres!$C$3:$D$636,173,FALSE)</f>
        <v>Rentabilidad de los prestamos</v>
      </c>
      <c r="B10" s="183">
        <v>0.12791434793621811</v>
      </c>
      <c r="C10" s="183">
        <v>0.1330929827154512</v>
      </c>
      <c r="D10" s="183">
        <v>0.13943192250933265</v>
      </c>
      <c r="E10" s="183">
        <v>0.14564164157963333</v>
      </c>
      <c r="F10" s="183">
        <v>0.15209351695188247</v>
      </c>
      <c r="G10" s="183">
        <v>0.15471226068079091</v>
      </c>
      <c r="H10" s="183">
        <v>0.15627167460943753</v>
      </c>
      <c r="I10" s="183">
        <v>0.15530088264273723</v>
      </c>
      <c r="J10" s="291"/>
      <c r="K10" s="283"/>
      <c r="L10" s="283"/>
      <c r="M10" s="283"/>
      <c r="O10" s="184"/>
      <c r="P10" s="184"/>
      <c r="Q10" s="184"/>
      <c r="R10" s="184"/>
      <c r="W10" s="184"/>
      <c r="X10" s="184"/>
      <c r="Y10" s="184"/>
      <c r="Z10" s="184"/>
      <c r="AA10" s="184"/>
      <c r="AB10" s="184"/>
      <c r="AC10" s="184"/>
      <c r="AD10" s="184"/>
    </row>
    <row r="11" spans="1:30" ht="15">
      <c r="A11" s="182" t="str">
        <f>HLOOKUP(INDICE!$F$2,Nombres!$C$3:$D$636,174,FALSE)</f>
        <v>Coste de los depositos</v>
      </c>
      <c r="B11" s="183">
        <v>-0.01424762298179531</v>
      </c>
      <c r="C11" s="183">
        <v>-0.016749668729310278</v>
      </c>
      <c r="D11" s="183">
        <v>-0.020255336759463217</v>
      </c>
      <c r="E11" s="183">
        <v>-0.024024176866180122</v>
      </c>
      <c r="F11" s="183">
        <v>-0.02650338884121314</v>
      </c>
      <c r="G11" s="183">
        <v>-0.027466895601772307</v>
      </c>
      <c r="H11" s="183">
        <v>-0.02925744117534375</v>
      </c>
      <c r="I11" s="183">
        <v>-0.030921374512561002</v>
      </c>
      <c r="J11" s="291"/>
      <c r="K11" s="283"/>
      <c r="L11" s="283"/>
      <c r="M11" s="283"/>
      <c r="O11" s="184"/>
      <c r="P11" s="184"/>
      <c r="Q11" s="184"/>
      <c r="R11" s="184"/>
      <c r="W11" s="184"/>
      <c r="X11" s="184"/>
      <c r="Y11" s="184"/>
      <c r="Z11" s="184"/>
      <c r="AA11" s="184"/>
      <c r="AB11" s="184"/>
      <c r="AC11" s="184"/>
      <c r="AD11" s="184"/>
    </row>
    <row r="12" spans="1:30" ht="15">
      <c r="A12" s="185" t="str">
        <f>HLOOKUP(INDICE!$F$2,Nombres!$C$3:$D$636,177,FALSE)</f>
        <v>México pesos mexicanos</v>
      </c>
      <c r="B12" s="186">
        <v>0.1136667249544228</v>
      </c>
      <c r="C12" s="186">
        <v>0.11634331398614092</v>
      </c>
      <c r="D12" s="186">
        <v>0.11917658574986943</v>
      </c>
      <c r="E12" s="186">
        <v>0.12161746471345321</v>
      </c>
      <c r="F12" s="186">
        <v>0.12559012811066933</v>
      </c>
      <c r="G12" s="186">
        <v>0.1272453650790186</v>
      </c>
      <c r="H12" s="186">
        <v>0.1270142334340938</v>
      </c>
      <c r="I12" s="186">
        <v>0.12437950813017623</v>
      </c>
      <c r="J12" s="291"/>
      <c r="K12" s="283"/>
      <c r="L12" s="283"/>
      <c r="M12" s="283"/>
      <c r="O12" s="184"/>
      <c r="P12" s="184"/>
      <c r="Q12" s="184"/>
      <c r="R12" s="184"/>
      <c r="W12" s="184"/>
      <c r="X12" s="184"/>
      <c r="Y12" s="184"/>
      <c r="Z12" s="184"/>
      <c r="AA12" s="184"/>
      <c r="AB12" s="184"/>
      <c r="AC12" s="184"/>
      <c r="AD12" s="184"/>
    </row>
    <row r="13" spans="1:30" ht="15">
      <c r="A13" s="141"/>
      <c r="B13" s="187"/>
      <c r="C13" s="187"/>
      <c r="D13" s="187"/>
      <c r="E13" s="187"/>
      <c r="F13" s="187"/>
      <c r="G13" s="187"/>
      <c r="H13" s="187"/>
      <c r="I13" s="187"/>
      <c r="O13" s="184"/>
      <c r="P13" s="184"/>
      <c r="Q13" s="184"/>
      <c r="R13" s="184"/>
      <c r="W13" s="184"/>
      <c r="X13" s="184"/>
      <c r="Y13" s="184"/>
      <c r="Z13" s="184"/>
      <c r="AA13" s="184"/>
      <c r="AB13" s="184"/>
      <c r="AC13" s="184"/>
      <c r="AD13" s="184"/>
    </row>
    <row r="14" spans="1:30" ht="15">
      <c r="A14" s="182" t="str">
        <f>HLOOKUP(INDICE!$F$2,Nombres!$C$3:$D$636,173,FALSE)</f>
        <v>Rentabilidad de los prestamos</v>
      </c>
      <c r="B14" s="187">
        <v>0.02964671805327852</v>
      </c>
      <c r="C14" s="187">
        <v>0.033828643923429984</v>
      </c>
      <c r="D14" s="187">
        <v>0.043159377584270804</v>
      </c>
      <c r="E14" s="187">
        <v>0.05495092569225726</v>
      </c>
      <c r="F14" s="187">
        <v>0.06214204968120192</v>
      </c>
      <c r="G14" s="187">
        <v>0.06621476542445039</v>
      </c>
      <c r="H14" s="187">
        <v>0.06962254741570185</v>
      </c>
      <c r="I14" s="187">
        <v>0.07171703454529943</v>
      </c>
      <c r="O14" s="184"/>
      <c r="P14" s="184"/>
      <c r="Q14" s="184"/>
      <c r="R14" s="184"/>
      <c r="W14" s="184"/>
      <c r="X14" s="184"/>
      <c r="Y14" s="184"/>
      <c r="Z14" s="184"/>
      <c r="AA14" s="184"/>
      <c r="AB14" s="184"/>
      <c r="AC14" s="184"/>
      <c r="AD14" s="184"/>
    </row>
    <row r="15" spans="1:30" ht="15">
      <c r="A15" s="182" t="str">
        <f>HLOOKUP(INDICE!$F$2,Nombres!$C$3:$D$636,174,FALSE)</f>
        <v>Coste de los depositos</v>
      </c>
      <c r="B15" s="187">
        <v>-0.0002230968022216293</v>
      </c>
      <c r="C15" s="187">
        <v>-0.00045790858676113456</v>
      </c>
      <c r="D15" s="187">
        <v>-0.0011847510341060005</v>
      </c>
      <c r="E15" s="187">
        <v>-0.001940562447972334</v>
      </c>
      <c r="F15" s="187">
        <v>-0.0025692484868020836</v>
      </c>
      <c r="G15" s="187">
        <v>-0.0037933121466861923</v>
      </c>
      <c r="H15" s="187">
        <v>-0.004464552596046799</v>
      </c>
      <c r="I15" s="187">
        <v>-0.006196933325335673</v>
      </c>
      <c r="O15" s="184"/>
      <c r="P15" s="184"/>
      <c r="Q15" s="184"/>
      <c r="R15" s="184"/>
      <c r="W15" s="184"/>
      <c r="X15" s="184"/>
      <c r="Y15" s="184"/>
      <c r="Z15" s="184"/>
      <c r="AA15" s="184"/>
      <c r="AB15" s="184"/>
      <c r="AC15" s="184"/>
      <c r="AD15" s="184"/>
    </row>
    <row r="16" spans="1:30" ht="15">
      <c r="A16" s="185" t="str">
        <f>HLOOKUP(INDICE!$F$2,Nombres!$C$3:$D$636,178,FALSE)</f>
        <v>México moneda extranjera</v>
      </c>
      <c r="B16" s="188">
        <v>0.02942362125105689</v>
      </c>
      <c r="C16" s="188">
        <v>0.03337073533666885</v>
      </c>
      <c r="D16" s="188">
        <v>0.041974626550164804</v>
      </c>
      <c r="E16" s="188">
        <v>0.05301036324428493</v>
      </c>
      <c r="F16" s="188">
        <v>0.05957280119439984</v>
      </c>
      <c r="G16" s="188">
        <v>0.062421453277764195</v>
      </c>
      <c r="H16" s="188">
        <v>0.06515799481965506</v>
      </c>
      <c r="I16" s="188">
        <v>0.06552010121996375</v>
      </c>
      <c r="O16" s="184"/>
      <c r="P16" s="184"/>
      <c r="Q16" s="184"/>
      <c r="R16" s="184"/>
      <c r="W16" s="184"/>
      <c r="X16" s="184"/>
      <c r="Y16" s="184"/>
      <c r="Z16" s="184"/>
      <c r="AA16" s="184"/>
      <c r="AB16" s="184"/>
      <c r="AC16" s="184"/>
      <c r="AD16" s="184"/>
    </row>
    <row r="17" spans="1:30" ht="15">
      <c r="A17" s="141"/>
      <c r="B17" s="187"/>
      <c r="C17" s="187"/>
      <c r="D17" s="187"/>
      <c r="E17" s="187"/>
      <c r="F17" s="187"/>
      <c r="G17" s="187"/>
      <c r="H17" s="187"/>
      <c r="I17" s="187"/>
      <c r="O17" s="184"/>
      <c r="P17" s="184"/>
      <c r="Q17" s="184"/>
      <c r="R17" s="184"/>
      <c r="W17" s="184"/>
      <c r="X17" s="184"/>
      <c r="Y17" s="184"/>
      <c r="Z17" s="184"/>
      <c r="AA17" s="184"/>
      <c r="AB17" s="184"/>
      <c r="AC17" s="184"/>
      <c r="AD17" s="184"/>
    </row>
    <row r="18" spans="1:30" ht="15">
      <c r="A18" s="182" t="str">
        <f>HLOOKUP(INDICE!$F$2,Nombres!$C$3:$D$636,173,FALSE)</f>
        <v>Rentabilidad de los prestamos</v>
      </c>
      <c r="B18" s="183">
        <v>0.17752588226577382</v>
      </c>
      <c r="C18" s="183">
        <v>0.18604372616273018</v>
      </c>
      <c r="D18" s="183">
        <v>0.20919401221665745</v>
      </c>
      <c r="E18" s="183">
        <v>0.1867422390999467</v>
      </c>
      <c r="F18" s="183">
        <v>0.16838204415435995</v>
      </c>
      <c r="G18" s="183">
        <v>0.16501229242923304</v>
      </c>
      <c r="H18" s="183">
        <v>0.20200529421758642</v>
      </c>
      <c r="I18" s="183">
        <v>0.284858956974465</v>
      </c>
      <c r="J18" s="291"/>
      <c r="K18" s="283"/>
      <c r="L18" s="283"/>
      <c r="M18" s="283"/>
      <c r="O18" s="184"/>
      <c r="P18" s="184"/>
      <c r="Q18" s="184"/>
      <c r="R18" s="184"/>
      <c r="W18" s="184"/>
      <c r="X18" s="184"/>
      <c r="Y18" s="184"/>
      <c r="Z18" s="184"/>
      <c r="AA18" s="184"/>
      <c r="AB18" s="184"/>
      <c r="AC18" s="184"/>
      <c r="AD18" s="184"/>
    </row>
    <row r="19" spans="1:30" ht="15">
      <c r="A19" s="182" t="str">
        <f>HLOOKUP(INDICE!$F$2,Nombres!$C$3:$D$636,174,FALSE)</f>
        <v>Coste de los depositos</v>
      </c>
      <c r="B19" s="183">
        <v>-0.12530942865274364</v>
      </c>
      <c r="C19" s="183">
        <v>-0.11952532280685943</v>
      </c>
      <c r="D19" s="183">
        <v>-0.11919949601023076</v>
      </c>
      <c r="E19" s="183">
        <v>-0.11489173751727455</v>
      </c>
      <c r="F19" s="183">
        <v>-0.12922265266581584</v>
      </c>
      <c r="G19" s="183">
        <v>-0.15686534358462165</v>
      </c>
      <c r="H19" s="183">
        <v>-0.19688088295215814</v>
      </c>
      <c r="I19" s="183">
        <v>-0.2810186693766929</v>
      </c>
      <c r="J19" s="291"/>
      <c r="K19" s="283"/>
      <c r="L19" s="283"/>
      <c r="M19" s="283"/>
      <c r="O19" s="184"/>
      <c r="P19" s="184"/>
      <c r="Q19" s="184"/>
      <c r="R19" s="184"/>
      <c r="W19" s="184"/>
      <c r="X19" s="184"/>
      <c r="Y19" s="184"/>
      <c r="Z19" s="184"/>
      <c r="AA19" s="184"/>
      <c r="AB19" s="184"/>
      <c r="AC19" s="184"/>
      <c r="AD19" s="184"/>
    </row>
    <row r="20" spans="1:30" ht="15">
      <c r="A20" s="185" t="str">
        <f>HLOOKUP(INDICE!$F$2,Nombres!$C$3:$D$636,179,FALSE)</f>
        <v>Turquía liras turcas</v>
      </c>
      <c r="B20" s="186">
        <v>0.05221645361303018</v>
      </c>
      <c r="C20" s="186">
        <v>0.06651840335587075</v>
      </c>
      <c r="D20" s="186">
        <v>0.08999451620642669</v>
      </c>
      <c r="E20" s="186">
        <v>0.07185050158267214</v>
      </c>
      <c r="F20" s="186">
        <v>0.03915939148854411</v>
      </c>
      <c r="G20" s="186">
        <v>0.008146948844611396</v>
      </c>
      <c r="H20" s="186">
        <v>0.005124411265428286</v>
      </c>
      <c r="I20" s="186">
        <v>0.0038402875977721074</v>
      </c>
      <c r="J20" s="291"/>
      <c r="K20" s="283"/>
      <c r="L20" s="283"/>
      <c r="M20" s="283"/>
      <c r="O20" s="184"/>
      <c r="P20" s="184"/>
      <c r="Q20" s="184"/>
      <c r="R20" s="184"/>
      <c r="W20" s="184"/>
      <c r="X20" s="184"/>
      <c r="Y20" s="184"/>
      <c r="Z20" s="184"/>
      <c r="AA20" s="184"/>
      <c r="AB20" s="184"/>
      <c r="AC20" s="184"/>
      <c r="AD20" s="184"/>
    </row>
    <row r="21" spans="1:30" ht="15">
      <c r="A21" s="185"/>
      <c r="B21" s="186"/>
      <c r="C21" s="186"/>
      <c r="D21" s="186"/>
      <c r="E21" s="186"/>
      <c r="F21" s="186"/>
      <c r="G21" s="186"/>
      <c r="H21" s="186"/>
      <c r="I21" s="186"/>
      <c r="J21" s="291"/>
      <c r="K21" s="283"/>
      <c r="L21" s="283"/>
      <c r="M21" s="283"/>
      <c r="O21" s="184"/>
      <c r="P21" s="184"/>
      <c r="Q21" s="184"/>
      <c r="R21" s="184"/>
      <c r="W21" s="184"/>
      <c r="X21" s="184"/>
      <c r="Y21" s="184"/>
      <c r="Z21" s="184"/>
      <c r="AA21" s="184"/>
      <c r="AB21" s="184"/>
      <c r="AC21" s="184"/>
      <c r="AD21" s="184"/>
    </row>
    <row r="22" spans="1:30" ht="15">
      <c r="A22" s="182" t="str">
        <f>HLOOKUP(INDICE!$F$2,Nombres!$C$3:$D$636,173,FALSE)</f>
        <v>Rentabilidad de los prestamos</v>
      </c>
      <c r="B22" s="189">
        <v>0.051878005521567495</v>
      </c>
      <c r="C22" s="189">
        <v>0.06017340203625279</v>
      </c>
      <c r="D22" s="189">
        <v>0.0710309839601613</v>
      </c>
      <c r="E22" s="189">
        <v>0.07979526521593448</v>
      </c>
      <c r="F22" s="189">
        <v>0.08582757964408358</v>
      </c>
      <c r="G22" s="189">
        <v>0.09071804865642907</v>
      </c>
      <c r="H22" s="189">
        <v>0.09527910362251625</v>
      </c>
      <c r="I22" s="189">
        <v>0.09551719245887977</v>
      </c>
      <c r="J22" s="291"/>
      <c r="K22" s="283"/>
      <c r="L22" s="283"/>
      <c r="M22" s="283"/>
      <c r="O22" s="184"/>
      <c r="P22" s="184"/>
      <c r="Q22" s="184"/>
      <c r="R22" s="184"/>
      <c r="W22" s="184"/>
      <c r="X22" s="184"/>
      <c r="Y22" s="184"/>
      <c r="Z22" s="184"/>
      <c r="AA22" s="184"/>
      <c r="AB22" s="184"/>
      <c r="AC22" s="184"/>
      <c r="AD22" s="184"/>
    </row>
    <row r="23" spans="1:30" ht="15">
      <c r="A23" s="182" t="str">
        <f>HLOOKUP(INDICE!$F$2,Nombres!$C$3:$D$636,174,FALSE)</f>
        <v>Coste de los depositos</v>
      </c>
      <c r="B23" s="189">
        <v>-0.0020077497649421522</v>
      </c>
      <c r="C23" s="189">
        <v>-0.0030379782769070812</v>
      </c>
      <c r="D23" s="189">
        <v>-0.005924188647877249</v>
      </c>
      <c r="E23" s="189">
        <v>-0.004923538097256944</v>
      </c>
      <c r="F23" s="189">
        <v>-0.003113921508916749</v>
      </c>
      <c r="G23" s="189">
        <v>-0.0028701427498035097</v>
      </c>
      <c r="H23" s="189">
        <v>-0.002082724217549081</v>
      </c>
      <c r="I23" s="189">
        <v>-0.0017290247219192134</v>
      </c>
      <c r="J23" s="291"/>
      <c r="K23" s="283"/>
      <c r="L23" s="283"/>
      <c r="M23" s="283"/>
      <c r="O23" s="184"/>
      <c r="P23" s="184"/>
      <c r="Q23" s="184"/>
      <c r="R23" s="184"/>
      <c r="W23" s="184"/>
      <c r="X23" s="184"/>
      <c r="Y23" s="184"/>
      <c r="Z23" s="184"/>
      <c r="AA23" s="184"/>
      <c r="AB23" s="184"/>
      <c r="AC23" s="184"/>
      <c r="AD23" s="184"/>
    </row>
    <row r="24" spans="1:30" ht="15">
      <c r="A24" s="185" t="str">
        <f>HLOOKUP(INDICE!$F$2,Nombres!$C$3:$D$636,180,FALSE)</f>
        <v>Turquía moneda extranjera</v>
      </c>
      <c r="B24" s="186">
        <v>0.04987025575662534</v>
      </c>
      <c r="C24" s="186">
        <v>0.05713542375934571</v>
      </c>
      <c r="D24" s="186">
        <v>0.06510679531228405</v>
      </c>
      <c r="E24" s="186">
        <v>0.07487172711867754</v>
      </c>
      <c r="F24" s="186">
        <v>0.08271365813516683</v>
      </c>
      <c r="G24" s="186">
        <v>0.08784790590662557</v>
      </c>
      <c r="H24" s="186">
        <v>0.09319637940496717</v>
      </c>
      <c r="I24" s="186">
        <v>0.09378816773696055</v>
      </c>
      <c r="J24" s="291"/>
      <c r="K24" s="283"/>
      <c r="L24" s="283"/>
      <c r="M24" s="283"/>
      <c r="O24" s="184"/>
      <c r="P24" s="184"/>
      <c r="Q24" s="184"/>
      <c r="R24" s="184"/>
      <c r="W24" s="184"/>
      <c r="X24" s="184"/>
      <c r="Y24" s="184"/>
      <c r="Z24" s="184"/>
      <c r="AA24" s="184"/>
      <c r="AB24" s="184"/>
      <c r="AC24" s="184"/>
      <c r="AD24" s="184"/>
    </row>
    <row r="25" spans="1:30" ht="15">
      <c r="A25" s="141"/>
      <c r="B25" s="187"/>
      <c r="C25" s="187"/>
      <c r="D25" s="187"/>
      <c r="E25" s="187"/>
      <c r="F25" s="187"/>
      <c r="G25" s="187"/>
      <c r="H25" s="187"/>
      <c r="I25" s="187"/>
      <c r="O25" s="184"/>
      <c r="P25" s="184"/>
      <c r="Q25" s="184"/>
      <c r="R25" s="184"/>
      <c r="W25" s="184"/>
      <c r="X25" s="184"/>
      <c r="Y25" s="184"/>
      <c r="Z25" s="184"/>
      <c r="AA25" s="184"/>
      <c r="AB25" s="184"/>
      <c r="AC25" s="184"/>
      <c r="AD25" s="184"/>
    </row>
    <row r="26" spans="1:30" ht="15">
      <c r="A26" s="182" t="str">
        <f>HLOOKUP(INDICE!$F$2,Nombres!$C$3:$D$636,173,FALSE)</f>
        <v>Rentabilidad de los prestamos</v>
      </c>
      <c r="B26" s="183">
        <v>0.2973933995524442</v>
      </c>
      <c r="C26" s="183">
        <v>0.33132658218614175</v>
      </c>
      <c r="D26" s="183">
        <v>0.3898487710954352</v>
      </c>
      <c r="E26" s="183">
        <v>0.45825587723950134</v>
      </c>
      <c r="F26" s="183">
        <v>0.49968580319204314</v>
      </c>
      <c r="G26" s="183">
        <v>0.5441640096591478</v>
      </c>
      <c r="H26" s="183">
        <v>0.6162401577720328</v>
      </c>
      <c r="I26" s="183">
        <v>0.7333278486414399</v>
      </c>
      <c r="J26" s="291"/>
      <c r="K26" s="283"/>
      <c r="L26" s="283"/>
      <c r="M26" s="283"/>
      <c r="O26" s="184"/>
      <c r="P26" s="184"/>
      <c r="Q26" s="184"/>
      <c r="R26" s="184"/>
      <c r="W26" s="184"/>
      <c r="X26" s="184"/>
      <c r="Y26" s="184"/>
      <c r="Z26" s="184"/>
      <c r="AA26" s="184"/>
      <c r="AB26" s="184"/>
      <c r="AC26" s="184"/>
      <c r="AD26" s="184"/>
    </row>
    <row r="27" spans="1:30" ht="15">
      <c r="A27" s="182" t="str">
        <f>HLOOKUP(INDICE!$F$2,Nombres!$C$3:$D$636,174,FALSE)</f>
        <v>Coste de los depositos</v>
      </c>
      <c r="B27" s="183">
        <v>-0.14988952400084696</v>
      </c>
      <c r="C27" s="183">
        <v>-0.19459625926706398</v>
      </c>
      <c r="D27" s="183">
        <v>-0.25283613980743225</v>
      </c>
      <c r="E27" s="183">
        <v>-0.30693616527794026</v>
      </c>
      <c r="F27" s="183">
        <v>-0.3127239735382609</v>
      </c>
      <c r="G27" s="183">
        <v>-0.39672704430464395</v>
      </c>
      <c r="H27" s="183">
        <v>-0.49794519882654936</v>
      </c>
      <c r="I27" s="183">
        <v>-0.46633412267179936</v>
      </c>
      <c r="J27" s="291"/>
      <c r="K27" s="283"/>
      <c r="L27" s="283"/>
      <c r="M27" s="283"/>
      <c r="O27" s="184"/>
      <c r="P27" s="184"/>
      <c r="Q27" s="184"/>
      <c r="R27" s="184"/>
      <c r="W27" s="184"/>
      <c r="X27" s="184"/>
      <c r="Y27" s="184"/>
      <c r="Z27" s="184"/>
      <c r="AA27" s="184"/>
      <c r="AB27" s="184"/>
      <c r="AC27" s="184"/>
      <c r="AD27" s="184"/>
    </row>
    <row r="28" spans="1:30" ht="15">
      <c r="A28" s="185" t="str">
        <f>HLOOKUP(INDICE!$F$2,Nombres!$C$3:$D$636,181,FALSE)</f>
        <v>Argentina</v>
      </c>
      <c r="B28" s="190">
        <v>0.14750387555159725</v>
      </c>
      <c r="C28" s="190">
        <v>0.13673032291907777</v>
      </c>
      <c r="D28" s="190">
        <v>0.13701263128800295</v>
      </c>
      <c r="E28" s="190">
        <v>0.15131971196156108</v>
      </c>
      <c r="F28" s="190">
        <v>0.18696182965378222</v>
      </c>
      <c r="G28" s="190">
        <v>0.14743696535450385</v>
      </c>
      <c r="H28" s="190">
        <v>0.11829495894548342</v>
      </c>
      <c r="I28" s="190">
        <v>0.2669937259696405</v>
      </c>
      <c r="J28" s="291"/>
      <c r="K28" s="283"/>
      <c r="L28" s="283"/>
      <c r="M28" s="283"/>
      <c r="O28" s="184"/>
      <c r="P28" s="184"/>
      <c r="Q28" s="184"/>
      <c r="R28" s="184"/>
      <c r="W28" s="184"/>
      <c r="X28" s="184"/>
      <c r="Y28" s="184"/>
      <c r="Z28" s="184"/>
      <c r="AA28" s="184"/>
      <c r="AB28" s="184"/>
      <c r="AC28" s="184"/>
      <c r="AD28" s="184"/>
    </row>
    <row r="29" spans="1:30" ht="15">
      <c r="A29" s="141"/>
      <c r="B29" s="187"/>
      <c r="C29" s="187"/>
      <c r="D29" s="187"/>
      <c r="E29" s="187"/>
      <c r="F29" s="187"/>
      <c r="G29" s="187"/>
      <c r="H29" s="187"/>
      <c r="I29" s="187"/>
      <c r="O29" s="184"/>
      <c r="P29" s="184"/>
      <c r="Q29" s="184"/>
      <c r="R29" s="184"/>
      <c r="W29" s="184"/>
      <c r="X29" s="184"/>
      <c r="Y29" s="184"/>
      <c r="Z29" s="184"/>
      <c r="AA29" s="184"/>
      <c r="AB29" s="184"/>
      <c r="AC29" s="184"/>
      <c r="AD29" s="184"/>
    </row>
    <row r="30" spans="1:30" ht="15">
      <c r="A30" s="182" t="str">
        <f>HLOOKUP(INDICE!$F$2,Nombres!$C$3:$D$636,173,FALSE)</f>
        <v>Rentabilidad de los prestamos</v>
      </c>
      <c r="B30" s="183">
        <v>0.08900064858658696</v>
      </c>
      <c r="C30" s="183">
        <v>0.09630849130574694</v>
      </c>
      <c r="D30" s="183">
        <v>0.10607812340548976</v>
      </c>
      <c r="E30" s="183">
        <v>0.11859395232300568</v>
      </c>
      <c r="F30" s="183">
        <v>0.12763442490573437</v>
      </c>
      <c r="G30" s="183">
        <v>0.13481884091683827</v>
      </c>
      <c r="H30" s="183">
        <v>0.13871455791192727</v>
      </c>
      <c r="I30" s="183">
        <v>0.1399944482467272</v>
      </c>
      <c r="J30" s="291"/>
      <c r="K30" s="283"/>
      <c r="L30" s="283"/>
      <c r="M30" s="283"/>
      <c r="O30" s="184"/>
      <c r="P30" s="184"/>
      <c r="Q30" s="184"/>
      <c r="R30" s="184"/>
      <c r="W30" s="184"/>
      <c r="X30" s="184"/>
      <c r="Y30" s="184"/>
      <c r="Z30" s="184"/>
      <c r="AA30" s="184"/>
      <c r="AB30" s="184"/>
      <c r="AC30" s="184"/>
      <c r="AD30" s="184"/>
    </row>
    <row r="31" spans="1:30" ht="15">
      <c r="A31" s="182" t="str">
        <f>HLOOKUP(INDICE!$F$2,Nombres!$C$3:$D$636,174,FALSE)</f>
        <v>Coste de los depositos</v>
      </c>
      <c r="B31" s="183">
        <v>-0.027742387054646944</v>
      </c>
      <c r="C31" s="183">
        <v>-0.038729047049828116</v>
      </c>
      <c r="D31" s="183">
        <v>-0.05369069967905554</v>
      </c>
      <c r="E31" s="183">
        <v>-0.0706086014466819</v>
      </c>
      <c r="F31" s="183">
        <v>-0.08735199272587707</v>
      </c>
      <c r="G31" s="183">
        <v>-0.09192396115202603</v>
      </c>
      <c r="H31" s="183">
        <v>-0.09372653769795587</v>
      </c>
      <c r="I31" s="183">
        <v>-0.09263493223767684</v>
      </c>
      <c r="J31" s="291"/>
      <c r="K31" s="283"/>
      <c r="L31" s="283"/>
      <c r="M31" s="283"/>
      <c r="O31" s="184"/>
      <c r="P31" s="184"/>
      <c r="Q31" s="184"/>
      <c r="R31" s="184"/>
      <c r="W31" s="184"/>
      <c r="X31" s="184"/>
      <c r="Y31" s="184"/>
      <c r="Z31" s="184"/>
      <c r="AA31" s="184"/>
      <c r="AB31" s="184"/>
      <c r="AC31" s="184"/>
      <c r="AD31" s="184"/>
    </row>
    <row r="32" spans="1:30" ht="15">
      <c r="A32" s="185" t="str">
        <f>HLOOKUP(INDICE!$F$2,Nombres!$C$3:$D$636,182,FALSE)</f>
        <v>Colombia</v>
      </c>
      <c r="B32" s="186">
        <v>0.061258261531940014</v>
      </c>
      <c r="C32" s="186">
        <v>0.05757944425591882</v>
      </c>
      <c r="D32" s="186">
        <v>0.05238742372643422</v>
      </c>
      <c r="E32" s="186">
        <v>0.047985350876323773</v>
      </c>
      <c r="F32" s="186">
        <v>0.0402824321798573</v>
      </c>
      <c r="G32" s="186">
        <v>0.04289487976481224</v>
      </c>
      <c r="H32" s="186">
        <v>0.0449880202139714</v>
      </c>
      <c r="I32" s="186">
        <v>0.04735951600905035</v>
      </c>
      <c r="J32" s="291"/>
      <c r="K32" s="283"/>
      <c r="L32" s="283"/>
      <c r="M32" s="283"/>
      <c r="O32" s="184"/>
      <c r="P32" s="184"/>
      <c r="Q32" s="184"/>
      <c r="R32" s="184"/>
      <c r="W32" s="184"/>
      <c r="X32" s="184"/>
      <c r="Y32" s="184"/>
      <c r="Z32" s="184"/>
      <c r="AA32" s="184"/>
      <c r="AB32" s="184"/>
      <c r="AC32" s="184"/>
      <c r="AD32" s="184"/>
    </row>
    <row r="33" spans="1:30" ht="15">
      <c r="A33" s="141"/>
      <c r="B33" s="187"/>
      <c r="C33" s="187"/>
      <c r="D33" s="187"/>
      <c r="E33" s="187"/>
      <c r="F33" s="187"/>
      <c r="G33" s="187"/>
      <c r="H33" s="187"/>
      <c r="I33" s="187"/>
      <c r="O33" s="184"/>
      <c r="P33" s="184"/>
      <c r="Q33" s="184"/>
      <c r="R33" s="184"/>
      <c r="W33" s="184"/>
      <c r="X33" s="184"/>
      <c r="Y33" s="184"/>
      <c r="Z33" s="184"/>
      <c r="AA33" s="184"/>
      <c r="AB33" s="184"/>
      <c r="AC33" s="184"/>
      <c r="AD33" s="184"/>
    </row>
    <row r="34" spans="1:30" ht="15">
      <c r="A34" s="182" t="str">
        <f>HLOOKUP(INDICE!$F$2,Nombres!$C$3:$D$636,173,FALSE)</f>
        <v>Rentabilidad de los prestamos</v>
      </c>
      <c r="B34" s="183">
        <v>0.05709508322320697</v>
      </c>
      <c r="C34" s="183">
        <v>0.06476962967352312</v>
      </c>
      <c r="D34" s="183">
        <v>0.07120892765189817</v>
      </c>
      <c r="E34" s="183">
        <v>0.0785218535938365</v>
      </c>
      <c r="F34" s="183">
        <v>0.08383020372065754</v>
      </c>
      <c r="G34" s="183">
        <v>0.08823518652190425</v>
      </c>
      <c r="H34" s="183">
        <v>0.09377982253931809</v>
      </c>
      <c r="I34" s="183">
        <v>0.09454254787534161</v>
      </c>
      <c r="J34" s="291"/>
      <c r="K34" s="283"/>
      <c r="L34" s="283"/>
      <c r="M34" s="283"/>
      <c r="O34" s="184"/>
      <c r="P34" s="184"/>
      <c r="Q34" s="184"/>
      <c r="R34" s="184"/>
      <c r="W34" s="184"/>
      <c r="X34" s="184"/>
      <c r="Y34" s="184"/>
      <c r="Z34" s="184"/>
      <c r="AA34" s="184"/>
      <c r="AB34" s="184"/>
      <c r="AC34" s="184"/>
      <c r="AD34" s="184"/>
    </row>
    <row r="35" spans="1:30" ht="15">
      <c r="A35" s="182" t="str">
        <f>HLOOKUP(INDICE!$F$2,Nombres!$C$3:$D$636,174,FALSE)</f>
        <v>Coste de los depositos</v>
      </c>
      <c r="B35" s="183">
        <v>-0.0038206178808957826</v>
      </c>
      <c r="C35" s="183">
        <v>-0.00757246120615373</v>
      </c>
      <c r="D35" s="183">
        <v>-0.012329661745719983</v>
      </c>
      <c r="E35" s="183">
        <v>-0.016907766678212612</v>
      </c>
      <c r="F35" s="183">
        <v>-0.021545869764722187</v>
      </c>
      <c r="G35" s="183">
        <v>-0.023660198317337768</v>
      </c>
      <c r="H35" s="183">
        <v>-0.026204907010459345</v>
      </c>
      <c r="I35" s="183">
        <v>-0.026393529497829436</v>
      </c>
      <c r="J35" s="291"/>
      <c r="K35" s="283"/>
      <c r="L35" s="283"/>
      <c r="M35" s="283"/>
      <c r="O35" s="184"/>
      <c r="P35" s="184"/>
      <c r="Q35" s="184"/>
      <c r="R35" s="184"/>
      <c r="W35" s="184"/>
      <c r="X35" s="184"/>
      <c r="Y35" s="184"/>
      <c r="Z35" s="184"/>
      <c r="AA35" s="184"/>
      <c r="AB35" s="184"/>
      <c r="AC35" s="184"/>
      <c r="AD35" s="184"/>
    </row>
    <row r="36" spans="1:30" ht="15">
      <c r="A36" s="185" t="str">
        <f>HLOOKUP(INDICE!$F$2,Nombres!$C$3:$D$636,183,FALSE)</f>
        <v>Perú</v>
      </c>
      <c r="B36" s="186">
        <v>0.053274465342311186</v>
      </c>
      <c r="C36" s="186">
        <v>0.05719716846736939</v>
      </c>
      <c r="D36" s="186">
        <v>0.05887926590617818</v>
      </c>
      <c r="E36" s="186">
        <v>0.06161408691562388</v>
      </c>
      <c r="F36" s="186">
        <v>0.062284333955935356</v>
      </c>
      <c r="G36" s="186">
        <v>0.06457498820456647</v>
      </c>
      <c r="H36" s="186">
        <v>0.06757491552885875</v>
      </c>
      <c r="I36" s="186">
        <v>0.06814901837751217</v>
      </c>
      <c r="J36" s="291"/>
      <c r="K36" s="283"/>
      <c r="L36" s="283"/>
      <c r="M36" s="283"/>
      <c r="O36" s="184"/>
      <c r="P36" s="184"/>
      <c r="Q36" s="184"/>
      <c r="R36" s="184"/>
      <c r="W36" s="184"/>
      <c r="X36" s="184"/>
      <c r="Y36" s="184"/>
      <c r="Z36" s="184"/>
      <c r="AA36" s="184"/>
      <c r="AB36" s="184"/>
      <c r="AC36" s="184"/>
      <c r="AD36" s="184"/>
    </row>
    <row r="37" spans="1:30" ht="15">
      <c r="A37" s="141"/>
      <c r="B37" s="187"/>
      <c r="C37" s="187"/>
      <c r="D37" s="187"/>
      <c r="E37" s="187"/>
      <c r="F37" s="187"/>
      <c r="G37" s="187"/>
      <c r="H37" s="187"/>
      <c r="I37" s="187"/>
      <c r="O37" s="184"/>
      <c r="P37" s="184"/>
      <c r="Q37" s="184"/>
      <c r="R37" s="184"/>
      <c r="W37" s="184"/>
      <c r="X37" s="184"/>
      <c r="Y37" s="184"/>
      <c r="Z37" s="184"/>
      <c r="AA37" s="184"/>
      <c r="AB37" s="184"/>
      <c r="AC37" s="184"/>
      <c r="AD37" s="184"/>
    </row>
    <row r="38" spans="1:30" ht="15">
      <c r="A38" s="191" t="str">
        <f>HLOOKUP(INDICE!$F$2,Nombres!$C$3:$D$636,184,FALSE)</f>
        <v>(*) Diferencia entre el rendimiento de los préstamos y el coste de los depósitos de los clientes.</v>
      </c>
      <c r="B38" s="180"/>
      <c r="C38" s="180"/>
      <c r="D38" s="180"/>
      <c r="E38" s="180"/>
      <c r="F38" s="306"/>
      <c r="G38" s="306"/>
      <c r="H38" s="180"/>
      <c r="I38" s="180"/>
      <c r="O38" s="184"/>
      <c r="P38" s="184"/>
      <c r="Q38" s="184"/>
      <c r="R38" s="184"/>
      <c r="W38" s="184"/>
      <c r="X38" s="184"/>
      <c r="Y38" s="184"/>
      <c r="Z38" s="184"/>
      <c r="AA38" s="184"/>
      <c r="AB38" s="184"/>
      <c r="AC38" s="184"/>
      <c r="AD38" s="184"/>
    </row>
    <row r="39" spans="1:30" ht="15">
      <c r="A39" s="191"/>
      <c r="B39" s="180"/>
      <c r="C39" s="180"/>
      <c r="D39" s="180"/>
      <c r="E39" s="180"/>
      <c r="F39" s="180"/>
      <c r="G39" s="271"/>
      <c r="H39" s="180"/>
      <c r="I39" s="180"/>
      <c r="O39" s="184"/>
      <c r="P39" s="184"/>
      <c r="Q39" s="184"/>
      <c r="R39" s="184"/>
      <c r="W39" s="184"/>
      <c r="X39" s="184"/>
      <c r="Y39" s="184"/>
      <c r="Z39" s="184"/>
      <c r="AA39" s="184"/>
      <c r="AB39" s="184"/>
      <c r="AC39" s="184"/>
      <c r="AD39" s="184"/>
    </row>
    <row r="40" spans="1:30" ht="15">
      <c r="A40" s="191"/>
      <c r="O40" s="184"/>
      <c r="P40" s="184"/>
      <c r="Q40" s="184"/>
      <c r="R40" s="184"/>
      <c r="W40" s="184"/>
      <c r="X40" s="184"/>
      <c r="Y40" s="184"/>
      <c r="Z40" s="184"/>
      <c r="AA40" s="184"/>
      <c r="AB40" s="184"/>
      <c r="AC40" s="184"/>
      <c r="AD40" s="184"/>
    </row>
    <row r="41" spans="15:18" ht="15">
      <c r="O41" s="184"/>
      <c r="P41" s="184"/>
      <c r="Q41" s="184"/>
      <c r="R41" s="184"/>
    </row>
    <row r="996" ht="15">
      <c r="A996" t="s">
        <v>391</v>
      </c>
    </row>
  </sheetData>
  <sheetProtection/>
  <mergeCells count="3">
    <mergeCell ref="B3:E3"/>
    <mergeCell ref="F3:I3"/>
    <mergeCell ref="F38:G38"/>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dimension ref="A1:L1005"/>
  <sheetViews>
    <sheetView showGridLines="0" zoomScalePageLayoutView="0" workbookViewId="0" topLeftCell="A1">
      <selection activeCell="A1" sqref="A1"/>
    </sheetView>
  </sheetViews>
  <sheetFormatPr defaultColWidth="11.421875" defaultRowHeight="15"/>
  <cols>
    <col min="1" max="1" width="40.28125" style="0" customWidth="1"/>
    <col min="2" max="2" width="15.8515625" style="0" customWidth="1"/>
    <col min="3" max="3" width="14.140625" style="0" customWidth="1"/>
    <col min="4" max="4" width="14.57421875" style="0" customWidth="1"/>
    <col min="5" max="5" width="13.421875" style="0" customWidth="1"/>
    <col min="6" max="6" width="12.8515625" style="0" customWidth="1"/>
    <col min="7" max="10" width="11.421875" style="0" customWidth="1"/>
    <col min="11" max="12" width="14.7109375" style="0" bestFit="1" customWidth="1"/>
  </cols>
  <sheetData>
    <row r="1" spans="1:9" ht="18">
      <c r="A1" s="93" t="str">
        <f>HLOOKUP(INDICE!$F$2,Nombres!$C$3:$D$636,88,FALSE)</f>
        <v>Activos ponderados por riesgo. Desglose por áreas de negocio y principales países</v>
      </c>
      <c r="B1" s="152"/>
      <c r="C1" s="152"/>
      <c r="D1" s="153"/>
      <c r="E1" s="153"/>
      <c r="F1" s="153"/>
      <c r="G1" s="153"/>
      <c r="H1" s="153"/>
      <c r="I1" s="153"/>
    </row>
    <row r="2" spans="1:9" ht="15">
      <c r="A2" s="160" t="str">
        <f>HLOOKUP(INDICE!$F$2,Nombres!$C$3:$D$636,32,FALSE)</f>
        <v>(Millones de euros)</v>
      </c>
      <c r="B2" s="58"/>
      <c r="C2" s="58"/>
      <c r="D2" s="192"/>
      <c r="E2" s="192"/>
      <c r="F2" s="192"/>
      <c r="G2" s="192"/>
      <c r="H2" s="192"/>
      <c r="I2" s="192"/>
    </row>
    <row r="3" spans="1:9" ht="15">
      <c r="A3" s="193"/>
      <c r="B3" s="58"/>
      <c r="C3" s="58"/>
      <c r="D3" s="156"/>
      <c r="E3" s="156"/>
      <c r="F3" s="156"/>
      <c r="G3" s="156"/>
      <c r="H3" s="156"/>
      <c r="I3" s="156"/>
    </row>
    <row r="4" spans="1:9" ht="15.75" customHeight="1">
      <c r="A4" s="194"/>
      <c r="B4" s="307" t="str">
        <f>HLOOKUP(INDICE!$F$2,Nombres!$C$3:$D$636,222,FALSE)</f>
        <v>CRD IV fully loaded</v>
      </c>
      <c r="C4" s="307"/>
      <c r="D4" s="307"/>
      <c r="E4" s="307"/>
      <c r="F4" s="307"/>
      <c r="G4" s="307"/>
      <c r="H4" s="307"/>
      <c r="I4" s="307"/>
    </row>
    <row r="5" spans="1:11" ht="15.75">
      <c r="A5" s="194"/>
      <c r="B5" s="195">
        <f>+España!B32</f>
        <v>44651</v>
      </c>
      <c r="C5" s="195">
        <f>+España!C32</f>
        <v>44742</v>
      </c>
      <c r="D5" s="195">
        <f>+España!D32</f>
        <v>44834</v>
      </c>
      <c r="E5" s="195">
        <f>+España!E32</f>
        <v>44926</v>
      </c>
      <c r="F5" s="195">
        <f>+España!F32</f>
        <v>45016</v>
      </c>
      <c r="G5" s="195">
        <f>+España!G32</f>
        <v>45107</v>
      </c>
      <c r="H5" s="195">
        <f>+España!H32</f>
        <v>45199</v>
      </c>
      <c r="I5" s="195">
        <f>+España!I32</f>
        <v>45291</v>
      </c>
      <c r="K5" s="196"/>
    </row>
    <row r="6" spans="1:12" ht="15">
      <c r="A6" s="102" t="str">
        <f>HLOOKUP(INDICE!$F$2,Nombres!$C$3:$D$636,3,FALSE)</f>
        <v>Grupo BBVA</v>
      </c>
      <c r="B6" s="197">
        <v>316131.47295895</v>
      </c>
      <c r="C6" s="197">
        <v>330641.82100000005</v>
      </c>
      <c r="D6" s="197">
        <v>341448.01499999</v>
      </c>
      <c r="E6" s="197">
        <v>336884.35399266996</v>
      </c>
      <c r="F6" s="197">
        <v>348598.411</v>
      </c>
      <c r="G6" s="197">
        <v>347442</v>
      </c>
      <c r="H6" s="197">
        <v>357972.1910000011</v>
      </c>
      <c r="I6" s="197">
        <v>363916.19094327</v>
      </c>
      <c r="K6" s="198"/>
      <c r="L6" s="199"/>
    </row>
    <row r="7" spans="1:12" ht="15">
      <c r="A7" s="59" t="str">
        <f>HLOOKUP(INDICE!$F$2,Nombres!$C$3:$D$636,7,FALSE)</f>
        <v>España</v>
      </c>
      <c r="B7" s="44">
        <v>109623.29636667999</v>
      </c>
      <c r="C7" s="44">
        <v>108912.58709538999</v>
      </c>
      <c r="D7" s="44">
        <v>108732.79225467</v>
      </c>
      <c r="E7" s="44">
        <v>114474.12433892998</v>
      </c>
      <c r="F7" s="44">
        <v>116550.06024192001</v>
      </c>
      <c r="G7" s="44">
        <v>116767.18288439</v>
      </c>
      <c r="H7" s="44">
        <v>117111.98032346001</v>
      </c>
      <c r="I7" s="44">
        <v>121779.30846698</v>
      </c>
      <c r="K7" s="198"/>
      <c r="L7" s="199"/>
    </row>
    <row r="8" spans="1:12" ht="15">
      <c r="A8" s="59" t="str">
        <f>HLOOKUP(INDICE!$F$2,Nombres!$C$3:$D$636,11,FALSE)</f>
        <v>México</v>
      </c>
      <c r="B8" s="44">
        <v>67626.26018723001</v>
      </c>
      <c r="C8" s="44">
        <v>73868.81118761</v>
      </c>
      <c r="D8" s="44">
        <v>80491.30159789001</v>
      </c>
      <c r="E8" s="44">
        <v>71738.04201058</v>
      </c>
      <c r="F8" s="44">
        <v>78316.13399999001</v>
      </c>
      <c r="G8" s="44">
        <v>85110.88200000001</v>
      </c>
      <c r="H8" s="44">
        <v>88289.85500000001</v>
      </c>
      <c r="I8" s="44">
        <v>91865.01798437</v>
      </c>
      <c r="K8" s="198"/>
      <c r="L8" s="199"/>
    </row>
    <row r="9" spans="1:12" ht="15">
      <c r="A9" s="59" t="str">
        <f>HLOOKUP(INDICE!$F$2,Nombres!$C$3:$D$636,12,FALSE)</f>
        <v>Turquía </v>
      </c>
      <c r="B9" s="44">
        <v>49589.47993845</v>
      </c>
      <c r="C9" s="44">
        <v>51055.00159606</v>
      </c>
      <c r="D9" s="44">
        <v>53434.99958917</v>
      </c>
      <c r="E9" s="44">
        <v>56275.034989190004</v>
      </c>
      <c r="F9" s="44">
        <v>58683.382999999994</v>
      </c>
      <c r="G9" s="44">
        <v>50671.912000000775</v>
      </c>
      <c r="H9" s="44">
        <v>53055.59400000104</v>
      </c>
      <c r="I9" s="44">
        <v>54506.38302231999</v>
      </c>
      <c r="K9" s="198"/>
      <c r="L9" s="199"/>
    </row>
    <row r="10" spans="1:12" ht="15">
      <c r="A10" s="59" t="str">
        <f>HLOOKUP(INDICE!$F$2,Nombres!$C$3:$D$636,13,FALSE)</f>
        <v>América del Sur </v>
      </c>
      <c r="B10" s="44">
        <f aca="true" t="shared" si="0" ref="B10:I10">+B11+B12+B13+B14+B15</f>
        <v>46330.37929296999</v>
      </c>
      <c r="C10" s="44">
        <f t="shared" si="0"/>
        <v>49641.27427763</v>
      </c>
      <c r="D10" s="44">
        <f t="shared" si="0"/>
        <v>51484.10021608</v>
      </c>
      <c r="E10" s="44">
        <f t="shared" si="0"/>
        <v>46833.807000609995</v>
      </c>
      <c r="F10" s="44">
        <f t="shared" si="0"/>
        <v>47340.589</v>
      </c>
      <c r="G10" s="44">
        <f t="shared" si="0"/>
        <v>50143.68199999999</v>
      </c>
      <c r="H10" s="44">
        <f t="shared" si="0"/>
        <v>50254.836</v>
      </c>
      <c r="I10" s="44">
        <f t="shared" si="0"/>
        <v>49117.31207045</v>
      </c>
      <c r="K10" s="198"/>
      <c r="L10" s="199"/>
    </row>
    <row r="11" spans="1:12" ht="15">
      <c r="A11" s="200" t="str">
        <f>HLOOKUP(INDICE!$F$2,Nombres!$C$3:$D$636,14,FALSE)</f>
        <v>Argentina</v>
      </c>
      <c r="B11" s="44">
        <v>6766.69729061</v>
      </c>
      <c r="C11" s="44">
        <v>7343.945000000001</v>
      </c>
      <c r="D11" s="44">
        <v>7574.14834403</v>
      </c>
      <c r="E11" s="44">
        <v>8088.9169983599995</v>
      </c>
      <c r="F11" s="44">
        <v>7910.191</v>
      </c>
      <c r="G11" s="44">
        <v>7309.119</v>
      </c>
      <c r="H11" s="44">
        <v>6677.9259999999995</v>
      </c>
      <c r="I11" s="44">
        <v>4997.01800185</v>
      </c>
      <c r="K11" s="198"/>
      <c r="L11" s="199"/>
    </row>
    <row r="12" spans="1:12" ht="15">
      <c r="A12" s="200" t="str">
        <f>HLOOKUP(INDICE!$F$2,Nombres!$C$3:$D$636,15,FALSE)</f>
        <v>Chile</v>
      </c>
      <c r="B12" s="44">
        <v>1888.1159999999998</v>
      </c>
      <c r="C12" s="44">
        <v>1939.034</v>
      </c>
      <c r="D12" s="44">
        <v>2163.8099999999995</v>
      </c>
      <c r="E12" s="44">
        <v>2174.4330011999996</v>
      </c>
      <c r="F12" s="44">
        <v>2367.034</v>
      </c>
      <c r="G12" s="44">
        <v>2315.53</v>
      </c>
      <c r="H12" s="44">
        <v>2175.7590000000005</v>
      </c>
      <c r="I12" s="44">
        <v>2144.74200095</v>
      </c>
      <c r="K12" s="198"/>
      <c r="L12" s="199"/>
    </row>
    <row r="13" spans="1:12" ht="15">
      <c r="A13" s="200" t="str">
        <f>HLOOKUP(INDICE!$F$2,Nombres!$C$3:$D$636,16,FALSE)</f>
        <v>Colombia</v>
      </c>
      <c r="B13" s="44">
        <v>15853.15522854</v>
      </c>
      <c r="C13" s="44">
        <v>16834.32</v>
      </c>
      <c r="D13" s="44">
        <v>17133.731127479998</v>
      </c>
      <c r="E13" s="44">
        <v>15278.62500083</v>
      </c>
      <c r="F13" s="44">
        <v>15449.793999999998</v>
      </c>
      <c r="G13" s="44">
        <v>17786.606</v>
      </c>
      <c r="H13" s="44">
        <v>18616.096</v>
      </c>
      <c r="I13" s="44">
        <v>19467.21001624</v>
      </c>
      <c r="K13" s="198"/>
      <c r="L13" s="199"/>
    </row>
    <row r="14" spans="1:12" ht="15">
      <c r="A14" s="200" t="str">
        <f>HLOOKUP(INDICE!$F$2,Nombres!$C$3:$D$636,17,FALSE)</f>
        <v>Perú</v>
      </c>
      <c r="B14" s="44">
        <v>19003.581019359997</v>
      </c>
      <c r="C14" s="44">
        <v>20344.217531450002</v>
      </c>
      <c r="D14" s="44">
        <v>21316.35688652</v>
      </c>
      <c r="E14" s="44">
        <v>17935.74500025</v>
      </c>
      <c r="F14" s="44">
        <v>18460.499</v>
      </c>
      <c r="G14" s="44">
        <v>19395.636</v>
      </c>
      <c r="H14" s="44">
        <v>19435.724</v>
      </c>
      <c r="I14" s="44">
        <v>18825.085185350006</v>
      </c>
      <c r="K14" s="198"/>
      <c r="L14" s="199"/>
    </row>
    <row r="15" spans="1:12" ht="15">
      <c r="A15" s="200" t="str">
        <f>HLOOKUP(INDICE!$F$2,Nombres!$C$3:$D$636,89,FALSE)</f>
        <v>Resto de América del Sur</v>
      </c>
      <c r="B15" s="44">
        <v>2818.82975446</v>
      </c>
      <c r="C15" s="44">
        <v>3179.7577461799992</v>
      </c>
      <c r="D15" s="44">
        <v>3296.0538580499992</v>
      </c>
      <c r="E15" s="44">
        <v>3356.0869999699994</v>
      </c>
      <c r="F15" s="44">
        <v>3153.0710000000004</v>
      </c>
      <c r="G15" s="44">
        <v>3336.7910000000006</v>
      </c>
      <c r="H15" s="44">
        <v>3349.331</v>
      </c>
      <c r="I15" s="44">
        <v>3683.25686606</v>
      </c>
      <c r="K15" s="198"/>
      <c r="L15" s="199"/>
    </row>
    <row r="16" spans="1:12" ht="15">
      <c r="A16" s="280" t="str">
        <f>HLOOKUP(INDICE!$F$2,Nombres!$C$3:$D$636,263,FALSE)</f>
        <v>Resto de Negocios</v>
      </c>
      <c r="B16" s="44">
        <v>31607.232831029993</v>
      </c>
      <c r="C16" s="44">
        <v>34389.209778549994</v>
      </c>
      <c r="D16" s="44">
        <v>35558.65294882999</v>
      </c>
      <c r="E16" s="44">
        <v>35063.5094618</v>
      </c>
      <c r="F16" s="44">
        <v>33724.758736749995</v>
      </c>
      <c r="G16" s="44">
        <v>32727.728040280002</v>
      </c>
      <c r="H16" s="44">
        <v>35086.674972400004</v>
      </c>
      <c r="I16" s="44">
        <v>36410.263263060006</v>
      </c>
      <c r="K16" s="198"/>
      <c r="L16" s="199"/>
    </row>
    <row r="17" spans="1:12" ht="15">
      <c r="A17" s="59" t="str">
        <f>HLOOKUP(INDICE!$F$2,Nombres!$C$3:$D$636,272,FALSE)</f>
        <v>Centro Corporativo (1)</v>
      </c>
      <c r="B17" s="44">
        <f>+B6-B7-B8-B9-B11-B12-B13-B14-B15-B16</f>
        <v>11354.824342589971</v>
      </c>
      <c r="C17" s="44">
        <f>+C6-C7-C8-C9-C11-C12-C13-C14-C15-C16</f>
        <v>12774.937064760074</v>
      </c>
      <c r="D17" s="44">
        <f aca="true" t="shared" si="1" ref="D17:I17">+D6-D7-D8-D9-D11-D12-D13-D14-D15-D16</f>
        <v>11746.168393350003</v>
      </c>
      <c r="E17" s="44">
        <f>+E6-E7-E8-E9-E11-E12-E13-E14-E15-E16</f>
        <v>12499.836191560003</v>
      </c>
      <c r="F17" s="44">
        <f t="shared" si="1"/>
        <v>13983.486021340017</v>
      </c>
      <c r="G17" s="44">
        <f t="shared" si="1"/>
        <v>12020.613075329216</v>
      </c>
      <c r="H17" s="44">
        <f t="shared" si="1"/>
        <v>14173.250704140024</v>
      </c>
      <c r="I17" s="44">
        <f t="shared" si="1"/>
        <v>10237.90613608998</v>
      </c>
      <c r="K17" s="198"/>
      <c r="L17" s="199"/>
    </row>
    <row r="18" spans="1:12" ht="15">
      <c r="A18" s="59"/>
      <c r="B18" s="44"/>
      <c r="C18" s="44"/>
      <c r="D18" s="44"/>
      <c r="E18" s="44"/>
      <c r="F18" s="44"/>
      <c r="G18" s="44"/>
      <c r="H18" s="44"/>
      <c r="I18" s="44"/>
      <c r="K18" s="198"/>
      <c r="L18" s="199"/>
    </row>
    <row r="19" spans="1:12" ht="15">
      <c r="A19" s="59"/>
      <c r="B19" s="44"/>
      <c r="C19" s="44"/>
      <c r="D19" s="44"/>
      <c r="E19" s="44"/>
      <c r="F19" s="44"/>
      <c r="G19" s="44"/>
      <c r="H19" s="44"/>
      <c r="I19" s="44"/>
      <c r="K19" s="198"/>
      <c r="L19" s="199"/>
    </row>
    <row r="20" spans="1:12" ht="15">
      <c r="A20" s="59"/>
      <c r="C20" s="44"/>
      <c r="D20" s="44"/>
      <c r="E20" s="44"/>
      <c r="F20" s="44"/>
      <c r="G20" s="44"/>
      <c r="H20" s="44"/>
      <c r="I20" s="44"/>
      <c r="K20" s="198"/>
      <c r="L20" s="199"/>
    </row>
    <row r="21" spans="1:12" ht="15">
      <c r="A21" s="59" t="str">
        <f>HLOOKUP(INDICE!$F$2,Nombres!$C$3:$D$636,320,FALSE)</f>
        <v>(*)El dato del trimestre en curso es provisional</v>
      </c>
      <c r="K21" s="198"/>
      <c r="L21" s="199"/>
    </row>
    <row r="22" spans="1:12" ht="15">
      <c r="A22" s="286"/>
      <c r="C22" s="44"/>
      <c r="D22" s="44"/>
      <c r="E22" s="44"/>
      <c r="F22" s="44"/>
      <c r="G22" s="44"/>
      <c r="H22" s="44"/>
      <c r="I22" s="56"/>
      <c r="K22" s="198"/>
      <c r="L22" s="199"/>
    </row>
    <row r="23" spans="1:12" ht="15">
      <c r="A23" s="275"/>
      <c r="B23" s="281">
        <v>0</v>
      </c>
      <c r="C23" s="281">
        <v>0</v>
      </c>
      <c r="D23" s="281">
        <v>0</v>
      </c>
      <c r="E23" s="281">
        <v>0</v>
      </c>
      <c r="F23" s="281">
        <v>0</v>
      </c>
      <c r="G23" s="281">
        <v>0</v>
      </c>
      <c r="H23" s="281">
        <v>0</v>
      </c>
      <c r="I23" s="281">
        <v>0</v>
      </c>
      <c r="K23" s="198"/>
      <c r="L23" s="199"/>
    </row>
    <row r="24" spans="1:12" ht="15">
      <c r="A24" s="59"/>
      <c r="B24" s="44"/>
      <c r="C24" s="44"/>
      <c r="D24" s="44"/>
      <c r="E24" s="44"/>
      <c r="F24" s="44"/>
      <c r="G24" s="44"/>
      <c r="H24" s="44"/>
      <c r="I24" s="44"/>
      <c r="K24" s="198"/>
      <c r="L24" s="199"/>
    </row>
    <row r="25" spans="1:6" ht="15">
      <c r="A25" s="156"/>
      <c r="B25" s="156"/>
      <c r="C25" s="156"/>
      <c r="D25" s="156"/>
      <c r="E25" s="156"/>
      <c r="F25" s="156"/>
    </row>
    <row r="26" spans="1:6" ht="15">
      <c r="A26" s="251"/>
      <c r="B26" s="201"/>
      <c r="C26" s="201"/>
      <c r="D26" s="201"/>
      <c r="E26" s="201"/>
      <c r="F26" s="201"/>
    </row>
    <row r="27" spans="2:6" ht="15">
      <c r="B27" s="105"/>
      <c r="F27" s="31"/>
    </row>
    <row r="1005" ht="15">
      <c r="A1005" t="s">
        <v>391</v>
      </c>
    </row>
  </sheetData>
  <sheetProtection/>
  <mergeCells count="1">
    <mergeCell ref="B4:I4"/>
  </mergeCells>
  <conditionalFormatting sqref="B23:I23">
    <cfRule type="cellIs" priority="1" dxfId="132" operator="notEqual">
      <formula>0</formula>
    </cfRule>
  </conditionalFormatting>
  <printOptions/>
  <pageMargins left="0.7" right="0.7" top="0.75" bottom="0.75" header="0.3" footer="0.3"/>
  <pageSetup orientation="portrait" paperSize="9"/>
  <drawing r:id="rId1"/>
</worksheet>
</file>

<file path=xl/worksheets/sheet22.xml><?xml version="1.0" encoding="utf-8"?>
<worksheet xmlns="http://schemas.openxmlformats.org/spreadsheetml/2006/main" xmlns:r="http://schemas.openxmlformats.org/officeDocument/2006/relationships">
  <dimension ref="A1:N996"/>
  <sheetViews>
    <sheetView showGridLines="0" zoomScalePageLayoutView="0" workbookViewId="0" topLeftCell="A1">
      <selection activeCell="A1" sqref="A1"/>
    </sheetView>
  </sheetViews>
  <sheetFormatPr defaultColWidth="11.421875" defaultRowHeight="15"/>
  <cols>
    <col min="1" max="1" width="42.421875" style="205" customWidth="1"/>
    <col min="2" max="2" width="13.57421875" style="205" bestFit="1" customWidth="1"/>
    <col min="3" max="4" width="11.421875" style="205" customWidth="1"/>
    <col min="5" max="5" width="11.7109375" style="205" bestFit="1" customWidth="1"/>
    <col min="6" max="9" width="11.421875" style="205" customWidth="1"/>
    <col min="10" max="10" width="4.7109375" style="204" customWidth="1"/>
    <col min="11" max="11" width="11.421875" style="205" customWidth="1"/>
    <col min="12" max="12" width="11.7109375" style="205" bestFit="1" customWidth="1"/>
    <col min="13" max="16384" width="11.421875" style="205" customWidth="1"/>
  </cols>
  <sheetData>
    <row r="1" spans="1:12" ht="18">
      <c r="A1" s="202" t="str">
        <f>HLOOKUP(INDICE!$F$2,Nombres!$C$3:$D$636,113,FALSE)</f>
        <v>Desglose del crédito no dudoso en gestión</v>
      </c>
      <c r="B1" s="203"/>
      <c r="C1" s="203"/>
      <c r="D1" s="203"/>
      <c r="E1" s="203"/>
      <c r="F1" s="203"/>
      <c r="G1" s="203"/>
      <c r="H1" s="203"/>
      <c r="I1" s="203"/>
      <c r="L1" s="206"/>
    </row>
    <row r="2" spans="1:12" ht="15.75">
      <c r="A2" s="207" t="str">
        <f>HLOOKUP(INDICE!$F$2,Nombres!$C$3:$D$636,73,FALSE)</f>
        <v>(Millones de euros constantes)</v>
      </c>
      <c r="B2" s="206"/>
      <c r="C2" s="206"/>
      <c r="D2" s="206"/>
      <c r="E2" s="206"/>
      <c r="F2" s="206"/>
      <c r="L2" s="206"/>
    </row>
    <row r="3" spans="1:12" ht="15.75">
      <c r="A3" s="208"/>
      <c r="B3" s="206"/>
      <c r="C3" s="206"/>
      <c r="D3" s="206"/>
      <c r="E3" s="206"/>
      <c r="F3" s="206"/>
      <c r="L3" s="206"/>
    </row>
    <row r="4" spans="1:9" ht="15.75" customHeight="1">
      <c r="A4" s="209"/>
      <c r="B4" s="308" t="str">
        <f>HLOOKUP(INDICE!$F$2,Nombres!$C$3:$D$636,7,FALSE)</f>
        <v>España</v>
      </c>
      <c r="C4" s="308"/>
      <c r="D4" s="308"/>
      <c r="E4" s="308"/>
      <c r="F4" s="308"/>
      <c r="G4" s="308"/>
      <c r="H4" s="308"/>
      <c r="I4" s="308"/>
    </row>
    <row r="5" spans="1:12" ht="15.75">
      <c r="A5" s="210"/>
      <c r="B5" s="118">
        <f>+España!B32</f>
        <v>44651</v>
      </c>
      <c r="C5" s="118">
        <f>+España!C32</f>
        <v>44742</v>
      </c>
      <c r="D5" s="118">
        <f>+España!D32</f>
        <v>44834</v>
      </c>
      <c r="E5" s="118">
        <f>+España!E32</f>
        <v>44926</v>
      </c>
      <c r="F5" s="118">
        <f>+España!F32</f>
        <v>45016</v>
      </c>
      <c r="G5" s="118">
        <f>+España!G32</f>
        <v>45107</v>
      </c>
      <c r="H5" s="118">
        <f>+España!H32</f>
        <v>45199</v>
      </c>
      <c r="I5" s="118">
        <f>+España!I32</f>
        <v>45291</v>
      </c>
      <c r="L5" s="118"/>
    </row>
    <row r="6" spans="1:14" ht="15">
      <c r="A6" s="211" t="str">
        <f>HLOOKUP(INDICE!$F$2,Nombres!$C$3:$D$636,209,FALSE)</f>
        <v>Hipotecario</v>
      </c>
      <c r="B6" s="212">
        <v>69407.809482</v>
      </c>
      <c r="C6" s="212">
        <v>68619.457928</v>
      </c>
      <c r="D6" s="212">
        <v>67591.858029</v>
      </c>
      <c r="E6" s="212">
        <v>67379.29695100001</v>
      </c>
      <c r="F6" s="212">
        <v>66583.02571900001</v>
      </c>
      <c r="G6" s="212">
        <v>65860.82216099999</v>
      </c>
      <c r="H6" s="212">
        <v>65917.97794200001</v>
      </c>
      <c r="I6" s="212">
        <v>65900.938422</v>
      </c>
      <c r="L6" s="212"/>
      <c r="N6" s="261"/>
    </row>
    <row r="7" spans="1:14" ht="15">
      <c r="A7" s="211" t="str">
        <f>HLOOKUP(INDICE!$F$2,Nombres!$C$3:$D$636,210,FALSE)</f>
        <v>Consumo  y tarjetas de Credito</v>
      </c>
      <c r="B7" s="212">
        <v>15277.402404</v>
      </c>
      <c r="C7" s="212">
        <v>15794.411383000002</v>
      </c>
      <c r="D7" s="212">
        <v>16008.690613</v>
      </c>
      <c r="E7" s="212">
        <v>16553.757134</v>
      </c>
      <c r="F7" s="212">
        <v>16309.445874</v>
      </c>
      <c r="G7" s="212">
        <v>16688.788373000003</v>
      </c>
      <c r="H7" s="212">
        <v>17255.368564</v>
      </c>
      <c r="I7" s="212">
        <v>17524.836263999998</v>
      </c>
      <c r="J7" s="292"/>
      <c r="L7" s="212"/>
      <c r="N7" s="261"/>
    </row>
    <row r="8" spans="1:14" ht="15">
      <c r="A8" s="211" t="str">
        <f>HLOOKUP(INDICE!$F$2,Nombres!$C$3:$D$636,211,FALSE)</f>
        <v>Negocios retail</v>
      </c>
      <c r="B8" s="212">
        <v>15714.141634000003</v>
      </c>
      <c r="C8" s="212">
        <v>15947.927049999998</v>
      </c>
      <c r="D8" s="212">
        <v>15880.924043999998</v>
      </c>
      <c r="E8" s="212">
        <v>15701.536307000002</v>
      </c>
      <c r="F8" s="212">
        <v>15500.645833</v>
      </c>
      <c r="G8" s="212">
        <v>15436.5911</v>
      </c>
      <c r="H8" s="212">
        <v>15313.887983999997</v>
      </c>
      <c r="I8" s="212">
        <v>15370.617087999997</v>
      </c>
      <c r="J8" s="292"/>
      <c r="L8" s="212"/>
      <c r="N8" s="261"/>
    </row>
    <row r="9" spans="1:14" ht="15">
      <c r="A9" s="211" t="str">
        <f>HLOOKUP(INDICE!$F$2,Nombres!$C$3:$D$636,212,FALSE)</f>
        <v>Empresas medianas</v>
      </c>
      <c r="B9" s="212">
        <v>20855.118694</v>
      </c>
      <c r="C9" s="212">
        <v>21578.155315000004</v>
      </c>
      <c r="D9" s="212">
        <v>21953.946127000003</v>
      </c>
      <c r="E9" s="212">
        <v>22260.690765000003</v>
      </c>
      <c r="F9" s="212">
        <v>22426.860292999998</v>
      </c>
      <c r="G9" s="212">
        <v>22651.16439</v>
      </c>
      <c r="H9" s="212">
        <v>22777.749783000003</v>
      </c>
      <c r="I9" s="212">
        <v>23061.023766</v>
      </c>
      <c r="J9" s="292"/>
      <c r="L9" s="212"/>
      <c r="N9" s="261"/>
    </row>
    <row r="10" spans="1:14" ht="15">
      <c r="A10" s="211" t="str">
        <f>HLOOKUP(INDICE!$F$2,Nombres!$C$3:$D$636,213,FALSE)</f>
        <v>Corporativa + CIB</v>
      </c>
      <c r="B10" s="212">
        <v>24247.977463000003</v>
      </c>
      <c r="C10" s="212">
        <v>25102.938453000002</v>
      </c>
      <c r="D10" s="212">
        <v>27163.054122999998</v>
      </c>
      <c r="E10" s="212">
        <v>26119.772457</v>
      </c>
      <c r="F10" s="212">
        <v>25697.922549</v>
      </c>
      <c r="G10" s="212">
        <v>24855.027964999997</v>
      </c>
      <c r="H10" s="212">
        <v>25489.108712000005</v>
      </c>
      <c r="I10" s="212">
        <v>24715.270637</v>
      </c>
      <c r="L10" s="212"/>
      <c r="N10" s="261"/>
    </row>
    <row r="11" spans="1:14" ht="15">
      <c r="A11" s="211" t="str">
        <f>HLOOKUP(INDICE!$F$2,Nombres!$C$3:$D$636,214,FALSE)</f>
        <v>Sector público</v>
      </c>
      <c r="B11" s="212">
        <v>13377.211015</v>
      </c>
      <c r="C11" s="212">
        <v>14964.181887000002</v>
      </c>
      <c r="D11" s="212">
        <v>13062.874635</v>
      </c>
      <c r="E11" s="212">
        <v>13060.760140999999</v>
      </c>
      <c r="F11" s="212">
        <v>13522.570962</v>
      </c>
      <c r="G11" s="212">
        <v>16045.844252</v>
      </c>
      <c r="H11" s="212">
        <v>13905.318313</v>
      </c>
      <c r="I11" s="212">
        <v>14084.745124000001</v>
      </c>
      <c r="L11" s="212"/>
      <c r="N11" s="261"/>
    </row>
    <row r="12" spans="1:14" ht="15.75" customHeight="1">
      <c r="A12" s="211" t="str">
        <f>HLOOKUP(INDICE!$F$2,Nombres!$C$3:$D$636,215,FALSE)</f>
        <v>Otros</v>
      </c>
      <c r="B12" s="212">
        <v>10129.736853000006</v>
      </c>
      <c r="C12" s="212">
        <v>11180.604179000033</v>
      </c>
      <c r="D12" s="212">
        <v>11729.414758999998</v>
      </c>
      <c r="E12" s="212">
        <v>10132.826981000017</v>
      </c>
      <c r="F12" s="212">
        <v>9174.266038000009</v>
      </c>
      <c r="G12" s="212">
        <v>9176.810057000017</v>
      </c>
      <c r="H12" s="212">
        <v>9622.605164000033</v>
      </c>
      <c r="I12" s="212">
        <v>9055.017114000006</v>
      </c>
      <c r="L12" s="212"/>
      <c r="N12" s="261"/>
    </row>
    <row r="13" spans="1:14" ht="15">
      <c r="A13" s="213" t="str">
        <f>HLOOKUP(INDICE!$F$2,Nombres!$C$3:$D$636,112,FALSE)</f>
        <v>Crédito no dudoso en gestión (*)</v>
      </c>
      <c r="B13" s="214">
        <v>169009.397545</v>
      </c>
      <c r="C13" s="214">
        <v>173187.67619500007</v>
      </c>
      <c r="D13" s="214">
        <v>173390.76233</v>
      </c>
      <c r="E13" s="214">
        <v>171208.64073600006</v>
      </c>
      <c r="F13" s="214">
        <v>169214.73726800003</v>
      </c>
      <c r="G13" s="214">
        <v>170715.04829800004</v>
      </c>
      <c r="H13" s="214">
        <v>170282.01646200006</v>
      </c>
      <c r="I13" s="214">
        <v>169712.44841500002</v>
      </c>
      <c r="L13" s="213"/>
      <c r="N13" s="261"/>
    </row>
    <row r="14" spans="1:14" ht="15.75">
      <c r="A14" s="206"/>
      <c r="B14" s="215">
        <f>+SUM(B6:B12)-B13</f>
        <v>0</v>
      </c>
      <c r="C14" s="215">
        <f>+SUM(C6:C12)-C13</f>
        <v>0</v>
      </c>
      <c r="D14" s="215">
        <f aca="true" t="shared" si="0" ref="D14:I14">+SUM(D6:D12)-D13</f>
        <v>0</v>
      </c>
      <c r="E14" s="215">
        <f t="shared" si="0"/>
        <v>0</v>
      </c>
      <c r="F14" s="215">
        <f t="shared" si="0"/>
        <v>0</v>
      </c>
      <c r="G14" s="215">
        <f t="shared" si="0"/>
        <v>0</v>
      </c>
      <c r="H14" s="215">
        <f t="shared" si="0"/>
        <v>0</v>
      </c>
      <c r="I14" s="215">
        <f t="shared" si="0"/>
        <v>0</v>
      </c>
      <c r="L14" s="216"/>
      <c r="N14" s="261"/>
    </row>
    <row r="15" spans="1:14" ht="15">
      <c r="A15" s="299"/>
      <c r="B15" s="212"/>
      <c r="C15" s="212"/>
      <c r="D15" s="212"/>
      <c r="E15" s="212"/>
      <c r="F15" s="212"/>
      <c r="G15" s="212"/>
      <c r="H15" s="212"/>
      <c r="I15" s="212"/>
      <c r="L15" s="212"/>
      <c r="N15" s="261"/>
    </row>
    <row r="16" spans="1:12" ht="15.75">
      <c r="A16" s="206"/>
      <c r="B16" s="217"/>
      <c r="C16" s="217"/>
      <c r="D16" s="217"/>
      <c r="E16" s="217"/>
      <c r="F16" s="217"/>
      <c r="L16" s="217"/>
    </row>
    <row r="17" spans="1:12" ht="15.75">
      <c r="A17" s="209"/>
      <c r="B17" s="308" t="str">
        <f>HLOOKUP(INDICE!$F$2,Nombres!$C$3:$D$636,204,FALSE)</f>
        <v>Mexico (***)</v>
      </c>
      <c r="C17" s="308"/>
      <c r="D17" s="308"/>
      <c r="E17" s="308"/>
      <c r="F17" s="308"/>
      <c r="G17" s="308"/>
      <c r="H17" s="308"/>
      <c r="I17" s="308"/>
      <c r="L17" s="220"/>
    </row>
    <row r="18" spans="1:12" ht="15.75">
      <c r="A18" s="210"/>
      <c r="B18" s="118">
        <f>+B$5</f>
        <v>44651</v>
      </c>
      <c r="C18" s="118">
        <f aca="true" t="shared" si="1" ref="C18:I18">+C$5</f>
        <v>44742</v>
      </c>
      <c r="D18" s="118">
        <f t="shared" si="1"/>
        <v>44834</v>
      </c>
      <c r="E18" s="118">
        <f t="shared" si="1"/>
        <v>44926</v>
      </c>
      <c r="F18" s="118">
        <f t="shared" si="1"/>
        <v>45016</v>
      </c>
      <c r="G18" s="118">
        <f t="shared" si="1"/>
        <v>45107</v>
      </c>
      <c r="H18" s="118">
        <f t="shared" si="1"/>
        <v>45199</v>
      </c>
      <c r="I18" s="118">
        <f t="shared" si="1"/>
        <v>45291</v>
      </c>
      <c r="L18" s="53"/>
    </row>
    <row r="19" spans="1:14" ht="15">
      <c r="A19" s="211" t="str">
        <f>HLOOKUP(INDICE!$F$2,Nombres!$C$3:$D$636,105,FALSE)</f>
        <v>Hipotecario</v>
      </c>
      <c r="B19" s="212">
        <v>14945.832946212977</v>
      </c>
      <c r="C19" s="212">
        <v>15437.505017194824</v>
      </c>
      <c r="D19" s="212">
        <v>15855.161011975344</v>
      </c>
      <c r="E19" s="212">
        <v>16188.75760282663</v>
      </c>
      <c r="F19" s="212">
        <v>16530.473983818745</v>
      </c>
      <c r="G19" s="212">
        <v>16860.093615577498</v>
      </c>
      <c r="H19" s="212">
        <v>17156.70592711868</v>
      </c>
      <c r="I19" s="212">
        <v>17598.491654478905</v>
      </c>
      <c r="L19" s="212"/>
      <c r="N19" s="261"/>
    </row>
    <row r="20" spans="1:14" ht="15">
      <c r="A20" s="211" t="str">
        <f>HLOOKUP(INDICE!$F$2,Nombres!$C$3:$D$636,106,FALSE)</f>
        <v>Consumo</v>
      </c>
      <c r="B20" s="212">
        <v>10334.575933232956</v>
      </c>
      <c r="C20" s="212">
        <v>10757.681667872394</v>
      </c>
      <c r="D20" s="212">
        <v>11254.81209689966</v>
      </c>
      <c r="E20" s="212">
        <v>11530.703855137372</v>
      </c>
      <c r="F20" s="212">
        <v>12034.906814958948</v>
      </c>
      <c r="G20" s="212">
        <v>12568.987226776037</v>
      </c>
      <c r="H20" s="212">
        <v>13090.248436778538</v>
      </c>
      <c r="I20" s="212">
        <v>13348.951169646953</v>
      </c>
      <c r="L20" s="212"/>
      <c r="N20" s="261"/>
    </row>
    <row r="21" spans="1:14" ht="15.75" customHeight="1">
      <c r="A21" s="211" t="str">
        <f>HLOOKUP(INDICE!$F$2,Nombres!$C$3:$D$636,107,FALSE)</f>
        <v>Tarjetas de Crédito</v>
      </c>
      <c r="B21" s="212">
        <v>6368.760020003878</v>
      </c>
      <c r="C21" s="212">
        <v>6710.285071656082</v>
      </c>
      <c r="D21" s="212">
        <v>7008.481541355443</v>
      </c>
      <c r="E21" s="212">
        <v>7636.3897020802915</v>
      </c>
      <c r="F21" s="212">
        <v>7764.051138156244</v>
      </c>
      <c r="G21" s="212">
        <v>8197.489091505413</v>
      </c>
      <c r="H21" s="212">
        <v>8613.709291030138</v>
      </c>
      <c r="I21" s="212">
        <v>9255.448442908708</v>
      </c>
      <c r="L21" s="212"/>
      <c r="N21" s="261"/>
    </row>
    <row r="22" spans="1:14" ht="15">
      <c r="A22" s="211" t="str">
        <f>HLOOKUP(INDICE!$F$2,Nombres!$C$3:$D$636,110,FALSE)</f>
        <v>Pymes</v>
      </c>
      <c r="B22" s="212">
        <v>4471.129088067831</v>
      </c>
      <c r="C22" s="212">
        <v>4712.348060308906</v>
      </c>
      <c r="D22" s="212">
        <v>4953.554184272078</v>
      </c>
      <c r="E22" s="212">
        <v>5078.061254759903</v>
      </c>
      <c r="F22" s="212">
        <v>5417.5252615874715</v>
      </c>
      <c r="G22" s="212">
        <v>5692.756315457949</v>
      </c>
      <c r="H22" s="212">
        <v>5945.323201024656</v>
      </c>
      <c r="I22" s="212">
        <v>6044.695368625672</v>
      </c>
      <c r="L22" s="212"/>
      <c r="N22" s="261"/>
    </row>
    <row r="23" spans="1:14" ht="15">
      <c r="A23" s="211" t="str">
        <f>HLOOKUP(INDICE!$F$2,Nombres!$C$3:$D$636,216,FALSE)</f>
        <v>Resto Minorista</v>
      </c>
      <c r="B23" s="212">
        <v>91.80094168606831</v>
      </c>
      <c r="C23" s="212">
        <v>91.8671161230026</v>
      </c>
      <c r="D23" s="212">
        <v>91.78759684984459</v>
      </c>
      <c r="E23" s="212">
        <v>95.4318922514274</v>
      </c>
      <c r="F23" s="212">
        <v>95.33175600741986</v>
      </c>
      <c r="G23" s="212">
        <v>95.3067329925295</v>
      </c>
      <c r="H23" s="212">
        <v>95.60686528792957</v>
      </c>
      <c r="I23" s="212">
        <v>111.66262756416927</v>
      </c>
      <c r="L23" s="212"/>
      <c r="N23" s="261"/>
    </row>
    <row r="24" spans="1:14" ht="15">
      <c r="A24" s="211" t="str">
        <f>HLOOKUP(INDICE!$F$2,Nombres!$C$3:$D$636,217,FALSE)</f>
        <v>Resto Empresas</v>
      </c>
      <c r="B24" s="212">
        <v>29360.041204189176</v>
      </c>
      <c r="C24" s="212">
        <v>31218.790116392116</v>
      </c>
      <c r="D24" s="212">
        <v>32052.18940919845</v>
      </c>
      <c r="E24" s="212">
        <v>32618.222615002273</v>
      </c>
      <c r="F24" s="212">
        <v>33068.62723014697</v>
      </c>
      <c r="G24" s="212">
        <v>33394.13332082184</v>
      </c>
      <c r="H24" s="212">
        <v>33926.41908745187</v>
      </c>
      <c r="I24" s="212">
        <v>34394.024285066815</v>
      </c>
      <c r="L24" s="212"/>
      <c r="N24" s="261"/>
    </row>
    <row r="25" spans="1:14" ht="15">
      <c r="A25" s="211" t="str">
        <f>HLOOKUP(INDICE!$F$2,Nombres!$C$3:$D$636,108,FALSE)</f>
        <v>Sector público</v>
      </c>
      <c r="B25" s="212">
        <v>6248.104309970146</v>
      </c>
      <c r="C25" s="212">
        <v>6253.532072013018</v>
      </c>
      <c r="D25" s="212">
        <v>6212.830011797926</v>
      </c>
      <c r="E25" s="212">
        <v>6860.443993785181</v>
      </c>
      <c r="F25" s="212">
        <v>6869.689836062321</v>
      </c>
      <c r="G25" s="212">
        <v>6715.433951741123</v>
      </c>
      <c r="H25" s="212">
        <v>7311.115025239441</v>
      </c>
      <c r="I25" s="212">
        <v>7711.811421381693</v>
      </c>
      <c r="L25" s="212"/>
      <c r="N25" s="261"/>
    </row>
    <row r="26" spans="1:14" ht="15">
      <c r="A26" s="213" t="str">
        <f>HLOOKUP(INDICE!$F$2,Nombres!$C$3:$D$636,112,FALSE)</f>
        <v>Crédito no dudoso en gestión (*)</v>
      </c>
      <c r="B26" s="214">
        <v>71820.24444336303</v>
      </c>
      <c r="C26" s="214">
        <v>75182.00912156033</v>
      </c>
      <c r="D26" s="214">
        <v>77428.81585234874</v>
      </c>
      <c r="E26" s="214">
        <v>80008.01091584307</v>
      </c>
      <c r="F26" s="214">
        <v>81780.60602073812</v>
      </c>
      <c r="G26" s="214">
        <v>83524.2002548724</v>
      </c>
      <c r="H26" s="214">
        <v>86139.12783393126</v>
      </c>
      <c r="I26" s="214">
        <v>88465.08496967291</v>
      </c>
      <c r="J26" s="285"/>
      <c r="L26" s="218"/>
      <c r="N26" s="261"/>
    </row>
    <row r="27" spans="1:14" ht="15.75">
      <c r="A27" s="221" t="str">
        <f>HLOOKUP(INDICE!$F$2,Nombres!$C$3:$D$636,205,FALSE)</f>
        <v>Criterio Local Contable(***) </v>
      </c>
      <c r="B27" s="215">
        <f>+SUM(B19:B25)-B26</f>
        <v>0</v>
      </c>
      <c r="C27" s="215">
        <f aca="true" t="shared" si="2" ref="C27:I27">+SUM(C19:C25)-C26</f>
        <v>0</v>
      </c>
      <c r="D27" s="215">
        <f t="shared" si="2"/>
        <v>0</v>
      </c>
      <c r="E27" s="215">
        <f t="shared" si="2"/>
        <v>0</v>
      </c>
      <c r="F27" s="215">
        <f t="shared" si="2"/>
        <v>0</v>
      </c>
      <c r="G27" s="215">
        <f t="shared" si="2"/>
        <v>0</v>
      </c>
      <c r="H27" s="215">
        <f t="shared" si="2"/>
        <v>0</v>
      </c>
      <c r="I27" s="215">
        <f t="shared" si="2"/>
        <v>0</v>
      </c>
      <c r="L27" s="219"/>
      <c r="N27" s="261"/>
    </row>
    <row r="28" spans="1:14" ht="15">
      <c r="A28" s="299"/>
      <c r="B28" s="212"/>
      <c r="C28" s="212"/>
      <c r="D28" s="212"/>
      <c r="E28" s="212"/>
      <c r="F28" s="212"/>
      <c r="G28" s="212"/>
      <c r="H28" s="212"/>
      <c r="I28" s="212"/>
      <c r="L28" s="212"/>
      <c r="N28" s="261"/>
    </row>
    <row r="29" spans="2:12" ht="15.75">
      <c r="B29" s="217"/>
      <c r="C29" s="217"/>
      <c r="D29" s="217"/>
      <c r="E29" s="217"/>
      <c r="F29" s="217"/>
      <c r="L29" s="217"/>
    </row>
    <row r="30" spans="1:13" ht="15.75" customHeight="1">
      <c r="A30" s="209"/>
      <c r="B30" s="308" t="str">
        <f>HLOOKUP(INDICE!$F$2,Nombres!$C$3:$D$636,12,FALSE)</f>
        <v>Turquía </v>
      </c>
      <c r="C30" s="308"/>
      <c r="D30" s="308"/>
      <c r="E30" s="308"/>
      <c r="F30" s="308"/>
      <c r="G30" s="308"/>
      <c r="H30" s="308"/>
      <c r="I30" s="308"/>
      <c r="L30" s="222"/>
      <c r="M30" s="222"/>
    </row>
    <row r="31" spans="1:13" ht="15.75">
      <c r="A31" s="210"/>
      <c r="B31" s="118">
        <f>+B$5</f>
        <v>44651</v>
      </c>
      <c r="C31" s="118">
        <f aca="true" t="shared" si="3" ref="C31:I31">+C$5</f>
        <v>44742</v>
      </c>
      <c r="D31" s="118">
        <f t="shared" si="3"/>
        <v>44834</v>
      </c>
      <c r="E31" s="118">
        <f t="shared" si="3"/>
        <v>44926</v>
      </c>
      <c r="F31" s="118">
        <f t="shared" si="3"/>
        <v>45016</v>
      </c>
      <c r="G31" s="118">
        <f t="shared" si="3"/>
        <v>45107</v>
      </c>
      <c r="H31" s="118">
        <f t="shared" si="3"/>
        <v>45199</v>
      </c>
      <c r="I31" s="118">
        <f t="shared" si="3"/>
        <v>45291</v>
      </c>
      <c r="L31" s="53"/>
      <c r="M31" s="222"/>
    </row>
    <row r="32" spans="1:14" ht="15">
      <c r="A32" s="211" t="str">
        <f>HLOOKUP(INDICE!$F$2,Nombres!$C$3:$D$636,105,FALSE)</f>
        <v>Hipotecario</v>
      </c>
      <c r="B32" s="212">
        <v>773.2907592692211</v>
      </c>
      <c r="C32" s="212">
        <v>772.5502095332401</v>
      </c>
      <c r="D32" s="212">
        <v>738.8994087280754</v>
      </c>
      <c r="E32" s="212">
        <v>686.0416812276004</v>
      </c>
      <c r="F32" s="212">
        <v>791.2022766034435</v>
      </c>
      <c r="G32" s="212">
        <v>977.6687747119022</v>
      </c>
      <c r="H32" s="212">
        <v>1051.9511545886467</v>
      </c>
      <c r="I32" s="212">
        <v>1041.1989479400002</v>
      </c>
      <c r="L32" s="212"/>
      <c r="M32" s="222"/>
      <c r="N32" s="261"/>
    </row>
    <row r="33" spans="1:14" ht="15">
      <c r="A33" s="211" t="str">
        <f>HLOOKUP(INDICE!$F$2,Nombres!$C$3:$D$636,106,FALSE)</f>
        <v>Consumo</v>
      </c>
      <c r="B33" s="212">
        <v>2410.2595574461175</v>
      </c>
      <c r="C33" s="212">
        <v>2739.941305878879</v>
      </c>
      <c r="D33" s="212">
        <v>2957.815703035896</v>
      </c>
      <c r="E33" s="212">
        <v>3513.3388182721574</v>
      </c>
      <c r="F33" s="212">
        <v>3937.1972538182263</v>
      </c>
      <c r="G33" s="212">
        <v>4252.23473832266</v>
      </c>
      <c r="H33" s="212">
        <v>4361.772140202277</v>
      </c>
      <c r="I33" s="212">
        <v>4907.50727998</v>
      </c>
      <c r="L33" s="212"/>
      <c r="M33" s="222"/>
      <c r="N33" s="261"/>
    </row>
    <row r="34" spans="1:14" ht="15">
      <c r="A34" s="211" t="str">
        <f>HLOOKUP(INDICE!$F$2,Nombres!$C$3:$D$636,107,FALSE)</f>
        <v>Tarjetas de Crédito</v>
      </c>
      <c r="B34" s="212">
        <v>1465.334696506724</v>
      </c>
      <c r="C34" s="212">
        <v>1766.180256408198</v>
      </c>
      <c r="D34" s="212">
        <v>2268.168298595327</v>
      </c>
      <c r="E34" s="212">
        <v>2949.852173749163</v>
      </c>
      <c r="F34" s="212">
        <v>3823.8301903123393</v>
      </c>
      <c r="G34" s="212">
        <v>4990.737286868489</v>
      </c>
      <c r="H34" s="212">
        <v>5923.7734444208245</v>
      </c>
      <c r="I34" s="212">
        <v>6733.698999999999</v>
      </c>
      <c r="L34" s="212"/>
      <c r="M34" s="222"/>
      <c r="N34" s="261"/>
    </row>
    <row r="35" spans="1:14" ht="15">
      <c r="A35" s="211" t="str">
        <f>HLOOKUP(INDICE!$F$2,Nombres!$C$3:$D$636,108,FALSE)</f>
        <v>Sector público</v>
      </c>
      <c r="B35" s="212">
        <v>139.11542947312304</v>
      </c>
      <c r="C35" s="212">
        <v>349.4881703759642</v>
      </c>
      <c r="D35" s="212">
        <v>343.1787099330677</v>
      </c>
      <c r="E35" s="212">
        <v>356.17118443131557</v>
      </c>
      <c r="F35" s="212">
        <v>348.9369577041082</v>
      </c>
      <c r="G35" s="212">
        <v>904.3198233183824</v>
      </c>
      <c r="H35" s="212">
        <v>430.0346717043808</v>
      </c>
      <c r="I35" s="212">
        <v>489.357</v>
      </c>
      <c r="L35" s="212"/>
      <c r="M35" s="222"/>
      <c r="N35" s="261"/>
    </row>
    <row r="36" spans="1:14" ht="15">
      <c r="A36" s="211" t="str">
        <f>HLOOKUP(INDICE!$F$2,Nombres!$C$3:$D$636,109,FALSE)</f>
        <v>Sociedades financieras y sociedades no financieras</v>
      </c>
      <c r="B36" s="212">
        <v>11445.53126564621</v>
      </c>
      <c r="C36" s="212">
        <v>12730.913262378348</v>
      </c>
      <c r="D36" s="212">
        <v>13524.363746946869</v>
      </c>
      <c r="E36" s="212">
        <v>14606.93045458846</v>
      </c>
      <c r="F36" s="212">
        <v>15174.389582770045</v>
      </c>
      <c r="G36" s="212">
        <v>18843.625152875713</v>
      </c>
      <c r="H36" s="212">
        <v>20528.193929551777</v>
      </c>
      <c r="I36" s="212">
        <v>22966.557999999997</v>
      </c>
      <c r="L36" s="211"/>
      <c r="M36" s="222"/>
      <c r="N36" s="261"/>
    </row>
    <row r="37" spans="1:14" ht="15">
      <c r="A37" s="211" t="str">
        <f>HLOOKUP(INDICE!$F$2,Nombres!$C$3:$D$636,111,FALSE)</f>
        <v>Otros</v>
      </c>
      <c r="B37" s="212">
        <v>211.3190316774204</v>
      </c>
      <c r="C37" s="212">
        <v>288.68197565380115</v>
      </c>
      <c r="D37" s="212">
        <v>390.2318967183761</v>
      </c>
      <c r="E37" s="212">
        <v>627.175086810098</v>
      </c>
      <c r="F37" s="212">
        <v>816.1854255465958</v>
      </c>
      <c r="G37" s="212">
        <v>909.7995799421383</v>
      </c>
      <c r="H37" s="212">
        <v>1061.4627700254796</v>
      </c>
      <c r="I37" s="212">
        <v>1200.3957720799992</v>
      </c>
      <c r="L37" s="211"/>
      <c r="M37" s="222"/>
      <c r="N37" s="261"/>
    </row>
    <row r="38" spans="1:14" ht="15">
      <c r="A38" s="213" t="str">
        <f>HLOOKUP(INDICE!$F$2,Nombres!$C$3:$D$636,112,FALSE)</f>
        <v>Crédito no dudoso en gestión (*)</v>
      </c>
      <c r="B38" s="214">
        <v>16444.850740018817</v>
      </c>
      <c r="C38" s="214">
        <v>18647.755180228432</v>
      </c>
      <c r="D38" s="214">
        <v>20222.657763957613</v>
      </c>
      <c r="E38" s="214">
        <v>22739.509399078794</v>
      </c>
      <c r="F38" s="214">
        <v>24891.741686754758</v>
      </c>
      <c r="G38" s="214">
        <v>30878.385356039285</v>
      </c>
      <c r="H38" s="214">
        <v>33357.18811049339</v>
      </c>
      <c r="I38" s="214">
        <v>37338.716</v>
      </c>
      <c r="L38" s="211"/>
      <c r="M38" s="222"/>
      <c r="N38" s="261"/>
    </row>
    <row r="39" spans="1:14" ht="15.75" customHeight="1">
      <c r="A39" s="213"/>
      <c r="B39" s="214"/>
      <c r="C39" s="214"/>
      <c r="D39" s="214"/>
      <c r="E39" s="214"/>
      <c r="F39" s="214"/>
      <c r="G39" s="214"/>
      <c r="H39" s="214"/>
      <c r="I39" s="214"/>
      <c r="L39" s="211"/>
      <c r="M39" s="222"/>
      <c r="N39" s="261"/>
    </row>
    <row r="40" spans="1:13" ht="15.75" customHeight="1">
      <c r="A40" s="213"/>
      <c r="B40" s="214"/>
      <c r="C40" s="214"/>
      <c r="D40" s="214"/>
      <c r="E40" s="214"/>
      <c r="F40" s="214"/>
      <c r="G40" s="214"/>
      <c r="H40" s="214"/>
      <c r="I40" s="214"/>
      <c r="L40" s="211"/>
      <c r="M40" s="222"/>
    </row>
    <row r="41" spans="1:13" ht="15">
      <c r="A41" s="213"/>
      <c r="B41" s="214"/>
      <c r="C41" s="214"/>
      <c r="D41" s="214"/>
      <c r="E41" s="214"/>
      <c r="F41" s="214"/>
      <c r="G41" s="214"/>
      <c r="H41" s="214"/>
      <c r="I41" s="214"/>
      <c r="L41" s="211"/>
      <c r="M41" s="222"/>
    </row>
    <row r="42" spans="1:13" ht="15.75" customHeight="1">
      <c r="A42" s="209"/>
      <c r="B42" s="308" t="str">
        <f>HLOOKUP(INDICE!$F$2,Nombres!$C$3:$D$636,296,FALSE)</f>
        <v>Turquia solo Banco</v>
      </c>
      <c r="C42" s="308"/>
      <c r="D42" s="308"/>
      <c r="E42" s="308"/>
      <c r="F42" s="308"/>
      <c r="G42" s="308"/>
      <c r="H42" s="308"/>
      <c r="I42" s="308"/>
      <c r="L42" s="222"/>
      <c r="M42" s="222"/>
    </row>
    <row r="43" spans="1:13" ht="15.75">
      <c r="A43" s="210"/>
      <c r="B43" s="118">
        <f>+B$5</f>
        <v>44651</v>
      </c>
      <c r="C43" s="118">
        <f aca="true" t="shared" si="4" ref="C43:I43">+C$5</f>
        <v>44742</v>
      </c>
      <c r="D43" s="118">
        <f t="shared" si="4"/>
        <v>44834</v>
      </c>
      <c r="E43" s="118">
        <f t="shared" si="4"/>
        <v>44926</v>
      </c>
      <c r="F43" s="118">
        <f t="shared" si="4"/>
        <v>45016</v>
      </c>
      <c r="G43" s="118">
        <f t="shared" si="4"/>
        <v>45107</v>
      </c>
      <c r="H43" s="118">
        <f t="shared" si="4"/>
        <v>45199</v>
      </c>
      <c r="I43" s="118">
        <f t="shared" si="4"/>
        <v>45291</v>
      </c>
      <c r="L43" s="53"/>
      <c r="M43" s="222"/>
    </row>
    <row r="44" spans="1:13" ht="15">
      <c r="A44" s="211" t="str">
        <f>HLOOKUP(INDICE!$F$2,Nombres!$C$3:$D$636,285,FALSE)</f>
        <v>Préstamos Hogares TL</v>
      </c>
      <c r="B44" s="212">
        <v>4779.853738476913</v>
      </c>
      <c r="C44" s="212">
        <v>5500.698106722468</v>
      </c>
      <c r="D44" s="212">
        <v>6289.657947697197</v>
      </c>
      <c r="E44" s="212">
        <v>7738.612096768436</v>
      </c>
      <c r="F44" s="212">
        <v>9182.059216031874</v>
      </c>
      <c r="G44" s="212">
        <v>10700.88960135907</v>
      </c>
      <c r="H44" s="212">
        <v>11798.58178744834</v>
      </c>
      <c r="I44" s="212">
        <v>13302.057224513883</v>
      </c>
      <c r="L44" s="212"/>
      <c r="M44" s="222"/>
    </row>
    <row r="45" spans="1:14" ht="15">
      <c r="A45" s="211" t="str">
        <f>HLOOKUP(INDICE!$F$2,Nombres!$C$3:$D$636,286,FALSE)</f>
        <v>Préstamos Empresas TL</v>
      </c>
      <c r="B45" s="212">
        <v>4576.796889323343</v>
      </c>
      <c r="C45" s="212">
        <v>5427.365861303972</v>
      </c>
      <c r="D45" s="212">
        <v>6219.7033447099075</v>
      </c>
      <c r="E45" s="212">
        <v>6687.77216259035</v>
      </c>
      <c r="F45" s="212">
        <v>6744.766556488315</v>
      </c>
      <c r="G45" s="212">
        <v>7713.273921564476</v>
      </c>
      <c r="H45" s="212">
        <v>8687.351658908246</v>
      </c>
      <c r="I45" s="212">
        <v>8998.552675847737</v>
      </c>
      <c r="L45" s="212"/>
      <c r="M45" s="222"/>
      <c r="N45" s="261"/>
    </row>
    <row r="46" spans="1:14" ht="15">
      <c r="A46" s="213" t="str">
        <f>HLOOKUP(INDICE!$F$2,Nombres!$C$3:$D$636,287,FALSE)</f>
        <v>Total Préstamos TL</v>
      </c>
      <c r="B46" s="214">
        <v>9356.650627800256</v>
      </c>
      <c r="C46" s="214">
        <v>10928.06396802644</v>
      </c>
      <c r="D46" s="214">
        <v>12509.361292407106</v>
      </c>
      <c r="E46" s="214">
        <v>14426.384259358785</v>
      </c>
      <c r="F46" s="214">
        <v>15926.82577252019</v>
      </c>
      <c r="G46" s="214">
        <v>18414.163522923543</v>
      </c>
      <c r="H46" s="214">
        <v>20485.933446356587</v>
      </c>
      <c r="I46" s="214">
        <v>22300.60990036162</v>
      </c>
      <c r="L46" s="212"/>
      <c r="M46" s="222"/>
      <c r="N46" s="261"/>
    </row>
    <row r="47" spans="1:14" ht="15">
      <c r="A47" s="213" t="str">
        <f>HLOOKUP(INDICE!$F$2,Nombres!$C$3:$D$636,288,FALSE)</f>
        <v>Total Préstamos FC</v>
      </c>
      <c r="B47" s="214">
        <v>10100.19979874052</v>
      </c>
      <c r="C47" s="214">
        <v>9308.066868075868</v>
      </c>
      <c r="D47" s="214">
        <v>8117.201648072055</v>
      </c>
      <c r="E47" s="214">
        <v>8179.102721603544</v>
      </c>
      <c r="F47" s="214">
        <v>8719.600596866117</v>
      </c>
      <c r="G47" s="214">
        <v>8618.82120961806</v>
      </c>
      <c r="H47" s="214">
        <v>8550.012433666574</v>
      </c>
      <c r="I47" s="214">
        <v>8781.817753671272</v>
      </c>
      <c r="L47" s="211"/>
      <c r="M47" s="222"/>
      <c r="N47" s="261"/>
    </row>
    <row r="48" spans="1:14" ht="15.75">
      <c r="A48" s="221" t="str">
        <f>HLOOKUP(INDICE!$F$2,Nombres!$C$3:$D$636,295,FALSE)</f>
        <v>(TL Lira Turca FC Moneda Extranjera)</v>
      </c>
      <c r="B48" s="215">
        <f>+SUM(B32:B37)-B38</f>
        <v>0</v>
      </c>
      <c r="C48" s="215">
        <f aca="true" t="shared" si="5" ref="C48:I48">+SUM(C32:C37)-C38</f>
        <v>0</v>
      </c>
      <c r="D48" s="215">
        <f t="shared" si="5"/>
        <v>0</v>
      </c>
      <c r="E48" s="215">
        <f t="shared" si="5"/>
        <v>0</v>
      </c>
      <c r="F48" s="215">
        <f t="shared" si="5"/>
        <v>0</v>
      </c>
      <c r="G48" s="215">
        <f t="shared" si="5"/>
        <v>0</v>
      </c>
      <c r="H48" s="215">
        <f t="shared" si="5"/>
        <v>0</v>
      </c>
      <c r="I48" s="215">
        <f t="shared" si="5"/>
        <v>0</v>
      </c>
      <c r="L48" s="213"/>
      <c r="M48" s="222"/>
      <c r="N48" s="261"/>
    </row>
    <row r="49" spans="1:14" ht="15.75">
      <c r="A49" s="206"/>
      <c r="B49" s="216"/>
      <c r="C49" s="216"/>
      <c r="D49" s="216"/>
      <c r="E49" s="216"/>
      <c r="F49" s="216"/>
      <c r="G49" s="216"/>
      <c r="H49" s="216"/>
      <c r="I49" s="216"/>
      <c r="L49" s="216"/>
      <c r="M49" s="222"/>
      <c r="N49" s="261"/>
    </row>
    <row r="50" spans="1:14" ht="15.75">
      <c r="A50" s="206"/>
      <c r="B50" s="216"/>
      <c r="C50" s="216"/>
      <c r="D50" s="216"/>
      <c r="E50" s="216"/>
      <c r="F50" s="216"/>
      <c r="G50" s="216"/>
      <c r="H50" s="216"/>
      <c r="I50" s="216"/>
      <c r="L50" s="216"/>
      <c r="N50" s="261"/>
    </row>
    <row r="51" spans="1:14" ht="15.75" customHeight="1">
      <c r="A51" s="209"/>
      <c r="B51" s="308" t="str">
        <f>HLOOKUP(INDICE!$F$2,Nombres!$C$3:$D$636,283,FALSE)</f>
        <v>América del Sur </v>
      </c>
      <c r="C51" s="308"/>
      <c r="D51" s="308"/>
      <c r="E51" s="308"/>
      <c r="F51" s="308"/>
      <c r="G51" s="308"/>
      <c r="H51" s="308"/>
      <c r="I51" s="308"/>
      <c r="N51" s="261"/>
    </row>
    <row r="52" spans="1:14" ht="15.75">
      <c r="A52" s="210"/>
      <c r="B52" s="118">
        <f>+B$5</f>
        <v>44651</v>
      </c>
      <c r="C52" s="118">
        <f aca="true" t="shared" si="6" ref="C52:I52">+C$5</f>
        <v>44742</v>
      </c>
      <c r="D52" s="118">
        <f t="shared" si="6"/>
        <v>44834</v>
      </c>
      <c r="E52" s="118">
        <f t="shared" si="6"/>
        <v>44926</v>
      </c>
      <c r="F52" s="118">
        <f t="shared" si="6"/>
        <v>45016</v>
      </c>
      <c r="G52" s="118">
        <f t="shared" si="6"/>
        <v>45107</v>
      </c>
      <c r="H52" s="118">
        <f t="shared" si="6"/>
        <v>45199</v>
      </c>
      <c r="I52" s="118">
        <f t="shared" si="6"/>
        <v>45291</v>
      </c>
      <c r="N52" s="261"/>
    </row>
    <row r="53" spans="1:12" ht="15">
      <c r="A53" s="211" t="s">
        <v>6</v>
      </c>
      <c r="B53" s="212">
        <v>466.3163259013544</v>
      </c>
      <c r="C53" s="212">
        <v>583.7054845238215</v>
      </c>
      <c r="D53" s="212">
        <v>651.6295074584448</v>
      </c>
      <c r="E53" s="212">
        <v>808.7269857777103</v>
      </c>
      <c r="F53" s="212">
        <v>979.2298985742211</v>
      </c>
      <c r="G53" s="212">
        <v>1205.0328789388338</v>
      </c>
      <c r="H53" s="212">
        <v>1558.5340397344555</v>
      </c>
      <c r="I53" s="212">
        <v>2258.547</v>
      </c>
      <c r="L53" s="212"/>
    </row>
    <row r="54" spans="1:12" ht="15">
      <c r="A54" s="211" t="s">
        <v>7</v>
      </c>
      <c r="B54" s="212">
        <v>1478.397429065543</v>
      </c>
      <c r="C54" s="212">
        <v>1593.350766295035</v>
      </c>
      <c r="D54" s="212">
        <v>1751.714947480928</v>
      </c>
      <c r="E54" s="212">
        <v>1863.8848252134121</v>
      </c>
      <c r="F54" s="212">
        <v>1911.1204115012188</v>
      </c>
      <c r="G54" s="212">
        <v>1918.4225871328556</v>
      </c>
      <c r="H54" s="212">
        <v>1945.5504530635942</v>
      </c>
      <c r="I54" s="212">
        <v>1976.4080000000001</v>
      </c>
      <c r="L54" s="212"/>
    </row>
    <row r="55" spans="1:12" ht="15.75" customHeight="1">
      <c r="A55" s="211" t="s">
        <v>8</v>
      </c>
      <c r="B55" s="212">
        <v>13912.39400351419</v>
      </c>
      <c r="C55" s="212">
        <v>14855.492076997642</v>
      </c>
      <c r="D55" s="212">
        <v>15348.30171753374</v>
      </c>
      <c r="E55" s="212">
        <v>16134.461389494576</v>
      </c>
      <c r="F55" s="212">
        <v>16350.7493227091</v>
      </c>
      <c r="G55" s="212">
        <v>16724.67923356443</v>
      </c>
      <c r="H55" s="212">
        <v>16852.425937712243</v>
      </c>
      <c r="I55" s="212">
        <v>16951.385</v>
      </c>
      <c r="L55" s="212"/>
    </row>
    <row r="56" spans="1:12" ht="15">
      <c r="A56" s="211" t="s">
        <v>9</v>
      </c>
      <c r="B56" s="212">
        <v>16907.15127026732</v>
      </c>
      <c r="C56" s="212">
        <v>16813.025995596825</v>
      </c>
      <c r="D56" s="212">
        <v>16953.945340413455</v>
      </c>
      <c r="E56" s="212">
        <v>16746.619564555403</v>
      </c>
      <c r="F56" s="212">
        <v>16975.1797855446</v>
      </c>
      <c r="G56" s="212">
        <v>16740.512725032466</v>
      </c>
      <c r="H56" s="212">
        <v>16831.329303854698</v>
      </c>
      <c r="I56" s="212">
        <v>17178.733999999997</v>
      </c>
      <c r="L56" s="212"/>
    </row>
    <row r="57" spans="1:14" ht="15">
      <c r="A57" s="211" t="s">
        <v>10</v>
      </c>
      <c r="B57" s="212">
        <v>2113.79563073613</v>
      </c>
      <c r="C57" s="212">
        <v>2261.884942633505</v>
      </c>
      <c r="D57" s="212">
        <v>2333.6191915937907</v>
      </c>
      <c r="E57" s="212">
        <v>2400.050685911504</v>
      </c>
      <c r="F57" s="212">
        <v>2374.204503750484</v>
      </c>
      <c r="G57" s="212">
        <v>2411.688657641989</v>
      </c>
      <c r="H57" s="212">
        <v>2441.3583717288802</v>
      </c>
      <c r="I57" s="212">
        <v>2647.895</v>
      </c>
      <c r="L57" s="212"/>
      <c r="N57" s="261"/>
    </row>
    <row r="58" spans="1:14" ht="15">
      <c r="A58" s="213" t="str">
        <f>HLOOKUP(INDICE!$F$2,Nombres!$C$3:$D$636,112,FALSE)</f>
        <v>Crédito no dudoso en gestión (*)</v>
      </c>
      <c r="B58" s="214">
        <v>34878.05465948453</v>
      </c>
      <c r="C58" s="214">
        <v>36107.45926604683</v>
      </c>
      <c r="D58" s="214">
        <v>37039.210704480356</v>
      </c>
      <c r="E58" s="214">
        <v>37953.74345095261</v>
      </c>
      <c r="F58" s="214">
        <v>38590.48392207963</v>
      </c>
      <c r="G58" s="214">
        <v>39000.336082310576</v>
      </c>
      <c r="H58" s="214">
        <v>39629.19810609388</v>
      </c>
      <c r="I58" s="214">
        <v>41012.969</v>
      </c>
      <c r="L58" s="213"/>
      <c r="N58" s="261"/>
    </row>
    <row r="59" spans="1:14" ht="15.75">
      <c r="A59" s="206"/>
      <c r="B59" s="215">
        <f>+SUM(B53:B57)-B58</f>
        <v>0</v>
      </c>
      <c r="C59" s="215">
        <f aca="true" t="shared" si="7" ref="C59:I59">+SUM(C53:C57)-C58</f>
        <v>0</v>
      </c>
      <c r="D59" s="215">
        <f t="shared" si="7"/>
        <v>0</v>
      </c>
      <c r="E59" s="215">
        <f t="shared" si="7"/>
        <v>0</v>
      </c>
      <c r="F59" s="215">
        <f t="shared" si="7"/>
        <v>0</v>
      </c>
      <c r="G59" s="215">
        <f t="shared" si="7"/>
        <v>0</v>
      </c>
      <c r="H59" s="215">
        <f t="shared" si="7"/>
        <v>0</v>
      </c>
      <c r="I59" s="215">
        <f t="shared" si="7"/>
        <v>0</v>
      </c>
      <c r="L59" s="216"/>
      <c r="N59" s="261"/>
    </row>
    <row r="60" spans="1:14" ht="15" customHeight="1">
      <c r="A60" s="206"/>
      <c r="B60" s="206"/>
      <c r="C60" s="206"/>
      <c r="D60" s="206"/>
      <c r="E60" s="206"/>
      <c r="F60" s="206"/>
      <c r="L60" s="206"/>
      <c r="N60" s="261"/>
    </row>
    <row r="61" spans="1:14" ht="15" customHeight="1">
      <c r="A61" s="223" t="str">
        <f>HLOOKUP(INDICE!$F$2,Nombres!$C$3:$D$636,71,FALSE)</f>
        <v>(*) No incluye las adquisiciones temporales de activos.</v>
      </c>
      <c r="B61" s="206"/>
      <c r="C61" s="206"/>
      <c r="D61" s="206"/>
      <c r="E61" s="206"/>
      <c r="F61" s="206"/>
      <c r="L61" s="206"/>
      <c r="N61" s="261"/>
    </row>
    <row r="62" spans="1:14" ht="15" customHeight="1">
      <c r="A62" s="223"/>
      <c r="B62" s="206"/>
      <c r="C62" s="206"/>
      <c r="D62" s="206"/>
      <c r="E62" s="206"/>
      <c r="F62" s="206"/>
      <c r="L62" s="206"/>
      <c r="N62" s="261"/>
    </row>
    <row r="63" spans="1:12" ht="15.75">
      <c r="A63" s="206"/>
      <c r="B63" s="206"/>
      <c r="C63" s="206"/>
      <c r="D63" s="206"/>
      <c r="E63" s="206"/>
      <c r="F63" s="206"/>
      <c r="L63" s="206"/>
    </row>
    <row r="64" spans="1:12" ht="15.75">
      <c r="A64" s="206"/>
      <c r="B64" s="206"/>
      <c r="C64" s="206"/>
      <c r="D64" s="206"/>
      <c r="E64" s="206"/>
      <c r="F64" s="206"/>
      <c r="L64" s="206"/>
    </row>
    <row r="65" spans="1:12" ht="15.75">
      <c r="A65" s="206"/>
      <c r="B65" s="206"/>
      <c r="C65" s="206"/>
      <c r="D65" s="206"/>
      <c r="E65" s="206"/>
      <c r="F65" s="206"/>
      <c r="L65" s="206"/>
    </row>
    <row r="66" spans="1:12" ht="15.75">
      <c r="A66" s="206"/>
      <c r="B66" s="206"/>
      <c r="C66" s="206"/>
      <c r="D66" s="206"/>
      <c r="E66" s="206"/>
      <c r="F66" s="206"/>
      <c r="L66" s="206"/>
    </row>
    <row r="67" spans="1:12" ht="15.75">
      <c r="A67" s="206"/>
      <c r="B67" s="206"/>
      <c r="C67" s="206"/>
      <c r="D67" s="206"/>
      <c r="E67" s="206"/>
      <c r="F67" s="206"/>
      <c r="L67" s="206"/>
    </row>
    <row r="68" spans="1:12" ht="15.75">
      <c r="A68" s="206"/>
      <c r="B68" s="206"/>
      <c r="C68" s="206"/>
      <c r="D68" s="206"/>
      <c r="E68" s="206"/>
      <c r="F68" s="206"/>
      <c r="L68" s="206"/>
    </row>
    <row r="69" spans="1:12" ht="15.75">
      <c r="A69" s="206"/>
      <c r="B69" s="206"/>
      <c r="C69" s="206"/>
      <c r="D69" s="206"/>
      <c r="E69" s="206"/>
      <c r="F69" s="206"/>
      <c r="L69" s="206"/>
    </row>
    <row r="70" spans="1:12" ht="15.75">
      <c r="A70" s="206"/>
      <c r="B70" s="206"/>
      <c r="C70" s="206"/>
      <c r="D70" s="206"/>
      <c r="E70" s="206"/>
      <c r="F70" s="206"/>
      <c r="L70" s="206"/>
    </row>
    <row r="996" ht="15">
      <c r="A996" s="205" t="s">
        <v>391</v>
      </c>
    </row>
  </sheetData>
  <sheetProtection/>
  <mergeCells count="5">
    <mergeCell ref="B4:I4"/>
    <mergeCell ref="B17:I17"/>
    <mergeCell ref="B30:I30"/>
    <mergeCell ref="B42:I42"/>
    <mergeCell ref="B51:I51"/>
  </mergeCells>
  <conditionalFormatting sqref="B14:I14">
    <cfRule type="cellIs" priority="6" dxfId="132" operator="notBetween">
      <formula>0.5</formula>
      <formula>-0.5</formula>
    </cfRule>
  </conditionalFormatting>
  <conditionalFormatting sqref="B27:I27">
    <cfRule type="cellIs" priority="5" dxfId="132" operator="notBetween">
      <formula>0.5</formula>
      <formula>-0.5</formula>
    </cfRule>
  </conditionalFormatting>
  <conditionalFormatting sqref="C27:I27">
    <cfRule type="cellIs" priority="4" dxfId="132" operator="notBetween">
      <formula>0.5</formula>
      <formula>-0.5</formula>
    </cfRule>
  </conditionalFormatting>
  <conditionalFormatting sqref="B48">
    <cfRule type="cellIs" priority="3" dxfId="132" operator="notBetween">
      <formula>0.5</formula>
      <formula>-0.5</formula>
    </cfRule>
  </conditionalFormatting>
  <conditionalFormatting sqref="C48:I48">
    <cfRule type="cellIs" priority="2" dxfId="132" operator="notBetween">
      <formula>0.5</formula>
      <formula>-0.5</formula>
    </cfRule>
  </conditionalFormatting>
  <conditionalFormatting sqref="B59:I59">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dimension ref="A1:L1001"/>
  <sheetViews>
    <sheetView showGridLines="0" zoomScalePageLayoutView="0" workbookViewId="0" topLeftCell="A1">
      <selection activeCell="A1" sqref="A1"/>
    </sheetView>
  </sheetViews>
  <sheetFormatPr defaultColWidth="11.421875" defaultRowHeight="15"/>
  <cols>
    <col min="1" max="1" width="35.7109375" style="205" customWidth="1"/>
    <col min="2" max="2" width="12.28125" style="205" customWidth="1"/>
    <col min="3" max="9" width="11.421875" style="205" customWidth="1"/>
    <col min="10" max="11" width="5.7109375" style="205" customWidth="1"/>
    <col min="12" max="12" width="19.57421875" style="205" customWidth="1"/>
    <col min="13" max="16384" width="11.421875" style="205" customWidth="1"/>
  </cols>
  <sheetData>
    <row r="1" spans="1:9" ht="18">
      <c r="A1" s="202" t="str">
        <f>HLOOKUP(INDICE!$F$2,Nombres!$C$3:$D$636,120,FALSE)</f>
        <v>Desglose de los recursos de clientes en gestión</v>
      </c>
      <c r="B1" s="203"/>
      <c r="C1" s="203"/>
      <c r="D1" s="203"/>
      <c r="E1" s="203"/>
      <c r="F1" s="203"/>
      <c r="G1" s="203"/>
      <c r="H1" s="203"/>
      <c r="I1" s="203"/>
    </row>
    <row r="2" spans="1:6" ht="15.75">
      <c r="A2" s="207" t="str">
        <f>HLOOKUP(INDICE!$F$2,Nombres!$C$3:$D$636,73,FALSE)</f>
        <v>(Millones de euros constantes)</v>
      </c>
      <c r="B2" s="206"/>
      <c r="C2" s="206"/>
      <c r="D2" s="206"/>
      <c r="E2" s="206"/>
      <c r="F2" s="206"/>
    </row>
    <row r="3" spans="1:12" ht="15.75" customHeight="1">
      <c r="A3" s="209"/>
      <c r="B3" s="308" t="str">
        <f>HLOOKUP(INDICE!$F$2,Nombres!$C$3:$D$636,7,FALSE)</f>
        <v>España</v>
      </c>
      <c r="C3" s="308"/>
      <c r="D3" s="308"/>
      <c r="E3" s="308"/>
      <c r="F3" s="308"/>
      <c r="G3" s="308"/>
      <c r="H3" s="308"/>
      <c r="I3" s="308"/>
      <c r="L3" s="224"/>
    </row>
    <row r="4" spans="1:9" ht="15.75">
      <c r="A4" s="210"/>
      <c r="B4" s="118">
        <f>+España!B32</f>
        <v>44651</v>
      </c>
      <c r="C4" s="118">
        <f>+España!C32</f>
        <v>44742</v>
      </c>
      <c r="D4" s="118">
        <f>+España!D32</f>
        <v>44834</v>
      </c>
      <c r="E4" s="118">
        <f>+España!E32</f>
        <v>44926</v>
      </c>
      <c r="F4" s="118">
        <f>+España!F32</f>
        <v>45016</v>
      </c>
      <c r="G4" s="118">
        <f>+España!G32</f>
        <v>45107</v>
      </c>
      <c r="H4" s="118">
        <f>+España!H32</f>
        <v>45199</v>
      </c>
      <c r="I4" s="118">
        <f>+España!I32</f>
        <v>45291</v>
      </c>
    </row>
    <row r="5" spans="1:12" ht="15">
      <c r="A5" s="211" t="str">
        <f>HLOOKUP(INDICE!$F$2,Nombres!$C$3:$D$636,114,FALSE)</f>
        <v>Depósitos a la vista + Disponibles con preaviso</v>
      </c>
      <c r="B5" s="212">
        <v>189479.81666199997</v>
      </c>
      <c r="C5" s="212">
        <v>194253.54097</v>
      </c>
      <c r="D5" s="212">
        <v>193909.239639</v>
      </c>
      <c r="E5" s="212">
        <v>198131.115479</v>
      </c>
      <c r="F5" s="212">
        <v>190585.723555</v>
      </c>
      <c r="G5" s="212">
        <v>189100.14232600003</v>
      </c>
      <c r="H5" s="212">
        <v>187297.06776900002</v>
      </c>
      <c r="I5" s="212">
        <v>187937.434508</v>
      </c>
      <c r="L5" s="211"/>
    </row>
    <row r="6" spans="1:12" ht="15">
      <c r="A6" s="211" t="str">
        <f>HLOOKUP(INDICE!$F$2,Nombres!$C$3:$D$636,115,FALSE)</f>
        <v>Depósitos a plazo</v>
      </c>
      <c r="B6" s="212">
        <v>16925.437971</v>
      </c>
      <c r="C6" s="212">
        <v>16845.767135000002</v>
      </c>
      <c r="D6" s="212">
        <v>18961.266234</v>
      </c>
      <c r="E6" s="212">
        <v>22008.405587</v>
      </c>
      <c r="F6" s="212">
        <v>22725.272305</v>
      </c>
      <c r="G6" s="212">
        <v>23979.546753</v>
      </c>
      <c r="H6" s="212">
        <v>24314.432162</v>
      </c>
      <c r="I6" s="212">
        <v>27030.489287</v>
      </c>
      <c r="L6" s="211"/>
    </row>
    <row r="7" spans="1:12" ht="15">
      <c r="A7" s="211" t="str">
        <f>HLOOKUP(INDICE!$F$2,Nombres!$C$3:$D$636,116,FALSE)</f>
        <v>Recursos fuera de balance (*)</v>
      </c>
      <c r="B7" s="212">
        <v>90827.85125446998</v>
      </c>
      <c r="C7" s="212">
        <v>86828.40831213</v>
      </c>
      <c r="D7" s="212">
        <v>85180.62565222</v>
      </c>
      <c r="E7" s="212">
        <v>86758.50581024999</v>
      </c>
      <c r="F7" s="212">
        <v>90577.40561005</v>
      </c>
      <c r="G7" s="212">
        <v>92847.5390638</v>
      </c>
      <c r="H7" s="212">
        <v>93024.47300199998</v>
      </c>
      <c r="I7" s="212">
        <v>97252.90365800002</v>
      </c>
      <c r="L7" s="211"/>
    </row>
    <row r="8" spans="1:12" ht="15">
      <c r="A8" s="213" t="str">
        <f>HLOOKUP(INDICE!$F$2,Nombres!$C$3:$D$636,208,FALSE)</f>
        <v> Recursos de clientes en gestión (**)</v>
      </c>
      <c r="B8" s="213">
        <v>297233.10588746995</v>
      </c>
      <c r="C8" s="213">
        <v>297927.71641712997</v>
      </c>
      <c r="D8" s="213">
        <v>298051.13152522</v>
      </c>
      <c r="E8" s="213">
        <v>306898.02687625</v>
      </c>
      <c r="F8" s="213">
        <v>303888.40147005</v>
      </c>
      <c r="G8" s="213">
        <v>305927.2281428</v>
      </c>
      <c r="H8" s="213">
        <v>304635.97293300007</v>
      </c>
      <c r="I8" s="213">
        <v>312220.82745299995</v>
      </c>
      <c r="L8" s="213"/>
    </row>
    <row r="9" spans="1:12" ht="15.75">
      <c r="A9" s="211" t="str">
        <f>HLOOKUP(INDICE!$F$2,Nombres!$C$3:$D$636,118,FALSE)</f>
        <v>Vista+Plazo</v>
      </c>
      <c r="B9" s="212">
        <f aca="true" t="shared" si="0" ref="B9:I9">+B5+B6</f>
        <v>206405.25463299998</v>
      </c>
      <c r="C9" s="212">
        <f t="shared" si="0"/>
        <v>211099.308105</v>
      </c>
      <c r="D9" s="212">
        <f t="shared" si="0"/>
        <v>212870.50587300002</v>
      </c>
      <c r="E9" s="212">
        <f t="shared" si="0"/>
        <v>220139.521066</v>
      </c>
      <c r="F9" s="212">
        <f t="shared" si="0"/>
        <v>213310.99586</v>
      </c>
      <c r="G9" s="212">
        <f t="shared" si="0"/>
        <v>213079.68907900003</v>
      </c>
      <c r="H9" s="212">
        <f t="shared" si="0"/>
        <v>211611.49993100003</v>
      </c>
      <c r="I9" s="212">
        <f t="shared" si="0"/>
        <v>214967.923795</v>
      </c>
      <c r="L9" s="206"/>
    </row>
    <row r="10" spans="1:9" ht="15.75">
      <c r="A10" s="206"/>
      <c r="B10" s="215">
        <f>+B5+B6+B7-B8</f>
        <v>0</v>
      </c>
      <c r="C10" s="215">
        <f aca="true" t="shared" si="1" ref="C10:I10">+C5+C6+C7-C8</f>
        <v>0</v>
      </c>
      <c r="D10" s="215">
        <f t="shared" si="1"/>
        <v>0</v>
      </c>
      <c r="E10" s="215">
        <f t="shared" si="1"/>
        <v>0</v>
      </c>
      <c r="F10" s="215">
        <f t="shared" si="1"/>
        <v>0</v>
      </c>
      <c r="G10" s="215">
        <f t="shared" si="1"/>
        <v>0</v>
      </c>
      <c r="H10" s="215">
        <f t="shared" si="1"/>
        <v>0</v>
      </c>
      <c r="I10" s="215">
        <f t="shared" si="1"/>
        <v>0</v>
      </c>
    </row>
    <row r="11" spans="1:9" ht="15.75">
      <c r="A11" s="206"/>
      <c r="B11" s="215">
        <f>+B9-España!B54</f>
        <v>0</v>
      </c>
      <c r="C11" s="215">
        <f>+C9-España!C54</f>
        <v>0</v>
      </c>
      <c r="D11" s="215">
        <f>+D9-España!D54</f>
        <v>0</v>
      </c>
      <c r="E11" s="215">
        <f>+E9-España!E54</f>
        <v>0</v>
      </c>
      <c r="F11" s="215">
        <f>+F9-España!F54</f>
        <v>0</v>
      </c>
      <c r="G11" s="215">
        <f>+G9-España!G54</f>
        <v>0</v>
      </c>
      <c r="H11" s="215">
        <f>+H9-España!H54</f>
        <v>0</v>
      </c>
      <c r="I11" s="215">
        <f>+I9-España!I54</f>
        <v>0</v>
      </c>
    </row>
    <row r="12" spans="1:12" ht="15.75" customHeight="1">
      <c r="A12" s="209"/>
      <c r="B12" s="308" t="str">
        <f>HLOOKUP(INDICE!$F$2,Nombres!$C$3:$D$636,204,FALSE)</f>
        <v>Mexico (***)</v>
      </c>
      <c r="C12" s="308"/>
      <c r="D12" s="308"/>
      <c r="E12" s="308"/>
      <c r="F12" s="308"/>
      <c r="G12" s="308"/>
      <c r="H12" s="308"/>
      <c r="I12" s="308"/>
      <c r="L12" s="224"/>
    </row>
    <row r="13" spans="1:9" ht="15.75">
      <c r="A13" s="210"/>
      <c r="B13" s="118">
        <f>+B$4</f>
        <v>44651</v>
      </c>
      <c r="C13" s="118">
        <f aca="true" t="shared" si="2" ref="C13:I13">+C$4</f>
        <v>44742</v>
      </c>
      <c r="D13" s="118">
        <f t="shared" si="2"/>
        <v>44834</v>
      </c>
      <c r="E13" s="118">
        <f t="shared" si="2"/>
        <v>44926</v>
      </c>
      <c r="F13" s="118">
        <f t="shared" si="2"/>
        <v>45016</v>
      </c>
      <c r="G13" s="118">
        <f t="shared" si="2"/>
        <v>45107</v>
      </c>
      <c r="H13" s="118">
        <f t="shared" si="2"/>
        <v>45199</v>
      </c>
      <c r="I13" s="118">
        <f t="shared" si="2"/>
        <v>45291</v>
      </c>
    </row>
    <row r="14" spans="1:12" ht="15">
      <c r="A14" s="211" t="str">
        <f>HLOOKUP(INDICE!$F$2,Nombres!$C$3:$D$636,114,FALSE)</f>
        <v>Depósitos a la vista + Disponibles con preaviso</v>
      </c>
      <c r="B14" s="212">
        <v>68877.52142111369</v>
      </c>
      <c r="C14" s="212">
        <v>67534.41309772154</v>
      </c>
      <c r="D14" s="212">
        <v>65819.1622512686</v>
      </c>
      <c r="E14" s="212">
        <v>71974.13831858095</v>
      </c>
      <c r="F14" s="212">
        <v>69764.28072440071</v>
      </c>
      <c r="G14" s="212">
        <v>68523.95781501362</v>
      </c>
      <c r="H14" s="212">
        <v>69117.42675165899</v>
      </c>
      <c r="I14" s="212">
        <v>76155.748</v>
      </c>
      <c r="J14" s="212"/>
      <c r="L14" s="211"/>
    </row>
    <row r="15" spans="1:12" ht="15">
      <c r="A15" s="211" t="str">
        <f>HLOOKUP(INDICE!$F$2,Nombres!$C$3:$D$636,115,FALSE)</f>
        <v>Depósitos a plazo</v>
      </c>
      <c r="B15" s="212">
        <v>12878.908830768192</v>
      </c>
      <c r="C15" s="212">
        <v>13313.386454411338</v>
      </c>
      <c r="D15" s="212">
        <v>13600.456767252623</v>
      </c>
      <c r="E15" s="212">
        <v>13927.978572349253</v>
      </c>
      <c r="F15" s="212">
        <v>13798.999049405096</v>
      </c>
      <c r="G15" s="212">
        <v>14026.458718610502</v>
      </c>
      <c r="H15" s="212">
        <v>15038.30877823018</v>
      </c>
      <c r="I15" s="212">
        <v>14770.03899999</v>
      </c>
      <c r="J15" s="212"/>
      <c r="L15" s="211"/>
    </row>
    <row r="16" spans="1:12" ht="15">
      <c r="A16" s="211" t="str">
        <f>HLOOKUP(INDICE!$F$2,Nombres!$C$3:$D$636,116,FALSE)</f>
        <v>Recursos fuera de balance (*)</v>
      </c>
      <c r="B16" s="212">
        <v>40627.10003447809</v>
      </c>
      <c r="C16" s="212">
        <v>41325.67405297008</v>
      </c>
      <c r="D16" s="212">
        <v>42220.939805143826</v>
      </c>
      <c r="E16" s="212">
        <v>42546.684036208564</v>
      </c>
      <c r="F16" s="212">
        <v>46581.145192868105</v>
      </c>
      <c r="G16" s="212">
        <v>49230.994633676804</v>
      </c>
      <c r="H16" s="212">
        <v>52120.90092779232</v>
      </c>
      <c r="I16" s="212">
        <v>53254.15697868</v>
      </c>
      <c r="J16" s="212"/>
      <c r="L16" s="211"/>
    </row>
    <row r="17" spans="1:12" ht="15">
      <c r="A17" s="213" t="str">
        <f>HLOOKUP(INDICE!$F$2,Nombres!$C$3:$D$636,208,FALSE)</f>
        <v> Recursos de clientes en gestión (**)</v>
      </c>
      <c r="B17" s="213">
        <v>122383.53028635996</v>
      </c>
      <c r="C17" s="213">
        <v>122173.47360510296</v>
      </c>
      <c r="D17" s="213">
        <v>121640.55882366504</v>
      </c>
      <c r="E17" s="213">
        <v>128448.80092713877</v>
      </c>
      <c r="F17" s="213">
        <v>130144.4249666739</v>
      </c>
      <c r="G17" s="213">
        <v>131781.41116730092</v>
      </c>
      <c r="H17" s="213">
        <v>136276.63645768148</v>
      </c>
      <c r="I17" s="213">
        <v>144179.94397867</v>
      </c>
      <c r="J17" s="212"/>
      <c r="L17" s="211"/>
    </row>
    <row r="18" spans="1:12" ht="15">
      <c r="A18" s="211" t="str">
        <f>HLOOKUP(INDICE!$F$2,Nombres!$C$3:$D$636,118,FALSE)</f>
        <v>Vista+Plazo</v>
      </c>
      <c r="B18" s="212">
        <v>81756.43025188189</v>
      </c>
      <c r="C18" s="212">
        <v>80847.79955213287</v>
      </c>
      <c r="D18" s="212">
        <v>79419.61901852122</v>
      </c>
      <c r="E18" s="212">
        <v>85902.1168909302</v>
      </c>
      <c r="F18" s="212">
        <v>83563.27977380581</v>
      </c>
      <c r="G18" s="212">
        <v>82550.41653362413</v>
      </c>
      <c r="H18" s="212">
        <v>84155.73552988918</v>
      </c>
      <c r="I18" s="212">
        <v>90925.78699999</v>
      </c>
      <c r="J18" s="213"/>
      <c r="L18" s="213"/>
    </row>
    <row r="19" spans="1:9" ht="15.75">
      <c r="A19" s="221" t="str">
        <f>HLOOKUP(INDICE!$F$2,Nombres!$C$3:$D$636,205,FALSE)</f>
        <v>Criterio Local Contable(***) </v>
      </c>
      <c r="B19" s="215">
        <f>+B14+B15+B16-B17</f>
        <v>0</v>
      </c>
      <c r="C19" s="215">
        <f aca="true" t="shared" si="3" ref="C19:I19">+C14+C15+C16-C17</f>
        <v>0</v>
      </c>
      <c r="D19" s="215">
        <f t="shared" si="3"/>
        <v>0</v>
      </c>
      <c r="E19" s="215">
        <f t="shared" si="3"/>
        <v>0</v>
      </c>
      <c r="F19" s="215">
        <f t="shared" si="3"/>
        <v>0</v>
      </c>
      <c r="G19" s="215">
        <f t="shared" si="3"/>
        <v>0</v>
      </c>
      <c r="H19" s="215">
        <f t="shared" si="3"/>
        <v>0</v>
      </c>
      <c r="I19" s="215">
        <f t="shared" si="3"/>
        <v>0</v>
      </c>
    </row>
    <row r="20" spans="1:12" ht="15.75">
      <c r="A20" s="206"/>
      <c r="B20" s="297">
        <f>+B17-Mexico!B108-Mexico!B109-Mexico!B110-Mexico!B111</f>
        <v>-1.546140993013978E-11</v>
      </c>
      <c r="C20" s="297">
        <f>+C17-Mexico!C108-Mexico!C109-Mexico!C110-Mexico!C111</f>
        <v>7.275957614183426E-12</v>
      </c>
      <c r="D20" s="297">
        <f>+D17-Mexico!D108-Mexico!D109-Mexico!D110-Mexico!D111</f>
        <v>0</v>
      </c>
      <c r="E20" s="297">
        <f>+E17-Mexico!E108-Mexico!E109-Mexico!E110-Mexico!E111</f>
        <v>-1.9099388737231493E-11</v>
      </c>
      <c r="F20" s="215">
        <f>+F17-Mexico!F108-Mexico!F109-Mexico!F110-Mexico!F111</f>
        <v>-1.318767317570746E-11</v>
      </c>
      <c r="G20" s="215">
        <f>+G17-Mexico!G108-Mexico!G109-Mexico!G110-Mexico!G111</f>
        <v>-1.6370904631912708E-11</v>
      </c>
      <c r="H20" s="215">
        <f>+H17-Mexico!H108-Mexico!H109-Mexico!H110-Mexico!H111</f>
        <v>-2.8194335754960775E-11</v>
      </c>
      <c r="I20" s="215">
        <f>+I17-Mexico!I108-Mexico!I109-Mexico!I110-Mexico!I111</f>
        <v>0</v>
      </c>
      <c r="L20" s="224"/>
    </row>
    <row r="21" spans="1:12" ht="15.75" customHeight="1">
      <c r="A21" s="209"/>
      <c r="B21" s="308" t="str">
        <f>HLOOKUP(INDICE!$F$2,Nombres!$C$3:$D$636,12,FALSE)</f>
        <v>Turquía </v>
      </c>
      <c r="C21" s="308"/>
      <c r="D21" s="308"/>
      <c r="E21" s="308"/>
      <c r="F21" s="308"/>
      <c r="G21" s="308"/>
      <c r="H21" s="308"/>
      <c r="I21" s="308"/>
      <c r="L21" s="224"/>
    </row>
    <row r="22" spans="1:9" ht="15.75">
      <c r="A22" s="210"/>
      <c r="B22" s="118">
        <f>+B$4</f>
        <v>44651</v>
      </c>
      <c r="C22" s="118">
        <f aca="true" t="shared" si="4" ref="C22:I22">+C$4</f>
        <v>44742</v>
      </c>
      <c r="D22" s="118">
        <f t="shared" si="4"/>
        <v>44834</v>
      </c>
      <c r="E22" s="118">
        <f t="shared" si="4"/>
        <v>44926</v>
      </c>
      <c r="F22" s="118">
        <f t="shared" si="4"/>
        <v>45016</v>
      </c>
      <c r="G22" s="118">
        <f t="shared" si="4"/>
        <v>45107</v>
      </c>
      <c r="H22" s="118">
        <f t="shared" si="4"/>
        <v>45199</v>
      </c>
      <c r="I22" s="118">
        <f t="shared" si="4"/>
        <v>45291</v>
      </c>
    </row>
    <row r="23" spans="1:12" ht="15">
      <c r="A23" s="211" t="str">
        <f>HLOOKUP(INDICE!$F$2,Nombres!$C$3:$D$636,114,FALSE)</f>
        <v>Depósitos a la vista + Disponibles con preaviso</v>
      </c>
      <c r="B23" s="212">
        <v>10993.543122529823</v>
      </c>
      <c r="C23" s="212">
        <v>12389.818435482865</v>
      </c>
      <c r="D23" s="212">
        <v>14286.601824669215</v>
      </c>
      <c r="E23" s="212">
        <v>15159.771168229252</v>
      </c>
      <c r="F23" s="212">
        <v>15411.988967134945</v>
      </c>
      <c r="G23" s="212">
        <v>18826.3975519677</v>
      </c>
      <c r="H23" s="212">
        <v>20738.621757917692</v>
      </c>
      <c r="I23" s="212">
        <v>23099.887999999995</v>
      </c>
      <c r="L23" s="211"/>
    </row>
    <row r="24" spans="1:12" ht="15">
      <c r="A24" s="211" t="str">
        <f>HLOOKUP(INDICE!$F$2,Nombres!$C$3:$D$636,115,FALSE)</f>
        <v>Depósitos a plazo</v>
      </c>
      <c r="B24" s="212">
        <v>9029.496263606563</v>
      </c>
      <c r="C24" s="212">
        <v>10254.970301105683</v>
      </c>
      <c r="D24" s="212">
        <v>11851.37722795346</v>
      </c>
      <c r="E24" s="212">
        <v>12716.145939559638</v>
      </c>
      <c r="F24" s="212">
        <v>16410.88484613029</v>
      </c>
      <c r="G24" s="212">
        <v>24121.078321086483</v>
      </c>
      <c r="H24" s="212">
        <v>23545.666317986957</v>
      </c>
      <c r="I24" s="212">
        <v>26220.713999999996</v>
      </c>
      <c r="L24" s="211"/>
    </row>
    <row r="25" spans="1:12" ht="15">
      <c r="A25" s="211" t="str">
        <f>HLOOKUP(INDICE!$F$2,Nombres!$C$3:$D$636,116,FALSE)</f>
        <v>Recursos fuera de balance (*)</v>
      </c>
      <c r="B25" s="212">
        <v>2204.7975767126854</v>
      </c>
      <c r="C25" s="212">
        <v>2612.6788127550817</v>
      </c>
      <c r="D25" s="212">
        <v>3085.081632403597</v>
      </c>
      <c r="E25" s="212">
        <v>4240.658215919628</v>
      </c>
      <c r="F25" s="212">
        <v>4786.484412913627</v>
      </c>
      <c r="G25" s="212">
        <v>5897.737865040207</v>
      </c>
      <c r="H25" s="212">
        <v>7022.998077128821</v>
      </c>
      <c r="I25" s="212">
        <v>7768.464</v>
      </c>
      <c r="L25" s="211"/>
    </row>
    <row r="26" spans="1:12" ht="15">
      <c r="A26" s="213" t="str">
        <f>HLOOKUP(INDICE!$F$2,Nombres!$C$3:$D$636,208,FALSE)</f>
        <v> Recursos de clientes en gestión (**)</v>
      </c>
      <c r="B26" s="213">
        <v>22227.836962849065</v>
      </c>
      <c r="C26" s="213">
        <v>25257.467549343626</v>
      </c>
      <c r="D26" s="213">
        <v>29223.06068502627</v>
      </c>
      <c r="E26" s="213">
        <v>32116.575323708512</v>
      </c>
      <c r="F26" s="213">
        <v>36609.35822617886</v>
      </c>
      <c r="G26" s="213">
        <v>48845.21373809439</v>
      </c>
      <c r="H26" s="213">
        <v>51307.28615303348</v>
      </c>
      <c r="I26" s="213">
        <v>57089.066000000006</v>
      </c>
      <c r="L26" s="213"/>
    </row>
    <row r="27" spans="1:9" ht="15">
      <c r="A27" s="211" t="str">
        <f>HLOOKUP(INDICE!$F$2,Nombres!$C$3:$D$636,118,FALSE)</f>
        <v>Vista+Plazo</v>
      </c>
      <c r="B27" s="212">
        <f aca="true" t="shared" si="5" ref="B27:I27">+B23+B24</f>
        <v>20023.039386136385</v>
      </c>
      <c r="C27" s="212">
        <f t="shared" si="5"/>
        <v>22644.788736588547</v>
      </c>
      <c r="D27" s="212">
        <f t="shared" si="5"/>
        <v>26137.979052622675</v>
      </c>
      <c r="E27" s="212">
        <f t="shared" si="5"/>
        <v>27875.91710778889</v>
      </c>
      <c r="F27" s="212">
        <f t="shared" si="5"/>
        <v>31822.873813265236</v>
      </c>
      <c r="G27" s="212">
        <f t="shared" si="5"/>
        <v>42947.47587305418</v>
      </c>
      <c r="H27" s="212">
        <f t="shared" si="5"/>
        <v>44284.28807590465</v>
      </c>
      <c r="I27" s="212">
        <f t="shared" si="5"/>
        <v>49320.60199999999</v>
      </c>
    </row>
    <row r="28" spans="1:9" ht="15.75">
      <c r="A28" s="206"/>
      <c r="B28" s="215">
        <f>+B23+B24+B25-B26</f>
        <v>0</v>
      </c>
      <c r="C28" s="215">
        <f aca="true" t="shared" si="6" ref="C28:I28">+C23+C24+C25-C26</f>
        <v>0</v>
      </c>
      <c r="D28" s="215">
        <f t="shared" si="6"/>
        <v>0</v>
      </c>
      <c r="E28" s="215">
        <f t="shared" si="6"/>
        <v>0</v>
      </c>
      <c r="F28" s="215">
        <f t="shared" si="6"/>
        <v>0</v>
      </c>
      <c r="G28" s="215">
        <f t="shared" si="6"/>
        <v>0</v>
      </c>
      <c r="H28" s="215">
        <f t="shared" si="6"/>
        <v>0</v>
      </c>
      <c r="I28" s="215">
        <f t="shared" si="6"/>
        <v>0</v>
      </c>
    </row>
    <row r="29" spans="1:9" ht="15.75">
      <c r="A29" s="213"/>
      <c r="B29" s="215">
        <f>+B26-Turquia!B108-Turquia!B109-Turquia!B110</f>
        <v>0</v>
      </c>
      <c r="C29" s="215">
        <f>+C26-Turquia!C108-Turquia!C109-Turquia!C110</f>
        <v>0</v>
      </c>
      <c r="D29" s="215">
        <f>+D26-Turquia!D108-Turquia!D109-Turquia!D110</f>
        <v>0</v>
      </c>
      <c r="E29" s="215">
        <f>+E26-Turquia!E108-Turquia!E109-Turquia!E110</f>
        <v>-2.2737367544323206E-12</v>
      </c>
      <c r="F29" s="215">
        <f>+F26-Turquia!F108-Turquia!F109-Turquia!F110</f>
        <v>0</v>
      </c>
      <c r="G29" s="215">
        <f>+G26-Turquia!G108-Turquia!G109-Turquia!G110</f>
        <v>-4.547473508864641E-12</v>
      </c>
      <c r="H29" s="215">
        <f>+H26-Turquia!H108-Turquia!H109-Turquia!H110</f>
        <v>0</v>
      </c>
      <c r="I29" s="215">
        <f>+I26-Turquia!I108-Turquia!I109-Turquia!I110</f>
        <v>0</v>
      </c>
    </row>
    <row r="30" spans="1:12" ht="15.75" customHeight="1">
      <c r="A30" s="209"/>
      <c r="B30" s="308" t="str">
        <f>HLOOKUP(INDICE!$F$2,Nombres!$C$3:$D$636,296,FALSE)</f>
        <v>Turquia solo Banco</v>
      </c>
      <c r="C30" s="308"/>
      <c r="D30" s="308"/>
      <c r="E30" s="308"/>
      <c r="F30" s="308"/>
      <c r="G30" s="308"/>
      <c r="H30" s="308"/>
      <c r="I30" s="308"/>
      <c r="L30" s="224"/>
    </row>
    <row r="31" spans="1:9" ht="15.75">
      <c r="A31" s="210"/>
      <c r="B31" s="118">
        <f>+B$4</f>
        <v>44651</v>
      </c>
      <c r="C31" s="118">
        <f aca="true" t="shared" si="7" ref="C31:I31">+C$4</f>
        <v>44742</v>
      </c>
      <c r="D31" s="118">
        <f t="shared" si="7"/>
        <v>44834</v>
      </c>
      <c r="E31" s="118">
        <f t="shared" si="7"/>
        <v>44926</v>
      </c>
      <c r="F31" s="118">
        <f t="shared" si="7"/>
        <v>45016</v>
      </c>
      <c r="G31" s="118">
        <f t="shared" si="7"/>
        <v>45107</v>
      </c>
      <c r="H31" s="118">
        <f t="shared" si="7"/>
        <v>45199</v>
      </c>
      <c r="I31" s="118">
        <f t="shared" si="7"/>
        <v>45291</v>
      </c>
    </row>
    <row r="32" spans="1:9" ht="15">
      <c r="A32" s="211" t="str">
        <f>HLOOKUP(INDICE!$F$2,Nombres!$C$3:$D$636,289,FALSE)</f>
        <v>Depósitos Vista TL</v>
      </c>
      <c r="B32" s="212">
        <v>1837.9242020326647</v>
      </c>
      <c r="C32" s="212">
        <v>2268.760013825611</v>
      </c>
      <c r="D32" s="212">
        <v>2773.2458086542074</v>
      </c>
      <c r="E32" s="212">
        <v>3482.7701861089995</v>
      </c>
      <c r="F32" s="212">
        <v>3854.752951681558</v>
      </c>
      <c r="G32" s="212">
        <v>4203.75687262241</v>
      </c>
      <c r="H32" s="212">
        <v>4602.5659468098975</v>
      </c>
      <c r="I32" s="212">
        <v>4607.073523601706</v>
      </c>
    </row>
    <row r="33" spans="1:9" ht="15">
      <c r="A33" s="211" t="str">
        <f>HLOOKUP(INDICE!$F$2,Nombres!$C$3:$D$636,290,FALSE)</f>
        <v>Depósitos Plazo TL</v>
      </c>
      <c r="B33" s="212">
        <v>5137.384450725062</v>
      </c>
      <c r="C33" s="212">
        <v>5855.766558161431</v>
      </c>
      <c r="D33" s="212">
        <v>7269.691331608289</v>
      </c>
      <c r="E33" s="212">
        <v>9360.141853835632</v>
      </c>
      <c r="F33" s="212">
        <v>13130.371718978913</v>
      </c>
      <c r="G33" s="212">
        <v>16225.13288507237</v>
      </c>
      <c r="H33" s="212">
        <v>18132.14511717356</v>
      </c>
      <c r="I33" s="212">
        <v>20802.628728459196</v>
      </c>
    </row>
    <row r="34" spans="1:9" ht="15">
      <c r="A34" s="213" t="str">
        <f>HLOOKUP(INDICE!$F$2,Nombres!$C$3:$D$636,291,FALSE)</f>
        <v>Total Depósitos TL</v>
      </c>
      <c r="B34" s="213">
        <v>6975.308652757728</v>
      </c>
      <c r="C34" s="213">
        <v>8124.526571987043</v>
      </c>
      <c r="D34" s="213">
        <v>10042.937140262497</v>
      </c>
      <c r="E34" s="213">
        <v>12842.912039944631</v>
      </c>
      <c r="F34" s="213">
        <v>16985.124670660472</v>
      </c>
      <c r="G34" s="213">
        <v>20428.88975769478</v>
      </c>
      <c r="H34" s="213">
        <v>22734.711063983457</v>
      </c>
      <c r="I34" s="213">
        <v>25409.702252060903</v>
      </c>
    </row>
    <row r="35" spans="1:9" ht="15">
      <c r="A35" s="211" t="str">
        <f>HLOOKUP(INDICE!$F$2,Nombres!$C$3:$D$636,292,FALSE)</f>
        <v>Depósitos Vista FC</v>
      </c>
      <c r="B35" s="212">
        <v>13903.493557697522</v>
      </c>
      <c r="C35" s="212">
        <v>13385.89986616343</v>
      </c>
      <c r="D35" s="212">
        <v>13222.810231171195</v>
      </c>
      <c r="E35" s="212">
        <v>13292.47382443659</v>
      </c>
      <c r="F35" s="212">
        <v>13056.847054385946</v>
      </c>
      <c r="G35" s="212">
        <v>13091.15289702042</v>
      </c>
      <c r="H35" s="212">
        <v>13590.16231746058</v>
      </c>
      <c r="I35" s="212">
        <v>13587.315483842967</v>
      </c>
    </row>
    <row r="36" spans="1:9" ht="15">
      <c r="A36" s="211" t="str">
        <f>HLOOKUP(INDICE!$F$2,Nombres!$C$3:$D$636,293,FALSE)</f>
        <v>Depósitos Plazo FC</v>
      </c>
      <c r="B36" s="212">
        <v>7381.947008769285</v>
      </c>
      <c r="C36" s="212">
        <v>6965.2140229473225</v>
      </c>
      <c r="D36" s="212">
        <v>7214.108301731559</v>
      </c>
      <c r="E36" s="212">
        <v>4382.654914910706</v>
      </c>
      <c r="F36" s="212">
        <v>3180.9992268728993</v>
      </c>
      <c r="G36" s="212">
        <v>2731.4997864600828</v>
      </c>
      <c r="H36" s="212">
        <v>2118.7724891362345</v>
      </c>
      <c r="I36" s="212">
        <v>1909.8721532447153</v>
      </c>
    </row>
    <row r="37" spans="1:9" ht="15">
      <c r="A37" s="213" t="str">
        <f>HLOOKUP(INDICE!$F$2,Nombres!$C$3:$D$636,294,FALSE)</f>
        <v>Total Depósitos FC</v>
      </c>
      <c r="B37" s="213">
        <v>21285.440566466805</v>
      </c>
      <c r="C37" s="213">
        <v>20351.11388911075</v>
      </c>
      <c r="D37" s="213">
        <v>20436.918532902753</v>
      </c>
      <c r="E37" s="213">
        <v>17675.128739347296</v>
      </c>
      <c r="F37" s="213">
        <v>16237.846281258844</v>
      </c>
      <c r="G37" s="213">
        <v>15822.652683480503</v>
      </c>
      <c r="H37" s="213">
        <v>15708.934806596817</v>
      </c>
      <c r="I37" s="213">
        <v>15497.187637087682</v>
      </c>
    </row>
    <row r="38" spans="1:9" ht="15">
      <c r="A38" s="221" t="str">
        <f>HLOOKUP(INDICE!$F$2,Nombres!$C$3:$D$636,295,FALSE)</f>
        <v>(TL Lira Turca FC Moneda Extranjera)</v>
      </c>
      <c r="B38" s="213"/>
      <c r="C38" s="213"/>
      <c r="D38" s="213"/>
      <c r="E38" s="213"/>
      <c r="F38" s="213"/>
      <c r="G38" s="213"/>
      <c r="H38" s="213"/>
      <c r="I38" s="213"/>
    </row>
    <row r="39" spans="1:9" ht="15.75" customHeight="1">
      <c r="A39" s="213"/>
      <c r="B39" s="213"/>
      <c r="C39" s="213"/>
      <c r="D39" s="213"/>
      <c r="E39" s="213"/>
      <c r="F39" s="213"/>
      <c r="G39" s="213"/>
      <c r="H39" s="213"/>
      <c r="I39" s="213"/>
    </row>
    <row r="40" spans="1:12" ht="15.75" customHeight="1">
      <c r="A40" s="209"/>
      <c r="B40" s="308" t="str">
        <f>HLOOKUP(INDICE!$F$2,Nombres!$C$3:$D$636,283,FALSE)</f>
        <v>América del Sur </v>
      </c>
      <c r="C40" s="308"/>
      <c r="D40" s="308"/>
      <c r="E40" s="308"/>
      <c r="F40" s="308"/>
      <c r="G40" s="308"/>
      <c r="H40" s="308"/>
      <c r="I40" s="308"/>
      <c r="L40" s="224"/>
    </row>
    <row r="41" spans="1:9" ht="15.75">
      <c r="A41" s="210"/>
      <c r="B41" s="118">
        <f>+B$4</f>
        <v>44651</v>
      </c>
      <c r="C41" s="118">
        <f aca="true" t="shared" si="8" ref="C41:I41">+C$4</f>
        <v>44742</v>
      </c>
      <c r="D41" s="118">
        <f t="shared" si="8"/>
        <v>44834</v>
      </c>
      <c r="E41" s="118">
        <f t="shared" si="8"/>
        <v>44926</v>
      </c>
      <c r="F41" s="118">
        <f t="shared" si="8"/>
        <v>45016</v>
      </c>
      <c r="G41" s="118">
        <f t="shared" si="8"/>
        <v>45107</v>
      </c>
      <c r="H41" s="118">
        <f t="shared" si="8"/>
        <v>45199</v>
      </c>
      <c r="I41" s="118">
        <f t="shared" si="8"/>
        <v>45291</v>
      </c>
    </row>
    <row r="42" spans="1:12" ht="15">
      <c r="A42" s="211" t="s">
        <v>6</v>
      </c>
      <c r="B42" s="212">
        <v>1165.6321283220857</v>
      </c>
      <c r="C42" s="212">
        <v>1378.837738939353</v>
      </c>
      <c r="D42" s="212">
        <v>1565.5117565665953</v>
      </c>
      <c r="E42" s="212">
        <v>1956.6196337539077</v>
      </c>
      <c r="F42" s="212">
        <v>2340.8192917657016</v>
      </c>
      <c r="G42" s="212">
        <v>2951.1916283265177</v>
      </c>
      <c r="H42" s="212">
        <v>3892.807085173609</v>
      </c>
      <c r="I42" s="212">
        <v>5503.68753249</v>
      </c>
      <c r="L42" s="211"/>
    </row>
    <row r="43" spans="1:12" ht="15">
      <c r="A43" s="211" t="s">
        <v>7</v>
      </c>
      <c r="B43" s="212">
        <v>13.83769380445529</v>
      </c>
      <c r="C43" s="212">
        <v>10.625492818956118</v>
      </c>
      <c r="D43" s="212">
        <v>8.562338425822723</v>
      </c>
      <c r="E43" s="212">
        <v>6.25754883367561</v>
      </c>
      <c r="F43" s="212">
        <v>7.350273977080455</v>
      </c>
      <c r="G43" s="212">
        <v>4.9941679822615885</v>
      </c>
      <c r="H43" s="212">
        <v>6.183096413707415</v>
      </c>
      <c r="I43" s="212">
        <v>6.653</v>
      </c>
      <c r="L43" s="211"/>
    </row>
    <row r="44" spans="1:12" ht="15">
      <c r="A44" s="211" t="s">
        <v>8</v>
      </c>
      <c r="B44" s="212">
        <v>15782.85220034919</v>
      </c>
      <c r="C44" s="212">
        <v>17866.84153623547</v>
      </c>
      <c r="D44" s="212">
        <v>17572.549763267896</v>
      </c>
      <c r="E44" s="212">
        <v>18340.441331333284</v>
      </c>
      <c r="F44" s="212">
        <v>19114.077616207866</v>
      </c>
      <c r="G44" s="212">
        <v>18703.976210874684</v>
      </c>
      <c r="H44" s="212">
        <v>19622.835012924315</v>
      </c>
      <c r="I44" s="212">
        <v>20380.999617110003</v>
      </c>
      <c r="L44" s="211"/>
    </row>
    <row r="45" spans="1:12" ht="15">
      <c r="A45" s="211" t="s">
        <v>9</v>
      </c>
      <c r="B45" s="212">
        <v>16562.25529559919</v>
      </c>
      <c r="C45" s="212">
        <v>16824.061134347747</v>
      </c>
      <c r="D45" s="212">
        <v>18592.70020887675</v>
      </c>
      <c r="E45" s="212">
        <v>17471.098663579127</v>
      </c>
      <c r="F45" s="212">
        <v>17818.18471337789</v>
      </c>
      <c r="G45" s="212">
        <v>17584.048076142004</v>
      </c>
      <c r="H45" s="212">
        <v>18026.945288395436</v>
      </c>
      <c r="I45" s="212">
        <v>18511.046273800002</v>
      </c>
      <c r="L45" s="211"/>
    </row>
    <row r="46" spans="1:12" ht="15">
      <c r="A46" s="211" t="s">
        <v>10</v>
      </c>
      <c r="B46" s="212">
        <f aca="true" t="shared" si="9" ref="B46:I46">+B47-B45-B44-B43-B42</f>
        <v>15100.449243256418</v>
      </c>
      <c r="C46" s="212">
        <f t="shared" si="9"/>
        <v>15243.775598770553</v>
      </c>
      <c r="D46" s="212">
        <f t="shared" si="9"/>
        <v>15504.392329554334</v>
      </c>
      <c r="E46" s="212">
        <f t="shared" si="9"/>
        <v>15274.13331353047</v>
      </c>
      <c r="F46" s="212">
        <f t="shared" si="9"/>
        <v>15352.233576351906</v>
      </c>
      <c r="G46" s="212">
        <f t="shared" si="9"/>
        <v>3693.6176714113385</v>
      </c>
      <c r="H46" s="212">
        <f t="shared" si="9"/>
        <v>3673.8818395976964</v>
      </c>
      <c r="I46" s="212">
        <f t="shared" si="9"/>
        <v>3689.7163792000074</v>
      </c>
      <c r="L46" s="211"/>
    </row>
    <row r="47" spans="1:12" ht="15">
      <c r="A47" s="213" t="str">
        <f>HLOOKUP(INDICE!$F$2,Nombres!$C$3:$D$636,208,FALSE)</f>
        <v> Recursos de clientes en gestión (**)</v>
      </c>
      <c r="B47" s="213">
        <v>48625.02656133134</v>
      </c>
      <c r="C47" s="213">
        <v>51324.141501112084</v>
      </c>
      <c r="D47" s="213">
        <v>53243.716396691394</v>
      </c>
      <c r="E47" s="213">
        <v>53048.550491030466</v>
      </c>
      <c r="F47" s="213">
        <v>54632.66547168045</v>
      </c>
      <c r="G47" s="213">
        <v>42937.827754736805</v>
      </c>
      <c r="H47" s="213">
        <v>45222.652322504764</v>
      </c>
      <c r="I47" s="213">
        <v>48092.10280260001</v>
      </c>
      <c r="L47" s="213"/>
    </row>
    <row r="48" spans="1:9" ht="15.75">
      <c r="A48" s="206"/>
      <c r="B48" s="215">
        <f>+B42+B43+B44+B45+B46-B47</f>
        <v>0</v>
      </c>
      <c r="C48" s="215">
        <f aca="true" t="shared" si="10" ref="C48:I48">+C42+C43+C44+C45+C46-C47</f>
        <v>0</v>
      </c>
      <c r="D48" s="215">
        <f t="shared" si="10"/>
        <v>0</v>
      </c>
      <c r="E48" s="215">
        <f t="shared" si="10"/>
        <v>0</v>
      </c>
      <c r="F48" s="215">
        <f t="shared" si="10"/>
        <v>0</v>
      </c>
      <c r="G48" s="215">
        <f t="shared" si="10"/>
        <v>0</v>
      </c>
      <c r="H48" s="215">
        <f t="shared" si="10"/>
        <v>0</v>
      </c>
      <c r="I48" s="215">
        <f t="shared" si="10"/>
        <v>0</v>
      </c>
    </row>
    <row r="51" ht="15">
      <c r="A51" s="223" t="str">
        <f>HLOOKUP(INDICE!$F$2,Nombres!$C$3:$D$636,206,FALSE)</f>
        <v>Incluye fondos de inversión, carteras gestionadas , fondos de pensiones y otros recursos fuera de balance.(*)</v>
      </c>
    </row>
    <row r="52" ht="15">
      <c r="A52" s="223" t="str">
        <f>HLOOKUP(INDICE!$F$2,Nombres!$C$3:$D$636,207,FALSE)</f>
        <v>No incluye las cesiones temporales de activos.  (**)</v>
      </c>
    </row>
    <row r="53" ht="15">
      <c r="A53" s="223"/>
    </row>
    <row r="54" spans="2:9" ht="15">
      <c r="B54" s="293"/>
      <c r="C54" s="293"/>
      <c r="D54" s="293"/>
      <c r="E54" s="293"/>
      <c r="F54" s="293"/>
      <c r="G54" s="293"/>
      <c r="H54" s="293"/>
      <c r="I54" s="293"/>
    </row>
    <row r="55" spans="2:9" ht="15.75">
      <c r="B55" s="215">
        <f>+B42-Argentina!B108-Argentina!B109-Argentina!B110-Argentina!B111</f>
        <v>-5.684341886080802E-14</v>
      </c>
      <c r="C55" s="215">
        <f>+C42-Argentina!C108-Argentina!C109-Argentina!C110-Argentina!C111</f>
        <v>3.410605131648481E-13</v>
      </c>
      <c r="D55" s="215">
        <f>+D42-Argentina!D108-Argentina!D109-Argentina!D110-Argentina!D111</f>
        <v>-2.2737367544323206E-13</v>
      </c>
      <c r="E55" s="215">
        <f>+E42-Argentina!E108-Argentina!E109-Argentina!E110-Argentina!E111</f>
        <v>1.7053025658242404E-13</v>
      </c>
      <c r="F55" s="215">
        <f>+F42-Argentina!F108-Argentina!F109-Argentina!F110-Argentina!F111</f>
        <v>0</v>
      </c>
      <c r="G55" s="215">
        <f>+G42-Argentina!G108-Argentina!G109-Argentina!G110-Argentina!G111</f>
        <v>5.684341886080801E-13</v>
      </c>
      <c r="H55" s="215">
        <f>+H42-Argentina!H108-Argentina!H109-Argentina!H110-Argentina!H111</f>
        <v>4.547473508864641E-13</v>
      </c>
      <c r="I55" s="215">
        <f>+I42-Argentina!I108-Argentina!I109-Argentina!I110-Argentina!I111</f>
        <v>0</v>
      </c>
    </row>
    <row r="56" spans="2:9" ht="15.75">
      <c r="B56" s="215">
        <f>+B43-Chile!B108-Chile!B109-Chile!B110-Chile!B111</f>
        <v>0</v>
      </c>
      <c r="C56" s="215">
        <f>+C43-Chile!C108-Chile!C109-Chile!C110-Chile!C111</f>
        <v>0</v>
      </c>
      <c r="D56" s="215">
        <f>+D43-Chile!D108-Chile!D109-Chile!D110-Chile!D111</f>
        <v>0</v>
      </c>
      <c r="E56" s="215">
        <f>+E43-Chile!E108-Chile!E109-Chile!E110-Chile!E111</f>
        <v>0</v>
      </c>
      <c r="F56" s="215">
        <f>+F43-Chile!F108-Chile!F109-Chile!F110-Chile!F111</f>
        <v>0</v>
      </c>
      <c r="G56" s="215">
        <f>+G43-Chile!G108-Chile!G109-Chile!G110-Chile!G111</f>
        <v>0</v>
      </c>
      <c r="H56" s="215">
        <f>+H43-Chile!H108-Chile!H109-Chile!H110-Chile!H111</f>
        <v>0</v>
      </c>
      <c r="I56" s="215">
        <f>+I43-Chile!I108-Chile!I109-Chile!I110-Chile!I111</f>
        <v>0</v>
      </c>
    </row>
    <row r="57" spans="2:9" ht="15.75">
      <c r="B57" s="215">
        <f>+B44-Colombia!B108-Colombia!B109-Colombia!B110-Colombia!B111</f>
        <v>0</v>
      </c>
      <c r="C57" s="215">
        <f>+C44-Colombia!C108-Colombia!C109-Colombia!C110-Colombia!C111</f>
        <v>-9.094947017729282E-13</v>
      </c>
      <c r="D57" s="215">
        <f>+D44-Colombia!D108-Colombia!D109-Colombia!D110-Colombia!D111</f>
        <v>9.094947017729282E-13</v>
      </c>
      <c r="E57" s="215">
        <f>+E44-Colombia!E108-Colombia!E109-Colombia!E110-Colombia!E111</f>
        <v>-9.094947017729282E-13</v>
      </c>
      <c r="F57" s="215">
        <f>+F44-Colombia!F108-Colombia!F109-Colombia!F110-Colombia!F111</f>
        <v>0</v>
      </c>
      <c r="G57" s="215">
        <f>+G44-Colombia!G108-Colombia!G109-Colombia!G110-Colombia!G111</f>
        <v>0</v>
      </c>
      <c r="H57" s="215">
        <f>+H44-Colombia!H108-Colombia!H109-Colombia!H110-Colombia!H111</f>
        <v>2.7284841053187847E-12</v>
      </c>
      <c r="I57" s="215">
        <f>+I44-Colombia!I108-Colombia!I109-Colombia!I110-Colombia!I111</f>
        <v>9.094947017729282E-13</v>
      </c>
    </row>
    <row r="58" spans="2:9" ht="15.75">
      <c r="B58" s="215">
        <f>+B45-Peru!B108-Peru!B109-Peru!B110-Peru!B111</f>
        <v>6.821210263296962E-13</v>
      </c>
      <c r="C58" s="215">
        <f>+C45-Peru!C108-Peru!C109-Peru!C110-Peru!C111</f>
        <v>-2.7284841053187847E-12</v>
      </c>
      <c r="D58" s="215">
        <f>+D45-Peru!D108-Peru!D109-Peru!D110-Peru!D111</f>
        <v>-2.0463630789890885E-12</v>
      </c>
      <c r="E58" s="215">
        <f>+E45-Peru!E108-Peru!E109-Peru!E110-Peru!E111</f>
        <v>-1.8189894035458565E-12</v>
      </c>
      <c r="F58" s="215">
        <f>+F45-Peru!F108-Peru!F109-Peru!F110-Peru!F111</f>
        <v>2.2737367544323206E-13</v>
      </c>
      <c r="G58" s="215">
        <f>+G45-Peru!G108-Peru!G109-Peru!G110-Peru!G111</f>
        <v>-6.821210263296962E-13</v>
      </c>
      <c r="H58" s="215">
        <f>+H45-Peru!H108-Peru!H109-Peru!H110-Peru!H111</f>
        <v>1.3642420526593924E-12</v>
      </c>
      <c r="I58" s="215">
        <f>+I45-Peru!I108-Peru!I109-Peru!I110-Peru!I111</f>
        <v>-6.821210263296962E-13</v>
      </c>
    </row>
    <row r="59" spans="2:9" ht="15.75">
      <c r="B59" s="215">
        <f>+B47-AdS!B108-AdS!B109-AdS!B110-AdS!B111</f>
        <v>1.4551915228366852E-11</v>
      </c>
      <c r="C59" s="215">
        <f>+C47-AdS!C108-AdS!C109-AdS!C110-AdS!C111</f>
        <v>-7.275957614183426E-12</v>
      </c>
      <c r="D59" s="215">
        <f>+D47-AdS!D108-AdS!D109-AdS!D110-AdS!D111</f>
        <v>1.8189894035458565E-12</v>
      </c>
      <c r="E59" s="215">
        <f>+E47-AdS!E108-AdS!E109-AdS!E110-AdS!E111</f>
        <v>0</v>
      </c>
      <c r="F59" s="215">
        <f>+F47-AdS!F108-AdS!F109-AdS!F110-AdS!F111</f>
        <v>0</v>
      </c>
      <c r="G59" s="215">
        <f>+G47-AdS!G108-AdS!G109-AdS!G110-AdS!G111</f>
        <v>-9.094947017729282E-13</v>
      </c>
      <c r="H59" s="215">
        <f>+H47-AdS!H108-AdS!H109-AdS!H110-AdS!H111</f>
        <v>1.4551915228366852E-11</v>
      </c>
      <c r="I59" s="215">
        <f>+I47-AdS!I108-AdS!I109-AdS!I110-AdS!I111</f>
        <v>6.366462912410498E-12</v>
      </c>
    </row>
    <row r="60" spans="2:9" ht="15">
      <c r="B60" s="293"/>
      <c r="C60" s="293"/>
      <c r="D60" s="293"/>
      <c r="E60" s="293"/>
      <c r="F60" s="293"/>
      <c r="G60" s="293"/>
      <c r="H60" s="293"/>
      <c r="I60" s="293"/>
    </row>
    <row r="61" spans="2:9" ht="15">
      <c r="B61" s="293"/>
      <c r="C61" s="293"/>
      <c r="D61" s="293"/>
      <c r="E61" s="293"/>
      <c r="F61" s="293"/>
      <c r="G61" s="293"/>
      <c r="H61" s="293"/>
      <c r="I61" s="293"/>
    </row>
    <row r="62" spans="2:9" ht="15">
      <c r="B62" s="293"/>
      <c r="C62" s="293"/>
      <c r="D62" s="293"/>
      <c r="E62" s="293"/>
      <c r="F62" s="293"/>
      <c r="G62" s="293"/>
      <c r="H62" s="293"/>
      <c r="I62" s="293"/>
    </row>
    <row r="63" spans="2:9" ht="15">
      <c r="B63" s="293"/>
      <c r="C63" s="293"/>
      <c r="D63" s="293"/>
      <c r="E63" s="293"/>
      <c r="F63" s="293"/>
      <c r="G63" s="293"/>
      <c r="H63" s="293"/>
      <c r="I63" s="293"/>
    </row>
    <row r="64" spans="2:9" ht="15">
      <c r="B64" s="293"/>
      <c r="C64" s="293"/>
      <c r="D64" s="293"/>
      <c r="E64" s="293"/>
      <c r="F64" s="293"/>
      <c r="G64" s="293"/>
      <c r="H64" s="293"/>
      <c r="I64" s="293"/>
    </row>
    <row r="65" spans="2:9" ht="15">
      <c r="B65" s="293"/>
      <c r="C65" s="293"/>
      <c r="D65" s="293"/>
      <c r="E65" s="293"/>
      <c r="F65" s="293"/>
      <c r="G65" s="293"/>
      <c r="H65" s="293"/>
      <c r="I65" s="293"/>
    </row>
    <row r="1001" ht="15">
      <c r="A1001" s="205" t="s">
        <v>391</v>
      </c>
    </row>
  </sheetData>
  <sheetProtection/>
  <mergeCells count="5">
    <mergeCell ref="B3:I3"/>
    <mergeCell ref="B12:I12"/>
    <mergeCell ref="B21:I21"/>
    <mergeCell ref="B30:I30"/>
    <mergeCell ref="B40:I40"/>
  </mergeCells>
  <conditionalFormatting sqref="B10:I10">
    <cfRule type="cellIs" priority="9" dxfId="132" operator="notBetween">
      <formula>0.5</formula>
      <formula>-0.5</formula>
    </cfRule>
  </conditionalFormatting>
  <conditionalFormatting sqref="B19:I19">
    <cfRule type="cellIs" priority="8" dxfId="132" operator="notBetween">
      <formula>0.5</formula>
      <formula>-0.5</formula>
    </cfRule>
  </conditionalFormatting>
  <conditionalFormatting sqref="B28:I28">
    <cfRule type="cellIs" priority="7" dxfId="132" operator="notBetween">
      <formula>0.5</formula>
      <formula>-0.5</formula>
    </cfRule>
  </conditionalFormatting>
  <conditionalFormatting sqref="B48:I48">
    <cfRule type="cellIs" priority="6" dxfId="132" operator="notBetween">
      <formula>0.5</formula>
      <formula>-0.5</formula>
    </cfRule>
  </conditionalFormatting>
  <conditionalFormatting sqref="B11">
    <cfRule type="cellIs" priority="5" dxfId="132" operator="notBetween">
      <formula>0.5</formula>
      <formula>-0.5</formula>
    </cfRule>
  </conditionalFormatting>
  <conditionalFormatting sqref="C11:I11">
    <cfRule type="cellIs" priority="4" dxfId="132" operator="notBetween">
      <formula>0.5</formula>
      <formula>-0.5</formula>
    </cfRule>
  </conditionalFormatting>
  <conditionalFormatting sqref="B20:I20">
    <cfRule type="cellIs" priority="3" dxfId="132" operator="notBetween">
      <formula>0.5</formula>
      <formula>-0.5</formula>
    </cfRule>
  </conditionalFormatting>
  <conditionalFormatting sqref="B29:I29">
    <cfRule type="cellIs" priority="2" dxfId="132" operator="notBetween">
      <formula>0.5</formula>
      <formula>-0.5</formula>
    </cfRule>
  </conditionalFormatting>
  <conditionalFormatting sqref="B55:I59">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dimension ref="A1:I997"/>
  <sheetViews>
    <sheetView showGridLines="0" zoomScalePageLayoutView="0" workbookViewId="0" topLeftCell="A1">
      <selection activeCell="A1" sqref="A1"/>
    </sheetView>
  </sheetViews>
  <sheetFormatPr defaultColWidth="11.421875" defaultRowHeight="15"/>
  <cols>
    <col min="1" max="1" width="33.7109375" style="0" customWidth="1"/>
  </cols>
  <sheetData>
    <row r="1" spans="1:9" ht="18">
      <c r="A1" s="252" t="str">
        <f>HLOOKUP(INDICE!$F$2,Nombres!$C$3:$D$636,242,FALSE)</f>
        <v>Carteras Coap</v>
      </c>
      <c r="B1" s="203"/>
      <c r="C1" s="203"/>
      <c r="D1" s="203"/>
      <c r="E1" s="203"/>
      <c r="F1" s="203"/>
      <c r="G1" s="203"/>
      <c r="H1" s="203"/>
      <c r="I1" s="203"/>
    </row>
    <row r="2" spans="1:9" ht="15.75">
      <c r="A2" s="83" t="str">
        <f>HLOOKUP(INDICE!$F$2,Nombres!$C$3:$D$636,32,FALSE)</f>
        <v>(Millones de euros)</v>
      </c>
      <c r="B2" s="206"/>
      <c r="C2" s="206"/>
      <c r="D2" s="206"/>
      <c r="E2" s="206"/>
      <c r="F2" s="206"/>
      <c r="G2" s="205"/>
      <c r="H2" s="205"/>
      <c r="I2" s="205"/>
    </row>
    <row r="3" spans="1:9" ht="15.75">
      <c r="A3" s="208"/>
      <c r="B3" s="206"/>
      <c r="C3" s="206"/>
      <c r="D3" s="206"/>
      <c r="E3" s="206"/>
      <c r="F3" s="206"/>
      <c r="G3" s="205"/>
      <c r="H3" s="205"/>
      <c r="I3" s="205"/>
    </row>
    <row r="4" spans="1:9" ht="15.75" customHeight="1">
      <c r="A4" s="209"/>
      <c r="B4" s="309" t="str">
        <f>HLOOKUP(INDICE!$F$2,Nombres!$C$3:$D$636,239,FALSE)</f>
        <v>Total Cartera COAP</v>
      </c>
      <c r="C4" s="308"/>
      <c r="D4" s="308"/>
      <c r="E4" s="308"/>
      <c r="F4" s="308"/>
      <c r="G4" s="308"/>
      <c r="H4" s="308"/>
      <c r="I4" s="308"/>
    </row>
    <row r="5" spans="1:9" ht="15.75">
      <c r="A5" s="210"/>
      <c r="B5" s="118">
        <f>+España!B32</f>
        <v>44651</v>
      </c>
      <c r="C5" s="118">
        <f>+España!C32</f>
        <v>44742</v>
      </c>
      <c r="D5" s="118">
        <f>+España!D32</f>
        <v>44834</v>
      </c>
      <c r="E5" s="118">
        <f>+España!E32</f>
        <v>44926</v>
      </c>
      <c r="F5" s="118">
        <f>+España!F32</f>
        <v>45016</v>
      </c>
      <c r="G5" s="118">
        <f>+España!G32</f>
        <v>45107</v>
      </c>
      <c r="H5" s="118">
        <f>+España!H32</f>
        <v>45199</v>
      </c>
      <c r="I5" s="118">
        <f>+España!I32</f>
        <v>45291</v>
      </c>
    </row>
    <row r="6" spans="1:9" ht="15">
      <c r="A6" s="253" t="str">
        <f>HLOOKUP(INDICE!$F$2,Nombres!$C$3:$D$636,230,FALSE)</f>
        <v>Grupo BBVA</v>
      </c>
      <c r="B6" s="214">
        <v>51977</v>
      </c>
      <c r="C6" s="214">
        <v>54356</v>
      </c>
      <c r="D6" s="214">
        <v>57778</v>
      </c>
      <c r="E6" s="214">
        <v>57887</v>
      </c>
      <c r="F6" s="214">
        <v>63661</v>
      </c>
      <c r="G6" s="214">
        <v>67469</v>
      </c>
      <c r="H6" s="214">
        <v>70563.6</v>
      </c>
      <c r="I6" s="214">
        <v>70092</v>
      </c>
    </row>
    <row r="7" spans="1:9" ht="15">
      <c r="A7" s="254" t="str">
        <f>HLOOKUP(INDICE!$F$2,Nombres!$C$3:$D$636,231,FALSE)</f>
        <v>Balance Euro</v>
      </c>
      <c r="B7" s="212">
        <v>28795</v>
      </c>
      <c r="C7" s="212">
        <v>29645</v>
      </c>
      <c r="D7" s="212">
        <v>29984</v>
      </c>
      <c r="E7" s="212">
        <v>30220</v>
      </c>
      <c r="F7" s="212">
        <v>32852</v>
      </c>
      <c r="G7" s="212">
        <v>35494</v>
      </c>
      <c r="H7" s="212">
        <v>37958</v>
      </c>
      <c r="I7" s="212">
        <v>38720</v>
      </c>
    </row>
    <row r="8" spans="1:9" ht="15">
      <c r="A8" s="255" t="str">
        <f>HLOOKUP(INDICE!$F$2,Nombres!$C$3:$D$636,232,FALSE)</f>
        <v>España</v>
      </c>
      <c r="B8" s="212">
        <v>16867</v>
      </c>
      <c r="C8" s="212">
        <v>17694</v>
      </c>
      <c r="D8" s="212">
        <v>18161</v>
      </c>
      <c r="E8" s="212">
        <v>18607</v>
      </c>
      <c r="F8" s="212">
        <v>20119</v>
      </c>
      <c r="G8" s="212">
        <v>22482</v>
      </c>
      <c r="H8" s="212">
        <v>24953</v>
      </c>
      <c r="I8" s="212">
        <v>25941</v>
      </c>
    </row>
    <row r="9" spans="1:9" ht="15">
      <c r="A9" s="255" t="str">
        <f>HLOOKUP(INDICE!$F$2,Nombres!$C$3:$D$636,233,FALSE)</f>
        <v>Italia</v>
      </c>
      <c r="B9" s="212">
        <v>8254</v>
      </c>
      <c r="C9" s="212">
        <v>8242</v>
      </c>
      <c r="D9" s="212">
        <v>7722</v>
      </c>
      <c r="E9" s="212">
        <v>7399</v>
      </c>
      <c r="F9" s="212">
        <v>7386</v>
      </c>
      <c r="G9" s="212">
        <v>7375</v>
      </c>
      <c r="H9" s="212">
        <v>7365</v>
      </c>
      <c r="I9" s="212">
        <v>7352</v>
      </c>
    </row>
    <row r="10" spans="1:9" ht="15">
      <c r="A10" s="256" t="str">
        <f>HLOOKUP(INDICE!$F$2,Nombres!$C$3:$D$636,234,FALSE)</f>
        <v>Resto</v>
      </c>
      <c r="B10" s="257">
        <v>3674</v>
      </c>
      <c r="C10" s="257">
        <v>3709</v>
      </c>
      <c r="D10" s="257">
        <v>4100</v>
      </c>
      <c r="E10" s="257">
        <v>4214</v>
      </c>
      <c r="F10" s="257">
        <v>5347</v>
      </c>
      <c r="G10" s="257">
        <v>5637</v>
      </c>
      <c r="H10" s="257">
        <v>5640</v>
      </c>
      <c r="I10" s="257">
        <v>5427</v>
      </c>
    </row>
    <row r="11" spans="1:9" ht="15">
      <c r="A11" s="254" t="str">
        <f>HLOOKUP(INDICE!$F$2,Nombres!$C$3:$D$636,236,FALSE)</f>
        <v>Turquia</v>
      </c>
      <c r="B11" s="212">
        <v>6704</v>
      </c>
      <c r="C11" s="212">
        <v>7310</v>
      </c>
      <c r="D11" s="212">
        <v>8434</v>
      </c>
      <c r="E11" s="212">
        <v>8476</v>
      </c>
      <c r="F11" s="257">
        <v>10176</v>
      </c>
      <c r="G11" s="212">
        <v>8070</v>
      </c>
      <c r="H11" s="257">
        <v>8428</v>
      </c>
      <c r="I11" s="212">
        <v>8491</v>
      </c>
    </row>
    <row r="12" spans="1:9" ht="15">
      <c r="A12" s="254" t="str">
        <f>HLOOKUP(INDICE!$F$2,Nombres!$C$3:$D$636,237,FALSE)</f>
        <v>Mexico</v>
      </c>
      <c r="B12" s="212">
        <v>10501</v>
      </c>
      <c r="C12" s="212">
        <v>10754</v>
      </c>
      <c r="D12" s="212">
        <v>12256</v>
      </c>
      <c r="E12" s="212">
        <v>12427</v>
      </c>
      <c r="F12" s="257">
        <v>14381</v>
      </c>
      <c r="G12" s="212">
        <v>17258</v>
      </c>
      <c r="H12" s="257">
        <v>17862.6</v>
      </c>
      <c r="I12" s="212">
        <v>18221</v>
      </c>
    </row>
    <row r="13" spans="1:9" ht="15">
      <c r="A13" s="254" t="str">
        <f>HLOOKUP(INDICE!$F$2,Nombres!$C$3:$D$636,238,FALSE)</f>
        <v>Amércia del Sur</v>
      </c>
      <c r="B13" s="212">
        <v>5977</v>
      </c>
      <c r="C13" s="212">
        <v>6647</v>
      </c>
      <c r="D13" s="212">
        <v>7104</v>
      </c>
      <c r="E13" s="212">
        <v>6764</v>
      </c>
      <c r="F13" s="257">
        <v>6252</v>
      </c>
      <c r="G13" s="212">
        <v>6647</v>
      </c>
      <c r="H13" s="257">
        <v>6315</v>
      </c>
      <c r="I13" s="212">
        <v>4660</v>
      </c>
    </row>
    <row r="14" spans="1:9" ht="15">
      <c r="A14" s="299"/>
      <c r="B14" s="258">
        <f aca="true" t="shared" si="0" ref="B14:I14">+B6-B8-B9-B10-B11-B12-B13</f>
        <v>0</v>
      </c>
      <c r="C14" s="258">
        <f t="shared" si="0"/>
        <v>0</v>
      </c>
      <c r="D14" s="258">
        <f t="shared" si="0"/>
        <v>1</v>
      </c>
      <c r="E14" s="258">
        <f t="shared" si="0"/>
        <v>0</v>
      </c>
      <c r="F14" s="258">
        <f t="shared" si="0"/>
        <v>0</v>
      </c>
      <c r="G14" s="258">
        <f t="shared" si="0"/>
        <v>0</v>
      </c>
      <c r="H14" s="258">
        <f t="shared" si="0"/>
        <v>7.275957614183426E-12</v>
      </c>
      <c r="I14" s="258">
        <f t="shared" si="0"/>
        <v>0</v>
      </c>
    </row>
    <row r="15" spans="1:9" ht="15">
      <c r="A15" s="299"/>
      <c r="B15" s="258"/>
      <c r="C15" s="258"/>
      <c r="D15" s="258"/>
      <c r="E15" s="258"/>
      <c r="F15" s="258"/>
      <c r="G15" s="258"/>
      <c r="H15" s="258"/>
      <c r="I15" s="258"/>
    </row>
    <row r="16" spans="1:9" ht="15">
      <c r="A16" s="299"/>
      <c r="B16" s="258"/>
      <c r="C16" s="258"/>
      <c r="D16" s="258"/>
      <c r="E16" s="258"/>
      <c r="F16" s="258"/>
      <c r="G16" s="258"/>
      <c r="H16" s="258"/>
      <c r="I16" s="258"/>
    </row>
    <row r="17" spans="1:9" ht="15.75" customHeight="1">
      <c r="A17" s="209"/>
      <c r="B17" s="309" t="str">
        <f>HLOOKUP(INDICE!$F$2,Nombres!$C$3:$D$636,240,FALSE)</f>
        <v>Cartera COAP a Coste Amortizado</v>
      </c>
      <c r="C17" s="308"/>
      <c r="D17" s="308"/>
      <c r="E17" s="308"/>
      <c r="F17" s="308"/>
      <c r="G17" s="308"/>
      <c r="H17" s="308"/>
      <c r="I17" s="308"/>
    </row>
    <row r="18" spans="1:9" ht="15.75" customHeight="1">
      <c r="A18" s="210"/>
      <c r="B18" s="118">
        <f aca="true" t="shared" si="1" ref="B18:I18">+B$5</f>
        <v>44651</v>
      </c>
      <c r="C18" s="118">
        <f t="shared" si="1"/>
        <v>44742</v>
      </c>
      <c r="D18" s="118">
        <f t="shared" si="1"/>
        <v>44834</v>
      </c>
      <c r="E18" s="118">
        <f t="shared" si="1"/>
        <v>44926</v>
      </c>
      <c r="F18" s="118">
        <f t="shared" si="1"/>
        <v>45016</v>
      </c>
      <c r="G18" s="118">
        <f t="shared" si="1"/>
        <v>45107</v>
      </c>
      <c r="H18" s="118">
        <f t="shared" si="1"/>
        <v>45199</v>
      </c>
      <c r="I18" s="118">
        <f t="shared" si="1"/>
        <v>45291</v>
      </c>
    </row>
    <row r="19" spans="1:9" ht="15">
      <c r="A19" s="253" t="str">
        <f>HLOOKUP(INDICE!$F$2,Nombres!$C$3:$D$636,230,FALSE)</f>
        <v>Grupo BBVA</v>
      </c>
      <c r="B19" s="214">
        <v>20629.094219</v>
      </c>
      <c r="C19" s="214">
        <v>22021</v>
      </c>
      <c r="D19" s="214">
        <v>24903</v>
      </c>
      <c r="E19" s="214">
        <v>26781</v>
      </c>
      <c r="F19" s="214">
        <v>33011</v>
      </c>
      <c r="G19" s="214">
        <v>34894</v>
      </c>
      <c r="H19" s="214">
        <v>37641</v>
      </c>
      <c r="I19" s="214">
        <v>39149</v>
      </c>
    </row>
    <row r="20" spans="1:9" ht="15">
      <c r="A20" s="254" t="str">
        <f>HLOOKUP(INDICE!$F$2,Nombres!$C$3:$D$636,231,FALSE)</f>
        <v>Balance Euro</v>
      </c>
      <c r="B20" s="212">
        <v>14488.094219</v>
      </c>
      <c r="C20" s="212">
        <v>14959</v>
      </c>
      <c r="D20" s="212">
        <v>15735</v>
      </c>
      <c r="E20" s="212">
        <v>16836</v>
      </c>
      <c r="F20" s="212">
        <v>19542</v>
      </c>
      <c r="G20" s="212">
        <v>21872</v>
      </c>
      <c r="H20" s="212">
        <v>24134</v>
      </c>
      <c r="I20" s="212">
        <v>26039</v>
      </c>
    </row>
    <row r="21" spans="1:9" ht="15">
      <c r="A21" s="255" t="str">
        <f>HLOOKUP(INDICE!$F$2,Nombres!$C$3:$D$636,232,FALSE)</f>
        <v>España</v>
      </c>
      <c r="B21" s="212">
        <v>11169.094219</v>
      </c>
      <c r="C21" s="212">
        <v>11645</v>
      </c>
      <c r="D21" s="212">
        <v>12163</v>
      </c>
      <c r="E21" s="212">
        <v>12617</v>
      </c>
      <c r="F21" s="212">
        <v>14127</v>
      </c>
      <c r="G21" s="212">
        <v>15799</v>
      </c>
      <c r="H21" s="212">
        <v>17987</v>
      </c>
      <c r="I21" s="212">
        <v>19959</v>
      </c>
    </row>
    <row r="22" spans="1:9" ht="15">
      <c r="A22" s="255" t="str">
        <f>HLOOKUP(INDICE!$F$2,Nombres!$C$3:$D$636,233,FALSE)</f>
        <v>Italia</v>
      </c>
      <c r="B22" s="212">
        <v>3245</v>
      </c>
      <c r="C22" s="212">
        <v>3240</v>
      </c>
      <c r="D22" s="212">
        <v>3236</v>
      </c>
      <c r="E22" s="212">
        <v>3233</v>
      </c>
      <c r="F22" s="212">
        <v>3228</v>
      </c>
      <c r="G22" s="212">
        <v>3224</v>
      </c>
      <c r="H22" s="212">
        <v>3220</v>
      </c>
      <c r="I22" s="212">
        <v>3215</v>
      </c>
    </row>
    <row r="23" spans="1:9" ht="15">
      <c r="A23" s="256" t="str">
        <f>HLOOKUP(INDICE!$F$2,Nombres!$C$3:$D$636,234,FALSE)</f>
        <v>Resto</v>
      </c>
      <c r="B23" s="212">
        <v>74</v>
      </c>
      <c r="C23" s="212">
        <v>74</v>
      </c>
      <c r="D23" s="212">
        <v>336</v>
      </c>
      <c r="E23" s="212">
        <v>986</v>
      </c>
      <c r="F23" s="212">
        <v>2187</v>
      </c>
      <c r="G23" s="212">
        <v>2849</v>
      </c>
      <c r="H23" s="212">
        <v>2927</v>
      </c>
      <c r="I23" s="212">
        <v>2865</v>
      </c>
    </row>
    <row r="24" spans="1:9" ht="15">
      <c r="A24" s="254" t="str">
        <f>HLOOKUP(INDICE!$F$2,Nombres!$C$3:$D$636,236,FALSE)</f>
        <v>Turquia</v>
      </c>
      <c r="B24" s="212">
        <v>3641</v>
      </c>
      <c r="C24" s="212">
        <v>4129</v>
      </c>
      <c r="D24" s="212">
        <v>5213</v>
      </c>
      <c r="E24" s="212">
        <v>5281</v>
      </c>
      <c r="F24" s="212">
        <v>7019</v>
      </c>
      <c r="G24" s="212">
        <v>5655</v>
      </c>
      <c r="H24" s="212">
        <v>6226</v>
      </c>
      <c r="I24" s="212">
        <v>6219</v>
      </c>
    </row>
    <row r="25" spans="1:9" ht="15">
      <c r="A25" s="254" t="str">
        <f>HLOOKUP(INDICE!$F$2,Nombres!$C$3:$D$636,237,FALSE)</f>
        <v>Mexico</v>
      </c>
      <c r="B25" s="212">
        <v>2294</v>
      </c>
      <c r="C25" s="212">
        <v>2693</v>
      </c>
      <c r="D25" s="212">
        <v>3705</v>
      </c>
      <c r="E25" s="212">
        <v>4492</v>
      </c>
      <c r="F25" s="212">
        <v>6230</v>
      </c>
      <c r="G25" s="212">
        <v>7092</v>
      </c>
      <c r="H25" s="212">
        <v>7047</v>
      </c>
      <c r="I25" s="212">
        <v>6743</v>
      </c>
    </row>
    <row r="26" spans="1:9" ht="15">
      <c r="A26" s="254" t="str">
        <f>HLOOKUP(INDICE!$F$2,Nombres!$C$3:$D$636,238,FALSE)</f>
        <v>Amércia del Sur</v>
      </c>
      <c r="B26" s="212">
        <v>206</v>
      </c>
      <c r="C26" s="212">
        <v>240</v>
      </c>
      <c r="D26" s="212">
        <v>250</v>
      </c>
      <c r="E26" s="212">
        <v>172</v>
      </c>
      <c r="F26" s="212">
        <v>220</v>
      </c>
      <c r="G26" s="212">
        <v>275</v>
      </c>
      <c r="H26" s="212">
        <v>234</v>
      </c>
      <c r="I26" s="212">
        <v>148</v>
      </c>
    </row>
    <row r="27" spans="1:9" ht="15">
      <c r="A27" s="299"/>
      <c r="B27" s="258">
        <f aca="true" t="shared" si="2" ref="B27:I27">+B19-B21-B22-B23-B24-B25-B26</f>
        <v>-1.8189894035458565E-12</v>
      </c>
      <c r="C27" s="258">
        <f t="shared" si="2"/>
        <v>0</v>
      </c>
      <c r="D27" s="258">
        <f t="shared" si="2"/>
        <v>0</v>
      </c>
      <c r="E27" s="258">
        <f t="shared" si="2"/>
        <v>0</v>
      </c>
      <c r="F27" s="258">
        <f t="shared" si="2"/>
        <v>0</v>
      </c>
      <c r="G27" s="258">
        <f t="shared" si="2"/>
        <v>0</v>
      </c>
      <c r="H27" s="258">
        <f t="shared" si="2"/>
        <v>0</v>
      </c>
      <c r="I27" s="258">
        <f t="shared" si="2"/>
        <v>0</v>
      </c>
    </row>
    <row r="28" spans="1:9" ht="15.75">
      <c r="A28" s="299"/>
      <c r="B28" s="205"/>
      <c r="C28" s="205"/>
      <c r="D28" s="205"/>
      <c r="E28" s="205"/>
      <c r="F28" s="217"/>
      <c r="G28" s="217"/>
      <c r="H28" s="217"/>
      <c r="I28" s="217"/>
    </row>
    <row r="29" spans="1:9" ht="15.75">
      <c r="A29" s="206"/>
      <c r="B29" s="217"/>
      <c r="C29" s="217"/>
      <c r="D29" s="217"/>
      <c r="E29" s="217"/>
      <c r="F29" s="217"/>
      <c r="G29" s="205"/>
      <c r="H29" s="205"/>
      <c r="I29" s="205"/>
    </row>
    <row r="30" spans="1:9" ht="15.75" customHeight="1">
      <c r="A30" s="209"/>
      <c r="B30" s="309" t="str">
        <f>HLOOKUP(INDICE!$F$2,Nombres!$C$3:$D$636,241,FALSE)</f>
        <v>Cartera COAP a Valor Razonable</v>
      </c>
      <c r="C30" s="308"/>
      <c r="D30" s="308"/>
      <c r="E30" s="308"/>
      <c r="F30" s="308"/>
      <c r="G30" s="308"/>
      <c r="H30" s="308"/>
      <c r="I30" s="308"/>
    </row>
    <row r="31" spans="1:9" ht="15.75">
      <c r="A31" s="210"/>
      <c r="B31" s="118">
        <f aca="true" t="shared" si="3" ref="B31:I31">+B$5</f>
        <v>44651</v>
      </c>
      <c r="C31" s="118">
        <f t="shared" si="3"/>
        <v>44742</v>
      </c>
      <c r="D31" s="118">
        <f t="shared" si="3"/>
        <v>44834</v>
      </c>
      <c r="E31" s="118">
        <f t="shared" si="3"/>
        <v>44926</v>
      </c>
      <c r="F31" s="118">
        <f t="shared" si="3"/>
        <v>45016</v>
      </c>
      <c r="G31" s="118">
        <f t="shared" si="3"/>
        <v>45107</v>
      </c>
      <c r="H31" s="118">
        <f t="shared" si="3"/>
        <v>45199</v>
      </c>
      <c r="I31" s="118">
        <f t="shared" si="3"/>
        <v>45291</v>
      </c>
    </row>
    <row r="32" spans="1:9" ht="15.75" customHeight="1">
      <c r="A32" s="253" t="str">
        <f>HLOOKUP(INDICE!$F$2,Nombres!$C$3:$D$636,230,FALSE)</f>
        <v>Grupo BBVA</v>
      </c>
      <c r="B32" s="214">
        <v>31347.905781</v>
      </c>
      <c r="C32" s="214">
        <v>32335</v>
      </c>
      <c r="D32" s="214">
        <v>32874</v>
      </c>
      <c r="E32" s="214">
        <v>31106</v>
      </c>
      <c r="F32" s="214">
        <v>30650</v>
      </c>
      <c r="G32" s="214">
        <v>32575</v>
      </c>
      <c r="H32" s="214">
        <v>32922.6</v>
      </c>
      <c r="I32" s="214">
        <v>30943</v>
      </c>
    </row>
    <row r="33" spans="1:9" ht="15">
      <c r="A33" s="211" t="str">
        <f>HLOOKUP(INDICE!$F$2,Nombres!$C$3:$D$636,231,FALSE)</f>
        <v>Balance Euro</v>
      </c>
      <c r="B33" s="212">
        <v>14306.905781000001</v>
      </c>
      <c r="C33" s="212">
        <v>14686</v>
      </c>
      <c r="D33" s="212">
        <v>14248</v>
      </c>
      <c r="E33" s="212">
        <v>13384</v>
      </c>
      <c r="F33" s="212">
        <v>13310</v>
      </c>
      <c r="G33" s="212">
        <v>13622</v>
      </c>
      <c r="H33" s="212">
        <v>13824</v>
      </c>
      <c r="I33" s="212">
        <v>12681</v>
      </c>
    </row>
    <row r="34" spans="1:9" ht="15">
      <c r="A34" s="256" t="str">
        <f>HLOOKUP(INDICE!$F$2,Nombres!$C$3:$D$636,232,FALSE)</f>
        <v>España</v>
      </c>
      <c r="B34" s="212">
        <v>5697.905781</v>
      </c>
      <c r="C34" s="212">
        <v>6049</v>
      </c>
      <c r="D34" s="212">
        <v>5998</v>
      </c>
      <c r="E34" s="212">
        <v>5990</v>
      </c>
      <c r="F34" s="212">
        <v>5992</v>
      </c>
      <c r="G34" s="212">
        <v>6683</v>
      </c>
      <c r="H34" s="212">
        <v>6966</v>
      </c>
      <c r="I34" s="212">
        <v>5982</v>
      </c>
    </row>
    <row r="35" spans="1:9" ht="15">
      <c r="A35" s="256" t="str">
        <f>HLOOKUP(INDICE!$F$2,Nombres!$C$3:$D$636,233,FALSE)</f>
        <v>Italia</v>
      </c>
      <c r="B35" s="212">
        <v>5009</v>
      </c>
      <c r="C35" s="212">
        <v>5002</v>
      </c>
      <c r="D35" s="212">
        <v>4486</v>
      </c>
      <c r="E35" s="212">
        <v>4166</v>
      </c>
      <c r="F35" s="212">
        <v>4158</v>
      </c>
      <c r="G35" s="212">
        <v>4151</v>
      </c>
      <c r="H35" s="212">
        <v>4145</v>
      </c>
      <c r="I35" s="212">
        <v>4137</v>
      </c>
    </row>
    <row r="36" spans="1:9" ht="15">
      <c r="A36" s="256" t="str">
        <f>HLOOKUP(INDICE!$F$2,Nombres!$C$3:$D$636,234,FALSE)</f>
        <v>Resto</v>
      </c>
      <c r="B36" s="212">
        <v>3600</v>
      </c>
      <c r="C36" s="212">
        <v>3635</v>
      </c>
      <c r="D36" s="212">
        <v>3764</v>
      </c>
      <c r="E36" s="212">
        <v>3228</v>
      </c>
      <c r="F36" s="212">
        <v>3160</v>
      </c>
      <c r="G36" s="212">
        <v>2788</v>
      </c>
      <c r="H36" s="212">
        <v>2713</v>
      </c>
      <c r="I36" s="212">
        <v>2562</v>
      </c>
    </row>
    <row r="37" spans="1:9" ht="15">
      <c r="A37" s="211" t="str">
        <f>HLOOKUP(INDICE!$F$2,Nombres!$C$3:$D$636,236,FALSE)</f>
        <v>Turquia</v>
      </c>
      <c r="B37" s="212">
        <v>3063</v>
      </c>
      <c r="C37" s="212">
        <v>3181</v>
      </c>
      <c r="D37" s="212">
        <v>3221</v>
      </c>
      <c r="E37" s="212">
        <v>3195</v>
      </c>
      <c r="F37" s="212">
        <v>3157</v>
      </c>
      <c r="G37" s="212">
        <v>2415</v>
      </c>
      <c r="H37" s="212">
        <v>2202</v>
      </c>
      <c r="I37" s="212">
        <v>2272</v>
      </c>
    </row>
    <row r="38" spans="1:9" ht="15">
      <c r="A38" s="211" t="str">
        <f>HLOOKUP(INDICE!$F$2,Nombres!$C$3:$D$636,237,FALSE)</f>
        <v>Mexico</v>
      </c>
      <c r="B38" s="212">
        <v>8207</v>
      </c>
      <c r="C38" s="212">
        <v>8061</v>
      </c>
      <c r="D38" s="212">
        <v>8551</v>
      </c>
      <c r="E38" s="212">
        <v>7935</v>
      </c>
      <c r="F38" s="212">
        <v>8151</v>
      </c>
      <c r="G38" s="212">
        <v>10166</v>
      </c>
      <c r="H38" s="212">
        <v>10815.6</v>
      </c>
      <c r="I38" s="212">
        <v>11478</v>
      </c>
    </row>
    <row r="39" spans="1:9" ht="15">
      <c r="A39" s="211" t="str">
        <f>HLOOKUP(INDICE!$F$2,Nombres!$C$3:$D$636,238,FALSE)</f>
        <v>Amércia del Sur</v>
      </c>
      <c r="B39" s="212">
        <v>5771</v>
      </c>
      <c r="C39" s="212">
        <v>6407</v>
      </c>
      <c r="D39" s="212">
        <v>6854</v>
      </c>
      <c r="E39" s="212">
        <v>6592</v>
      </c>
      <c r="F39" s="212">
        <v>6032</v>
      </c>
      <c r="G39" s="212">
        <v>6372</v>
      </c>
      <c r="H39" s="212">
        <v>6081</v>
      </c>
      <c r="I39" s="212">
        <v>4512</v>
      </c>
    </row>
    <row r="40" spans="2:9" ht="15">
      <c r="B40" s="258">
        <f aca="true" t="shared" si="4" ref="B40:I40">+B32-B34-B35-B36-B37-B38-B39</f>
        <v>0</v>
      </c>
      <c r="C40" s="258">
        <f t="shared" si="4"/>
        <v>0</v>
      </c>
      <c r="D40" s="258">
        <f t="shared" si="4"/>
        <v>0</v>
      </c>
      <c r="E40" s="258">
        <f t="shared" si="4"/>
        <v>0</v>
      </c>
      <c r="F40" s="258">
        <f t="shared" si="4"/>
        <v>0</v>
      </c>
      <c r="G40" s="258">
        <f t="shared" si="4"/>
        <v>0</v>
      </c>
      <c r="H40" s="258">
        <f t="shared" si="4"/>
        <v>0</v>
      </c>
      <c r="I40" s="258">
        <f t="shared" si="4"/>
        <v>0</v>
      </c>
    </row>
    <row r="997" ht="15">
      <c r="A997" s="205" t="s">
        <v>391</v>
      </c>
    </row>
  </sheetData>
  <sheetProtection/>
  <mergeCells count="3">
    <mergeCell ref="B4:I4"/>
    <mergeCell ref="B17:I17"/>
    <mergeCell ref="B30:I30"/>
  </mergeCells>
  <conditionalFormatting sqref="B14:I16">
    <cfRule type="cellIs" priority="3" dxfId="132" operator="notBetween">
      <formula>1</formula>
      <formula>-1</formula>
    </cfRule>
  </conditionalFormatting>
  <conditionalFormatting sqref="B27:I27">
    <cfRule type="cellIs" priority="2" dxfId="132" operator="notBetween">
      <formula>1</formula>
      <formula>-1</formula>
    </cfRule>
  </conditionalFormatting>
  <conditionalFormatting sqref="B40:I40">
    <cfRule type="cellIs" priority="1" dxfId="132" operator="notBetween">
      <formula>1</formula>
      <formula>-1</formula>
    </cfRule>
  </conditionalFormatting>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P999"/>
  <sheetViews>
    <sheetView showGridLines="0" zoomScalePageLayoutView="0" workbookViewId="0" topLeftCell="A1">
      <selection activeCell="A1" sqref="A1"/>
    </sheetView>
  </sheetViews>
  <sheetFormatPr defaultColWidth="11.421875" defaultRowHeight="15"/>
  <cols>
    <col min="1" max="1" width="79.140625" style="31" customWidth="1"/>
    <col min="2" max="4" width="11.421875" style="31" customWidth="1"/>
    <col min="5" max="5" width="10.421875" style="31" customWidth="1"/>
    <col min="6" max="6" width="11.421875" style="31" customWidth="1"/>
    <col min="7" max="7" width="11.8515625" style="31" bestFit="1" customWidth="1"/>
    <col min="8" max="9" width="11.57421875" style="31" bestFit="1" customWidth="1"/>
    <col min="10" max="16384" width="11.421875" style="31" customWidth="1"/>
  </cols>
  <sheetData>
    <row r="1" spans="1:9" ht="18">
      <c r="A1" s="29" t="str">
        <f>HLOOKUP(INDICE!$F$2,Nombres!$C$3:$D$636,91,FALSE)</f>
        <v>Grupo BBVA. Cuentas de resultados consolidadas</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1">
        <f>+España!B6</f>
        <v>2022</v>
      </c>
      <c r="C6" s="301"/>
      <c r="D6" s="301"/>
      <c r="E6" s="302"/>
      <c r="F6" s="303">
        <f>+España!F6</f>
        <v>2023</v>
      </c>
      <c r="G6" s="301"/>
      <c r="H6" s="301"/>
      <c r="I6" s="301"/>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3942.77399988</v>
      </c>
      <c r="C8" s="41">
        <v>4594.90599999</v>
      </c>
      <c r="D8" s="41">
        <v>5252.03599999</v>
      </c>
      <c r="E8" s="42">
        <v>5333.887003310001</v>
      </c>
      <c r="F8" s="41">
        <v>5641.95400006</v>
      </c>
      <c r="G8" s="50">
        <v>5767.66199994</v>
      </c>
      <c r="H8" s="50">
        <v>6433.71900002</v>
      </c>
      <c r="I8" s="50">
        <v>5245.820000009997</v>
      </c>
    </row>
    <row r="9" spans="1:9" ht="15">
      <c r="A9" s="43" t="str">
        <f>HLOOKUP(INDICE!$F$2,Nombres!$C$3:$D$636,34,FALSE)</f>
        <v>Comisiones netas</v>
      </c>
      <c r="B9" s="44">
        <v>1246.52199995</v>
      </c>
      <c r="C9" s="44">
        <v>1412.56500005</v>
      </c>
      <c r="D9" s="44">
        <v>1384.8320001000002</v>
      </c>
      <c r="E9" s="45">
        <v>1328.3990002699998</v>
      </c>
      <c r="F9" s="44">
        <v>1439.0629999400003</v>
      </c>
      <c r="G9" s="44">
        <v>1469.83800001</v>
      </c>
      <c r="H9" s="44">
        <v>1684.70300004</v>
      </c>
      <c r="I9" s="44">
        <v>1694.2510000099999</v>
      </c>
    </row>
    <row r="10" spans="1:9" ht="15">
      <c r="A10" s="43" t="str">
        <f>HLOOKUP(INDICE!$F$2,Nombres!$C$3:$D$636,35,FALSE)</f>
        <v>Resultados de operaciones financieras</v>
      </c>
      <c r="B10" s="44">
        <v>579.61799999</v>
      </c>
      <c r="C10" s="44">
        <v>515.9979999999999</v>
      </c>
      <c r="D10" s="44">
        <v>573.3480000100001</v>
      </c>
      <c r="E10" s="45">
        <v>269.0639999999999</v>
      </c>
      <c r="F10" s="44">
        <v>438.14999994999994</v>
      </c>
      <c r="G10" s="44">
        <v>334.49600008999994</v>
      </c>
      <c r="H10" s="44">
        <v>657.6079999499999</v>
      </c>
      <c r="I10" s="44">
        <v>752.6330000200002</v>
      </c>
    </row>
    <row r="11" spans="1:9" ht="15">
      <c r="A11" s="43" t="str">
        <f>HLOOKUP(INDICE!$F$2,Nombres!$C$3:$D$636,96,FALSE)</f>
        <v>Ingresos por dividendos</v>
      </c>
      <c r="B11" s="44">
        <v>3.799000000000042</v>
      </c>
      <c r="C11" s="44">
        <v>72.23799999999991</v>
      </c>
      <c r="D11" s="44">
        <v>2.9960000000000355</v>
      </c>
      <c r="E11" s="45">
        <v>44.181000000000054</v>
      </c>
      <c r="F11" s="44">
        <v>4.297999999999965</v>
      </c>
      <c r="G11" s="44">
        <v>68.85199999999995</v>
      </c>
      <c r="H11" s="44">
        <v>2.340000000000189</v>
      </c>
      <c r="I11" s="44">
        <v>42.60099999999976</v>
      </c>
    </row>
    <row r="12" spans="1:9" ht="15">
      <c r="A12" s="43" t="str">
        <f>HLOOKUP(INDICE!$F$2,Nombres!$C$3:$D$636,97,FALSE)</f>
        <v>Part. gananc/pdas inversiones en dependientes, neg conjunt y asoc</v>
      </c>
      <c r="B12" s="44">
        <v>4.848000000000002</v>
      </c>
      <c r="C12" s="44">
        <v>9.84</v>
      </c>
      <c r="D12" s="44">
        <v>0.7449999999999992</v>
      </c>
      <c r="E12" s="45">
        <v>5.187000000000004</v>
      </c>
      <c r="F12" s="44">
        <v>6.272000000000001</v>
      </c>
      <c r="G12" s="44">
        <v>8.11</v>
      </c>
      <c r="H12" s="44">
        <v>5.875999999999999</v>
      </c>
      <c r="I12" s="44">
        <v>5.984999999999999</v>
      </c>
    </row>
    <row r="13" spans="1:9" ht="15">
      <c r="A13" s="43" t="str">
        <f>HLOOKUP(INDICE!$F$2,Nombres!$C$3:$D$636,98,FALSE)</f>
        <v>Otros productos/cargas de explotación</v>
      </c>
      <c r="B13" s="44">
        <v>-382.85799999</v>
      </c>
      <c r="C13" s="44">
        <v>-583.5210000100001</v>
      </c>
      <c r="D13" s="44">
        <v>-375.8990000100003</v>
      </c>
      <c r="E13" s="45">
        <v>-492.18910697999985</v>
      </c>
      <c r="F13" s="44">
        <v>-571.6110000100001</v>
      </c>
      <c r="G13" s="44">
        <v>-459.50499999000033</v>
      </c>
      <c r="H13" s="44">
        <v>-827.8210000099998</v>
      </c>
      <c r="I13" s="44">
        <v>-303.7569999800007</v>
      </c>
    </row>
    <row r="14" spans="1:9" ht="15">
      <c r="A14" s="41" t="str">
        <f>HLOOKUP(INDICE!$F$2,Nombres!$C$3:$D$636,37,FALSE)</f>
        <v>Margen bruto</v>
      </c>
      <c r="B14" s="41">
        <f>+SUM(B8:B13)</f>
        <v>5394.702999829999</v>
      </c>
      <c r="C14" s="41">
        <f aca="true" t="shared" si="0" ref="C14:I14">+SUM(C8:C13)</f>
        <v>6022.02600003</v>
      </c>
      <c r="D14" s="41">
        <f t="shared" si="0"/>
        <v>6838.05800009</v>
      </c>
      <c r="E14" s="42">
        <f t="shared" si="0"/>
        <v>6488.528896600002</v>
      </c>
      <c r="F14" s="41">
        <f t="shared" si="0"/>
        <v>6958.12599994</v>
      </c>
      <c r="G14" s="50">
        <f t="shared" si="0"/>
        <v>7189.453000049999</v>
      </c>
      <c r="H14" s="50">
        <f t="shared" si="0"/>
        <v>7956.425</v>
      </c>
      <c r="I14" s="50">
        <f t="shared" si="0"/>
        <v>7437.533000059996</v>
      </c>
    </row>
    <row r="15" spans="1:9" ht="15">
      <c r="A15" s="43" t="str">
        <f>HLOOKUP(INDICE!$F$2,Nombres!$C$3:$D$636,38,FALSE)</f>
        <v>Gastos de explotación</v>
      </c>
      <c r="B15" s="44">
        <v>-2405.63799999</v>
      </c>
      <c r="C15" s="44">
        <v>-2617.93300003</v>
      </c>
      <c r="D15" s="44">
        <v>-2802.81699993</v>
      </c>
      <c r="E15" s="45">
        <v>-2874.9080013499997</v>
      </c>
      <c r="F15" s="44">
        <v>-3016.0949999500003</v>
      </c>
      <c r="G15" s="44">
        <v>-2922.13600018</v>
      </c>
      <c r="H15" s="44">
        <v>-3302.63699981</v>
      </c>
      <c r="I15" s="44">
        <v>-3067.53700013</v>
      </c>
    </row>
    <row r="16" spans="1:9" ht="15">
      <c r="A16" s="43" t="str">
        <f>HLOOKUP(INDICE!$F$2,Nombres!$C$3:$D$636,39,FALSE)</f>
        <v>  Gastos de administración</v>
      </c>
      <c r="B16" s="44">
        <v>-2093.08199997</v>
      </c>
      <c r="C16" s="44">
        <v>-2278.37300006</v>
      </c>
      <c r="D16" s="44">
        <v>-2464.56799995</v>
      </c>
      <c r="E16" s="45">
        <v>-2537.0410013299997</v>
      </c>
      <c r="F16" s="44">
        <v>-2677.5749999400005</v>
      </c>
      <c r="G16" s="44">
        <v>-2584.8830001599995</v>
      </c>
      <c r="H16" s="44">
        <v>-2924.62799981</v>
      </c>
      <c r="I16" s="44">
        <v>-2718.2460001399995</v>
      </c>
    </row>
    <row r="17" spans="1:9" ht="15">
      <c r="A17" s="46" t="str">
        <f>HLOOKUP(INDICE!$F$2,Nombres!$C$3:$D$636,40,FALSE)</f>
        <v>  Gastos de personal</v>
      </c>
      <c r="B17" s="44">
        <v>-1238.07800005</v>
      </c>
      <c r="C17" s="44">
        <v>-1343.65099998</v>
      </c>
      <c r="D17" s="44">
        <v>-1471.41300003</v>
      </c>
      <c r="E17" s="45">
        <v>-1547.40300019</v>
      </c>
      <c r="F17" s="44">
        <v>-1550.6919999399997</v>
      </c>
      <c r="G17" s="44">
        <v>-1530.4930000999998</v>
      </c>
      <c r="H17" s="44">
        <v>-1755.98599991</v>
      </c>
      <c r="I17" s="44">
        <v>-1693.1490001000002</v>
      </c>
    </row>
    <row r="18" spans="1:9" ht="15">
      <c r="A18" s="46" t="str">
        <f>HLOOKUP(INDICE!$F$2,Nombres!$C$3:$D$636,41,FALSE)</f>
        <v>  Otros gastos de administración</v>
      </c>
      <c r="B18" s="44">
        <v>-855.0039999200001</v>
      </c>
      <c r="C18" s="44">
        <v>-934.72200008</v>
      </c>
      <c r="D18" s="44">
        <v>-993.15499992</v>
      </c>
      <c r="E18" s="45">
        <v>-989.63800114</v>
      </c>
      <c r="F18" s="44">
        <v>-1126.8829999999998</v>
      </c>
      <c r="G18" s="44">
        <v>-1054.39000006</v>
      </c>
      <c r="H18" s="44">
        <v>-1168.6419999</v>
      </c>
      <c r="I18" s="44">
        <v>-1025.09700004</v>
      </c>
    </row>
    <row r="19" spans="1:9" ht="15">
      <c r="A19" s="43" t="str">
        <f>HLOOKUP(INDICE!$F$2,Nombres!$C$3:$D$636,42,FALSE)</f>
        <v>  Amortización</v>
      </c>
      <c r="B19" s="44">
        <v>-312.55600002</v>
      </c>
      <c r="C19" s="44">
        <v>-339.55999997000004</v>
      </c>
      <c r="D19" s="44">
        <v>-338.24899998</v>
      </c>
      <c r="E19" s="45">
        <v>-337.86700002</v>
      </c>
      <c r="F19" s="44">
        <v>-338.52000001</v>
      </c>
      <c r="G19" s="44">
        <v>-337.25300002</v>
      </c>
      <c r="H19" s="44">
        <v>-378.00899999999996</v>
      </c>
      <c r="I19" s="44">
        <v>-349.29099999000005</v>
      </c>
    </row>
    <row r="20" spans="1:9" ht="15">
      <c r="A20" s="41" t="str">
        <f>HLOOKUP(INDICE!$F$2,Nombres!$C$3:$D$636,43,FALSE)</f>
        <v>Margen neto</v>
      </c>
      <c r="B20" s="41">
        <f>+B14+B15</f>
        <v>2989.0649998399986</v>
      </c>
      <c r="C20" s="41">
        <f aca="true" t="shared" si="1" ref="C20:I20">+C14+C15</f>
        <v>3404.0930000000003</v>
      </c>
      <c r="D20" s="41">
        <f t="shared" si="1"/>
        <v>4035.24100016</v>
      </c>
      <c r="E20" s="42">
        <f t="shared" si="1"/>
        <v>3613.620895250002</v>
      </c>
      <c r="F20" s="41">
        <f t="shared" si="1"/>
        <v>3942.0309999899996</v>
      </c>
      <c r="G20" s="50">
        <f t="shared" si="1"/>
        <v>4267.31699987</v>
      </c>
      <c r="H20" s="50">
        <f t="shared" si="1"/>
        <v>4653.78800019</v>
      </c>
      <c r="I20" s="50">
        <f t="shared" si="1"/>
        <v>4369.995999929996</v>
      </c>
    </row>
    <row r="21" spans="1:9" ht="15">
      <c r="A21" s="43" t="str">
        <f>HLOOKUP(INDICE!$F$2,Nombres!$C$3:$D$636,44,FALSE)</f>
        <v>Deterioro de activos financieros no valorados a valor razonable con cambios en resultados</v>
      </c>
      <c r="B21" s="44">
        <v>-736.9199999499999</v>
      </c>
      <c r="C21" s="44">
        <v>-703.6320000599998</v>
      </c>
      <c r="D21" s="44">
        <v>-939.9120000199996</v>
      </c>
      <c r="E21" s="45">
        <v>-998.3589999800004</v>
      </c>
      <c r="F21" s="44">
        <v>-968.06099993</v>
      </c>
      <c r="G21" s="44">
        <v>-1024.6990000800001</v>
      </c>
      <c r="H21" s="44">
        <v>-1210.3029999999999</v>
      </c>
      <c r="I21" s="44">
        <v>-1225.2169999700002</v>
      </c>
    </row>
    <row r="22" spans="1:9" ht="15">
      <c r="A22" s="43" t="str">
        <f>HLOOKUP(INDICE!$F$2,Nombres!$C$3:$D$636,247,FALSE)</f>
        <v>Provisiones o reversión de provisiones</v>
      </c>
      <c r="B22" s="44">
        <v>-47.838999990000005</v>
      </c>
      <c r="C22" s="44">
        <v>-64.00399997999997</v>
      </c>
      <c r="D22" s="44">
        <v>-129.09100003</v>
      </c>
      <c r="E22" s="45">
        <v>-50.083999980000016</v>
      </c>
      <c r="F22" s="44">
        <v>-13.88299999</v>
      </c>
      <c r="G22" s="44">
        <v>-114.911</v>
      </c>
      <c r="H22" s="44">
        <v>-81.21600000000001</v>
      </c>
      <c r="I22" s="44">
        <v>-163.34000003000003</v>
      </c>
    </row>
    <row r="23" spans="1:9" ht="15">
      <c r="A23" s="43" t="str">
        <f>HLOOKUP(INDICE!$F$2,Nombres!$C$3:$D$636,248,FALSE)</f>
        <v>Otros resultados</v>
      </c>
      <c r="B23" s="44">
        <v>20.417</v>
      </c>
      <c r="C23" s="44">
        <v>-2.694046449999986</v>
      </c>
      <c r="D23" s="44">
        <v>18.904000000000096</v>
      </c>
      <c r="E23" s="45">
        <v>-6.484000000000108</v>
      </c>
      <c r="F23" s="44">
        <v>-15.885000000000003</v>
      </c>
      <c r="G23" s="44">
        <v>50.215</v>
      </c>
      <c r="H23" s="44">
        <v>2.282000000000002</v>
      </c>
      <c r="I23" s="44">
        <v>-49.376</v>
      </c>
    </row>
    <row r="24" spans="1:9" ht="15">
      <c r="A24" s="41" t="str">
        <f>HLOOKUP(INDICE!$F$2,Nombres!$C$3:$D$636,46,FALSE)</f>
        <v>Resultado antes de impuestos</v>
      </c>
      <c r="B24" s="50">
        <f aca="true" t="shared" si="2" ref="B24:I24">+B20+B21+B22+B23</f>
        <v>2224.7229998999987</v>
      </c>
      <c r="C24" s="50">
        <f t="shared" si="2"/>
        <v>2633.7629535100004</v>
      </c>
      <c r="D24" s="50">
        <f t="shared" si="2"/>
        <v>2985.1420001100005</v>
      </c>
      <c r="E24" s="42">
        <f t="shared" si="2"/>
        <v>2558.6938952900014</v>
      </c>
      <c r="F24" s="50">
        <f t="shared" si="2"/>
        <v>2944.2020000699995</v>
      </c>
      <c r="G24" s="50">
        <f t="shared" si="2"/>
        <v>3177.9219997899995</v>
      </c>
      <c r="H24" s="50">
        <f t="shared" si="2"/>
        <v>3364.5510001900007</v>
      </c>
      <c r="I24" s="50">
        <f t="shared" si="2"/>
        <v>2932.0629999299963</v>
      </c>
    </row>
    <row r="25" spans="1:9" ht="15">
      <c r="A25" s="43" t="str">
        <f>HLOOKUP(INDICE!$F$2,Nombres!$C$3:$D$636,47,FALSE)</f>
        <v>Impuesto sobre beneficios</v>
      </c>
      <c r="B25" s="44">
        <v>-903.3990000300001</v>
      </c>
      <c r="C25" s="44">
        <v>-679.6337835899999</v>
      </c>
      <c r="D25" s="44">
        <v>-1004.70999996</v>
      </c>
      <c r="E25" s="45">
        <v>-849.8679991799999</v>
      </c>
      <c r="F25" s="44">
        <v>-949.8000000099998</v>
      </c>
      <c r="G25" s="44">
        <v>-1028.2580000399998</v>
      </c>
      <c r="H25" s="44">
        <v>-1225.5919999099997</v>
      </c>
      <c r="I25" s="44">
        <v>-798.97100007</v>
      </c>
    </row>
    <row r="26" spans="1:9" ht="15">
      <c r="A26" s="41" t="str">
        <f>HLOOKUP(INDICE!$F$2,Nombres!$C$3:$D$636,48,FALSE)</f>
        <v>Resultado del ejercicio</v>
      </c>
      <c r="B26" s="50">
        <f aca="true" t="shared" si="3" ref="B26:I26">+B24+B25</f>
        <v>1321.3239998699987</v>
      </c>
      <c r="C26" s="50">
        <f t="shared" si="3"/>
        <v>1954.1291699200005</v>
      </c>
      <c r="D26" s="50">
        <f t="shared" si="3"/>
        <v>1980.4320001500005</v>
      </c>
      <c r="E26" s="42">
        <f t="shared" si="3"/>
        <v>1708.8258961100014</v>
      </c>
      <c r="F26" s="50">
        <f t="shared" si="3"/>
        <v>1994.4020000599996</v>
      </c>
      <c r="G26" s="50">
        <f t="shared" si="3"/>
        <v>2149.6639997499997</v>
      </c>
      <c r="H26" s="50">
        <f t="shared" si="3"/>
        <v>2138.959000280001</v>
      </c>
      <c r="I26" s="50">
        <f t="shared" si="3"/>
        <v>2133.0919998599966</v>
      </c>
    </row>
    <row r="27" spans="1:9" ht="15">
      <c r="A27" s="43" t="str">
        <f>HLOOKUP(INDICE!$F$2,Nombres!$C$3:$D$636,49,FALSE)</f>
        <v>Minoritarios</v>
      </c>
      <c r="B27" s="44">
        <v>3.4049999899999825</v>
      </c>
      <c r="C27" s="44">
        <v>-120.03699996999994</v>
      </c>
      <c r="D27" s="44">
        <v>-142.62600002000005</v>
      </c>
      <c r="E27" s="45">
        <v>-146.12899994</v>
      </c>
      <c r="F27" s="44">
        <v>-148.11300001</v>
      </c>
      <c r="G27" s="44">
        <v>-117.99200000999997</v>
      </c>
      <c r="H27" s="44">
        <v>-55.70599997999999</v>
      </c>
      <c r="I27" s="44">
        <v>-75.23000000000005</v>
      </c>
    </row>
    <row r="28" spans="1:9" ht="15">
      <c r="A28" s="47" t="str">
        <f>HLOOKUP(INDICE!$F$2,Nombres!$C$3:$D$636,305,FALSE)</f>
        <v>Resultado atribuido excluyendo impactos no recurrentes</v>
      </c>
      <c r="B28" s="47">
        <f>+B26+B27</f>
        <v>1324.7289998599988</v>
      </c>
      <c r="C28" s="47">
        <f aca="true" t="shared" si="4" ref="C28:I28">+C26+C27</f>
        <v>1834.0921699500007</v>
      </c>
      <c r="D28" s="47">
        <f t="shared" si="4"/>
        <v>1837.8060001300005</v>
      </c>
      <c r="E28" s="47">
        <f t="shared" si="4"/>
        <v>1562.6968961700013</v>
      </c>
      <c r="F28" s="47">
        <f t="shared" si="4"/>
        <v>1846.2890000499997</v>
      </c>
      <c r="G28" s="47">
        <f t="shared" si="4"/>
        <v>2031.6719997399996</v>
      </c>
      <c r="H28" s="47">
        <f t="shared" si="4"/>
        <v>2083.253000300001</v>
      </c>
      <c r="I28" s="47">
        <f t="shared" si="4"/>
        <v>2057.8619998599966</v>
      </c>
    </row>
    <row r="29" spans="1:16" ht="15">
      <c r="A29" s="43" t="str">
        <f>HLOOKUP(INDICE!$F$2,Nombres!$C$3:$D$636,319,FALSE)</f>
        <v>Impacto neto de la compra de oficinas en España</v>
      </c>
      <c r="B29" s="44">
        <v>0</v>
      </c>
      <c r="C29" s="44">
        <v>-201.39716995</v>
      </c>
      <c r="D29" s="44">
        <v>0</v>
      </c>
      <c r="E29" s="45">
        <v>0</v>
      </c>
      <c r="F29" s="44">
        <v>0</v>
      </c>
      <c r="G29" s="44">
        <v>0</v>
      </c>
      <c r="H29" s="44">
        <v>0</v>
      </c>
      <c r="I29" s="44">
        <v>0</v>
      </c>
      <c r="M29" s="284"/>
      <c r="N29" s="284"/>
      <c r="O29" s="284"/>
      <c r="P29" s="284"/>
    </row>
    <row r="30" spans="1:9" ht="15">
      <c r="A30" s="47" t="str">
        <f>HLOOKUP(INDICE!$F$2,Nombres!$C$3:$D$636,50,FALSE)</f>
        <v>Resultado atribuido</v>
      </c>
      <c r="B30" s="47">
        <f>+B28+B29</f>
        <v>1324.7289998599988</v>
      </c>
      <c r="C30" s="47">
        <f aca="true" t="shared" si="5" ref="C30:I30">+C28+C29</f>
        <v>1632.6950000000006</v>
      </c>
      <c r="D30" s="47">
        <f t="shared" si="5"/>
        <v>1837.8060001300005</v>
      </c>
      <c r="E30" s="47">
        <f t="shared" si="5"/>
        <v>1562.6968961700013</v>
      </c>
      <c r="F30" s="47">
        <f t="shared" si="5"/>
        <v>1846.2890000499997</v>
      </c>
      <c r="G30" s="47">
        <f t="shared" si="5"/>
        <v>2031.6719997399996</v>
      </c>
      <c r="H30" s="47">
        <f t="shared" si="5"/>
        <v>2083.253000300001</v>
      </c>
      <c r="I30" s="47">
        <f t="shared" si="5"/>
        <v>2057.8619998599966</v>
      </c>
    </row>
    <row r="31" spans="2:9" ht="15">
      <c r="B31" s="48">
        <v>0</v>
      </c>
      <c r="C31" s="48">
        <v>0</v>
      </c>
      <c r="D31" s="48">
        <v>0</v>
      </c>
      <c r="E31" s="48">
        <v>0</v>
      </c>
      <c r="F31" s="48">
        <v>0</v>
      </c>
      <c r="G31" s="48">
        <v>0</v>
      </c>
      <c r="H31" s="48">
        <v>0</v>
      </c>
      <c r="I31" s="48">
        <v>0</v>
      </c>
    </row>
    <row r="32" spans="1:9" ht="22.5" customHeight="1">
      <c r="A32" s="43"/>
      <c r="B32" s="48">
        <v>0</v>
      </c>
      <c r="C32" s="48">
        <v>0</v>
      </c>
      <c r="D32" s="48">
        <v>0</v>
      </c>
      <c r="E32" s="48">
        <v>0</v>
      </c>
      <c r="F32" s="48">
        <v>0</v>
      </c>
      <c r="G32" s="48">
        <v>0</v>
      </c>
      <c r="H32" s="48">
        <v>0</v>
      </c>
      <c r="I32" s="48">
        <v>0</v>
      </c>
    </row>
    <row r="33" spans="1:9" ht="26.25" customHeight="1">
      <c r="A33" s="300"/>
      <c r="B33" s="300"/>
      <c r="C33" s="300"/>
      <c r="D33" s="300"/>
      <c r="E33" s="300"/>
      <c r="F33" s="300"/>
      <c r="G33" s="300"/>
      <c r="H33" s="300"/>
      <c r="I33" s="300"/>
    </row>
    <row r="34" spans="1:9" ht="15" customHeight="1">
      <c r="A34" s="300"/>
      <c r="B34" s="300"/>
      <c r="C34" s="300"/>
      <c r="D34" s="300"/>
      <c r="E34" s="300"/>
      <c r="F34" s="300"/>
      <c r="G34" s="300"/>
      <c r="H34" s="300"/>
      <c r="I34" s="300"/>
    </row>
    <row r="35" spans="1:9" ht="15">
      <c r="A35" s="300"/>
      <c r="B35" s="300"/>
      <c r="C35" s="300"/>
      <c r="D35" s="300"/>
      <c r="E35" s="300"/>
      <c r="F35" s="300"/>
      <c r="G35" s="300"/>
      <c r="H35" s="300"/>
      <c r="I35" s="300"/>
    </row>
    <row r="36" spans="1:9" ht="15">
      <c r="A36" s="43"/>
      <c r="B36" s="49"/>
      <c r="C36" s="49"/>
      <c r="D36" s="49"/>
      <c r="E36" s="49"/>
      <c r="F36" s="279"/>
      <c r="G36" s="49"/>
      <c r="H36" s="49"/>
      <c r="I36" s="49"/>
    </row>
    <row r="37" spans="2:9" ht="15">
      <c r="B37" s="263"/>
      <c r="C37" s="263"/>
      <c r="D37" s="263"/>
      <c r="E37" s="263"/>
      <c r="F37" s="263"/>
      <c r="G37" s="263"/>
      <c r="H37" s="263"/>
      <c r="I37" s="263"/>
    </row>
    <row r="39" spans="1:9" ht="18">
      <c r="A39" s="33" t="str">
        <f>HLOOKUP(INDICE!$F$2,Nombres!$C$3:$D$636,31,FALSE)</f>
        <v>Cuenta de resultados  </v>
      </c>
      <c r="B39" s="34"/>
      <c r="C39" s="34"/>
      <c r="D39" s="34"/>
      <c r="E39" s="34"/>
      <c r="F39" s="34"/>
      <c r="G39" s="34"/>
      <c r="H39" s="34"/>
      <c r="I39" s="34"/>
    </row>
    <row r="40" spans="1:9" ht="15">
      <c r="A40" s="35" t="str">
        <f>HLOOKUP(INDICE!$F$2,Nombres!$C$3:$D$636,73,FALSE)</f>
        <v>(Millones de euros constantes)</v>
      </c>
      <c r="B40" s="30"/>
      <c r="C40" s="36"/>
      <c r="D40" s="36"/>
      <c r="E40" s="36"/>
      <c r="F40" s="30"/>
      <c r="G40" s="30"/>
      <c r="H40" s="30"/>
      <c r="I40" s="30"/>
    </row>
    <row r="41" spans="1:9" ht="15">
      <c r="A41" s="37"/>
      <c r="B41" s="30"/>
      <c r="C41" s="36"/>
      <c r="D41" s="36"/>
      <c r="E41" s="36"/>
      <c r="F41" s="30"/>
      <c r="G41" s="30"/>
      <c r="H41" s="30"/>
      <c r="I41" s="30"/>
    </row>
    <row r="42" spans="1:9" ht="15.75">
      <c r="A42" s="38"/>
      <c r="B42" s="301">
        <f>+España!B6</f>
        <v>2022</v>
      </c>
      <c r="C42" s="301"/>
      <c r="D42" s="301"/>
      <c r="E42" s="302"/>
      <c r="F42" s="303">
        <f>+España!F6</f>
        <v>2023</v>
      </c>
      <c r="G42" s="301"/>
      <c r="H42" s="301"/>
      <c r="I42" s="301"/>
    </row>
    <row r="43" spans="1:9" ht="15.75">
      <c r="A43" s="38"/>
      <c r="B43" s="39" t="str">
        <f>+España!B7</f>
        <v>1er Trim.</v>
      </c>
      <c r="C43" s="39" t="str">
        <f>+España!C7</f>
        <v>2º Trim.</v>
      </c>
      <c r="D43" s="39" t="str">
        <f>+España!D7</f>
        <v>3er Trim.</v>
      </c>
      <c r="E43" s="40" t="str">
        <f>+España!E7</f>
        <v>4º Trim.</v>
      </c>
      <c r="F43" s="39" t="str">
        <f>+España!F7</f>
        <v>1er Trim.</v>
      </c>
      <c r="G43" s="39" t="str">
        <f>+España!G7</f>
        <v>2º Trim.</v>
      </c>
      <c r="H43" s="39" t="str">
        <f>+España!H7</f>
        <v>3er Trim.</v>
      </c>
      <c r="I43" s="39" t="str">
        <f>+España!I7</f>
        <v>4º Trim.</v>
      </c>
    </row>
    <row r="44" spans="1:9" ht="15">
      <c r="A44" s="41" t="str">
        <f>HLOOKUP(INDICE!$F$2,Nombres!$C$3:$D$636,33,FALSE)</f>
        <v>Margen de intereses</v>
      </c>
      <c r="B44" s="41">
        <v>3788.4375468944345</v>
      </c>
      <c r="C44" s="41">
        <v>4217.086691999135</v>
      </c>
      <c r="D44" s="41">
        <v>4731.206463434571</v>
      </c>
      <c r="E44" s="42">
        <v>5219.779233230845</v>
      </c>
      <c r="F44" s="41">
        <v>5145.45872360967</v>
      </c>
      <c r="G44" s="50">
        <v>5526.372522118098</v>
      </c>
      <c r="H44" s="50">
        <v>6211.21441304928</v>
      </c>
      <c r="I44" s="50">
        <v>6206.10934125295</v>
      </c>
    </row>
    <row r="45" spans="1:9" ht="15">
      <c r="A45" s="43" t="str">
        <f>HLOOKUP(INDICE!$F$2,Nombres!$C$3:$D$636,34,FALSE)</f>
        <v>Comisiones netas</v>
      </c>
      <c r="B45" s="44">
        <v>1201.7309252768077</v>
      </c>
      <c r="C45" s="44">
        <v>1332.8235880671903</v>
      </c>
      <c r="D45" s="44">
        <v>1310.5483739133206</v>
      </c>
      <c r="E45" s="45">
        <v>1338.2781704421875</v>
      </c>
      <c r="F45" s="44">
        <v>1368.8729224992217</v>
      </c>
      <c r="G45" s="44">
        <v>1447.3484079144982</v>
      </c>
      <c r="H45" s="44">
        <v>1647.1748796859765</v>
      </c>
      <c r="I45" s="44">
        <v>1824.4587899003031</v>
      </c>
    </row>
    <row r="46" spans="1:9" ht="15">
      <c r="A46" s="43" t="str">
        <f>HLOOKUP(INDICE!$F$2,Nombres!$C$3:$D$636,35,FALSE)</f>
        <v>Resultados de operaciones financieras</v>
      </c>
      <c r="B46" s="44">
        <v>483.6834641693171</v>
      </c>
      <c r="C46" s="44">
        <v>429.87690265409526</v>
      </c>
      <c r="D46" s="44">
        <v>472.5915275730016</v>
      </c>
      <c r="E46" s="45">
        <v>269.8807087083083</v>
      </c>
      <c r="F46" s="44">
        <v>345.5569173858277</v>
      </c>
      <c r="G46" s="44">
        <v>329.3946492276224</v>
      </c>
      <c r="H46" s="44">
        <v>615.6006365504834</v>
      </c>
      <c r="I46" s="44">
        <v>892.3347968460664</v>
      </c>
    </row>
    <row r="47" spans="1:9" ht="15">
      <c r="A47" s="43" t="str">
        <f>HLOOKUP(INDICE!$F$2,Nombres!$C$3:$D$636,96,FALSE)</f>
        <v>Ingresos por dividendos</v>
      </c>
      <c r="B47" s="44">
        <v>3.2927980773071104</v>
      </c>
      <c r="C47" s="44">
        <v>70.2457726599643</v>
      </c>
      <c r="D47" s="44">
        <v>2.590648573379446</v>
      </c>
      <c r="E47" s="45">
        <v>44.19014808491421</v>
      </c>
      <c r="F47" s="44">
        <v>4.29566282600763</v>
      </c>
      <c r="G47" s="44">
        <v>68.03300876147664</v>
      </c>
      <c r="H47" s="44">
        <v>1.9913990606111318</v>
      </c>
      <c r="I47" s="44">
        <v>43.77092935190447</v>
      </c>
    </row>
    <row r="48" spans="1:9" ht="15">
      <c r="A48" s="43" t="str">
        <f>HLOOKUP(INDICE!$F$2,Nombres!$C$3:$D$636,97,FALSE)</f>
        <v>Part. gananc/pdas inversiones en dependientes, neg conjunt y asoc</v>
      </c>
      <c r="B48" s="44">
        <v>6.458949203285265</v>
      </c>
      <c r="C48" s="44">
        <v>11.87012559387566</v>
      </c>
      <c r="D48" s="44">
        <v>3.102459617107705</v>
      </c>
      <c r="E48" s="45">
        <v>5.231017273376886</v>
      </c>
      <c r="F48" s="44">
        <v>6.965493848653065</v>
      </c>
      <c r="G48" s="44">
        <v>7.711708386650476</v>
      </c>
      <c r="H48" s="44">
        <v>6.051470788149066</v>
      </c>
      <c r="I48" s="44">
        <v>5.514326976547391</v>
      </c>
    </row>
    <row r="49" spans="1:9" ht="15">
      <c r="A49" s="43" t="str">
        <f>HLOOKUP(INDICE!$F$2,Nombres!$C$3:$D$636,98,FALSE)</f>
        <v>Otros productos/cargas de explotación</v>
      </c>
      <c r="B49" s="44">
        <v>-626.6661301569795</v>
      </c>
      <c r="C49" s="44">
        <v>-789.3434472136473</v>
      </c>
      <c r="D49" s="44">
        <v>-400.8334217544492</v>
      </c>
      <c r="E49" s="45">
        <v>-453.47063621341096</v>
      </c>
      <c r="F49" s="44">
        <v>-680.5958207970519</v>
      </c>
      <c r="G49" s="44">
        <v>-325.28887998337865</v>
      </c>
      <c r="H49" s="44">
        <v>-863.3604020121406</v>
      </c>
      <c r="I49" s="44">
        <v>-293.44889719742974</v>
      </c>
    </row>
    <row r="50" spans="1:9" ht="15">
      <c r="A50" s="41" t="str">
        <f>HLOOKUP(INDICE!$F$2,Nombres!$C$3:$D$636,37,FALSE)</f>
        <v>Margen bruto</v>
      </c>
      <c r="B50" s="41">
        <f>+SUM(B44:B49)</f>
        <v>4856.937553464173</v>
      </c>
      <c r="C50" s="41">
        <f aca="true" t="shared" si="6" ref="C50:I50">+SUM(C44:C49)</f>
        <v>5272.559633760613</v>
      </c>
      <c r="D50" s="41">
        <f t="shared" si="6"/>
        <v>6119.20605135693</v>
      </c>
      <c r="E50" s="42">
        <f t="shared" si="6"/>
        <v>6423.888641526222</v>
      </c>
      <c r="F50" s="41">
        <f t="shared" si="6"/>
        <v>6190.553899372329</v>
      </c>
      <c r="G50" s="50">
        <f t="shared" si="6"/>
        <v>7053.571416424967</v>
      </c>
      <c r="H50" s="50">
        <f t="shared" si="6"/>
        <v>7618.672397122358</v>
      </c>
      <c r="I50" s="50">
        <f t="shared" si="6"/>
        <v>8678.73928713034</v>
      </c>
    </row>
    <row r="51" spans="1:9" ht="15">
      <c r="A51" s="43" t="str">
        <f>HLOOKUP(INDICE!$F$2,Nombres!$C$3:$D$636,38,FALSE)</f>
        <v>Gastos de explotación</v>
      </c>
      <c r="B51" s="44">
        <v>-2329.1854887625445</v>
      </c>
      <c r="C51" s="44">
        <v>-2468.066365729766</v>
      </c>
      <c r="D51" s="44">
        <v>-2628.0062682879066</v>
      </c>
      <c r="E51" s="45">
        <v>-2860.367352852175</v>
      </c>
      <c r="F51" s="44">
        <v>-2803.240951781428</v>
      </c>
      <c r="G51" s="44">
        <v>-2888.224645885368</v>
      </c>
      <c r="H51" s="44">
        <v>-3207.1897190921836</v>
      </c>
      <c r="I51" s="44">
        <v>-3409.7496833110204</v>
      </c>
    </row>
    <row r="52" spans="1:9" ht="15">
      <c r="A52" s="43" t="str">
        <f>HLOOKUP(INDICE!$F$2,Nombres!$C$3:$D$636,39,FALSE)</f>
        <v>  Gastos de administración</v>
      </c>
      <c r="B52" s="44">
        <v>-2012.2729174488306</v>
      </c>
      <c r="C52" s="44">
        <v>-2129.3713572098995</v>
      </c>
      <c r="D52" s="44">
        <v>-2290.2125914405055</v>
      </c>
      <c r="E52" s="45">
        <v>-2519.2975266180656</v>
      </c>
      <c r="F52" s="44">
        <v>-2469.350400440862</v>
      </c>
      <c r="G52" s="44">
        <v>-2549.6153376956536</v>
      </c>
      <c r="H52" s="44">
        <v>-2834.563513549915</v>
      </c>
      <c r="I52" s="44">
        <v>-3051.8027483635688</v>
      </c>
    </row>
    <row r="53" spans="1:9" ht="15">
      <c r="A53" s="46" t="str">
        <f>HLOOKUP(INDICE!$F$2,Nombres!$C$3:$D$636,40,FALSE)</f>
        <v>  Gastos de personal</v>
      </c>
      <c r="B53" s="44">
        <v>-1183.5384809220457</v>
      </c>
      <c r="C53" s="44">
        <v>-1251.5459057260455</v>
      </c>
      <c r="D53" s="44">
        <v>-1367.0682447671993</v>
      </c>
      <c r="E53" s="45">
        <v>-1541.0149441076085</v>
      </c>
      <c r="F53" s="44">
        <v>-1435.3957528152127</v>
      </c>
      <c r="G53" s="44">
        <v>-1513.4180377435455</v>
      </c>
      <c r="H53" s="44">
        <v>-1706.9052015785232</v>
      </c>
      <c r="I53" s="44">
        <v>-1874.6010079127186</v>
      </c>
    </row>
    <row r="54" spans="1:9" ht="15">
      <c r="A54" s="46" t="str">
        <f>HLOOKUP(INDICE!$F$2,Nombres!$C$3:$D$636,41,FALSE)</f>
        <v>  Otros gastos de administración</v>
      </c>
      <c r="B54" s="44">
        <v>-828.7344365267847</v>
      </c>
      <c r="C54" s="44">
        <v>-877.8254514838545</v>
      </c>
      <c r="D54" s="44">
        <v>-923.1443466733067</v>
      </c>
      <c r="E54" s="45">
        <v>-978.2825825104576</v>
      </c>
      <c r="F54" s="44">
        <v>-1033.9546476256492</v>
      </c>
      <c r="G54" s="44">
        <v>-1036.1972999521086</v>
      </c>
      <c r="H54" s="44">
        <v>-1127.6583119713923</v>
      </c>
      <c r="I54" s="44">
        <v>-1177.2017404508501</v>
      </c>
    </row>
    <row r="55" spans="1:9" ht="15">
      <c r="A55" s="43" t="str">
        <f>HLOOKUP(INDICE!$F$2,Nombres!$C$3:$D$636,42,FALSE)</f>
        <v>  Amortización</v>
      </c>
      <c r="B55" s="44">
        <v>-316.91257131371367</v>
      </c>
      <c r="C55" s="44">
        <v>-338.6950085198662</v>
      </c>
      <c r="D55" s="44">
        <v>-337.79367684740066</v>
      </c>
      <c r="E55" s="45">
        <v>-341.06982623410875</v>
      </c>
      <c r="F55" s="44">
        <v>-333.8905513405663</v>
      </c>
      <c r="G55" s="44">
        <v>-338.60930818971417</v>
      </c>
      <c r="H55" s="44">
        <v>-372.6262055422681</v>
      </c>
      <c r="I55" s="44">
        <v>-357.9469349474515</v>
      </c>
    </row>
    <row r="56" spans="1:9" ht="15">
      <c r="A56" s="41" t="str">
        <f>HLOOKUP(INDICE!$F$2,Nombres!$C$3:$D$636,43,FALSE)</f>
        <v>Margen neto</v>
      </c>
      <c r="B56" s="41">
        <f>+B50+B51</f>
        <v>2527.7520647016286</v>
      </c>
      <c r="C56" s="41">
        <f aca="true" t="shared" si="7" ref="C56:I56">+C50+C51</f>
        <v>2804.493268030847</v>
      </c>
      <c r="D56" s="41">
        <f t="shared" si="7"/>
        <v>3491.199783069024</v>
      </c>
      <c r="E56" s="42">
        <f t="shared" si="7"/>
        <v>3563.5212886740474</v>
      </c>
      <c r="F56" s="41">
        <f t="shared" si="7"/>
        <v>3387.3129475909013</v>
      </c>
      <c r="G56" s="50">
        <f t="shared" si="7"/>
        <v>4165.346770539599</v>
      </c>
      <c r="H56" s="50">
        <f t="shared" si="7"/>
        <v>4411.482678030175</v>
      </c>
      <c r="I56" s="50">
        <f t="shared" si="7"/>
        <v>5268.98960381932</v>
      </c>
    </row>
    <row r="57" spans="1:9" ht="15">
      <c r="A57" s="43" t="str">
        <f>HLOOKUP(INDICE!$F$2,Nombres!$C$3:$D$636,44,FALSE)</f>
        <v>Deterioro de activos financieros no valorados a valor razonable con cambios en resultados</v>
      </c>
      <c r="B57" s="44">
        <v>-731.7116127564881</v>
      </c>
      <c r="C57" s="44">
        <v>-707.4885560024225</v>
      </c>
      <c r="D57" s="44">
        <v>-895.6801857631906</v>
      </c>
      <c r="E57" s="45">
        <v>-975.3041736941509</v>
      </c>
      <c r="F57" s="44">
        <v>-941.0143687929506</v>
      </c>
      <c r="G57" s="44">
        <v>-997.9873717839862</v>
      </c>
      <c r="H57" s="44">
        <v>-1196.3048033760392</v>
      </c>
      <c r="I57" s="44">
        <v>-1292.973456027024</v>
      </c>
    </row>
    <row r="58" spans="1:9" ht="15">
      <c r="A58" s="43" t="str">
        <f>HLOOKUP(INDICE!$F$2,Nombres!$C$3:$D$636,247,FALSE)</f>
        <v>Provisiones o reversión de provisiones</v>
      </c>
      <c r="B58" s="44">
        <v>-37.78646417815968</v>
      </c>
      <c r="C58" s="44">
        <v>-42.85075910528177</v>
      </c>
      <c r="D58" s="44">
        <v>-119.67338104232738</v>
      </c>
      <c r="E58" s="45">
        <v>-26.197991247058294</v>
      </c>
      <c r="F58" s="44">
        <v>-9.719578887251664</v>
      </c>
      <c r="G58" s="44">
        <v>-102.29849708010867</v>
      </c>
      <c r="H58" s="44">
        <v>-81.47807448206159</v>
      </c>
      <c r="I58" s="44">
        <v>-179.85384957057815</v>
      </c>
    </row>
    <row r="59" spans="1:9" ht="15">
      <c r="A59" s="43" t="str">
        <f>HLOOKUP(INDICE!$F$2,Nombres!$C$3:$D$636,248,FALSE)</f>
        <v>Otros resultados</v>
      </c>
      <c r="B59" s="44">
        <v>15.943085751917021</v>
      </c>
      <c r="C59" s="44">
        <v>-7.4513484760121145</v>
      </c>
      <c r="D59" s="44">
        <v>17.369013984953376</v>
      </c>
      <c r="E59" s="45">
        <v>-7.947536880277127</v>
      </c>
      <c r="F59" s="44">
        <v>-15.793408365395317</v>
      </c>
      <c r="G59" s="44">
        <v>50.785743240729786</v>
      </c>
      <c r="H59" s="44">
        <v>1.6752477102978087</v>
      </c>
      <c r="I59" s="44">
        <v>-49.43158258563227</v>
      </c>
    </row>
    <row r="60" spans="1:9" ht="15">
      <c r="A60" s="41" t="str">
        <f>HLOOKUP(INDICE!$F$2,Nombres!$C$3:$D$636,46,FALSE)</f>
        <v>Resultado antes de impuestos</v>
      </c>
      <c r="B60" s="50">
        <f aca="true" t="shared" si="8" ref="B60:I60">+B56+B57+B58+B59</f>
        <v>1774.197073518898</v>
      </c>
      <c r="C60" s="50">
        <f t="shared" si="8"/>
        <v>2046.7026044471306</v>
      </c>
      <c r="D60" s="50">
        <f t="shared" si="8"/>
        <v>2493.215230248459</v>
      </c>
      <c r="E60" s="42">
        <f t="shared" si="8"/>
        <v>2554.071586852561</v>
      </c>
      <c r="F60" s="50">
        <f t="shared" si="8"/>
        <v>2420.7855915453033</v>
      </c>
      <c r="G60" s="50">
        <f t="shared" si="8"/>
        <v>3115.846644916234</v>
      </c>
      <c r="H60" s="50">
        <f t="shared" si="8"/>
        <v>3135.3750478823717</v>
      </c>
      <c r="I60" s="50">
        <f t="shared" si="8"/>
        <v>3746.7307156360857</v>
      </c>
    </row>
    <row r="61" spans="1:9" ht="15">
      <c r="A61" s="43" t="str">
        <f>HLOOKUP(INDICE!$F$2,Nombres!$C$3:$D$636,47,FALSE)</f>
        <v>Impuesto sobre beneficios</v>
      </c>
      <c r="B61" s="44">
        <v>-777.7499988848961</v>
      </c>
      <c r="C61" s="44">
        <v>-533.4752712661768</v>
      </c>
      <c r="D61" s="44">
        <v>-850.0585143096725</v>
      </c>
      <c r="E61" s="45">
        <v>-847.6519380012801</v>
      </c>
      <c r="F61" s="44">
        <v>-795.8111523640839</v>
      </c>
      <c r="G61" s="44">
        <v>-993.0130341961112</v>
      </c>
      <c r="H61" s="44">
        <v>-1152.6278531211028</v>
      </c>
      <c r="I61" s="44">
        <v>-1061.168960348702</v>
      </c>
    </row>
    <row r="62" spans="1:9" ht="15">
      <c r="A62" s="41" t="str">
        <f>HLOOKUP(INDICE!$F$2,Nombres!$C$3:$D$636,48,FALSE)</f>
        <v>Resultado del ejercicio</v>
      </c>
      <c r="B62" s="50">
        <f aca="true" t="shared" si="9" ref="B62:I62">+B60+B61</f>
        <v>996.4470746340019</v>
      </c>
      <c r="C62" s="50">
        <f t="shared" si="9"/>
        <v>1513.2273331809538</v>
      </c>
      <c r="D62" s="50">
        <f t="shared" si="9"/>
        <v>1643.1567159387866</v>
      </c>
      <c r="E62" s="42">
        <f t="shared" si="9"/>
        <v>1706.4196488512807</v>
      </c>
      <c r="F62" s="50">
        <f t="shared" si="9"/>
        <v>1624.9744391812194</v>
      </c>
      <c r="G62" s="50">
        <f t="shared" si="9"/>
        <v>2122.8336107201226</v>
      </c>
      <c r="H62" s="50">
        <f t="shared" si="9"/>
        <v>1982.747194761269</v>
      </c>
      <c r="I62" s="50">
        <f t="shared" si="9"/>
        <v>2685.5617552873837</v>
      </c>
    </row>
    <row r="63" spans="1:9" ht="15">
      <c r="A63" s="43" t="str">
        <f>HLOOKUP(INDICE!$F$2,Nombres!$C$3:$D$636,49,FALSE)</f>
        <v>Minoritarios</v>
      </c>
      <c r="B63" s="44">
        <v>224.5865508833818</v>
      </c>
      <c r="C63" s="44">
        <v>48.83102456273436</v>
      </c>
      <c r="D63" s="44">
        <v>-65.58980535135167</v>
      </c>
      <c r="E63" s="45">
        <v>-142.8609566638706</v>
      </c>
      <c r="F63" s="44">
        <v>-57.3234063076897</v>
      </c>
      <c r="G63" s="44">
        <v>-84.30827107888302</v>
      </c>
      <c r="H63" s="44">
        <v>-30.95428392323531</v>
      </c>
      <c r="I63" s="44">
        <v>-224.455038690192</v>
      </c>
    </row>
    <row r="64" spans="1:9" ht="15">
      <c r="A64" s="47" t="str">
        <f>HLOOKUP(INDICE!$F$2,Nombres!$C$3:$D$636,305,FALSE)</f>
        <v>Resultado atribuido excluyendo impactos no recurrentes</v>
      </c>
      <c r="B64" s="47">
        <f>+B62+B63</f>
        <v>1221.0336255173836</v>
      </c>
      <c r="C64" s="47">
        <f aca="true" t="shared" si="10" ref="C64:I64">+C62+C63</f>
        <v>1562.0583577436882</v>
      </c>
      <c r="D64" s="47">
        <f t="shared" si="10"/>
        <v>1577.566910587435</v>
      </c>
      <c r="E64" s="47">
        <f t="shared" si="10"/>
        <v>1563.55869218741</v>
      </c>
      <c r="F64" s="47">
        <f t="shared" si="10"/>
        <v>1567.6510328735296</v>
      </c>
      <c r="G64" s="47">
        <f t="shared" si="10"/>
        <v>2038.5253396412395</v>
      </c>
      <c r="H64" s="47">
        <f t="shared" si="10"/>
        <v>1951.7929108380335</v>
      </c>
      <c r="I64" s="47">
        <f t="shared" si="10"/>
        <v>2461.1067165971917</v>
      </c>
    </row>
    <row r="65" spans="1:9" ht="15">
      <c r="A65" s="43" t="str">
        <f>HLOOKUP(INDICE!$F$2,Nombres!$C$3:$D$636,319,FALSE)</f>
        <v>Impacto neto de la compra de oficinas en España</v>
      </c>
      <c r="B65" s="44">
        <v>0</v>
      </c>
      <c r="C65" s="44">
        <v>-201.39716995</v>
      </c>
      <c r="D65" s="44">
        <v>0</v>
      </c>
      <c r="E65" s="45">
        <v>0</v>
      </c>
      <c r="F65" s="44">
        <v>0</v>
      </c>
      <c r="G65" s="44">
        <v>0</v>
      </c>
      <c r="H65" s="44">
        <v>0</v>
      </c>
      <c r="I65" s="44">
        <v>0</v>
      </c>
    </row>
    <row r="66" spans="1:9" ht="15">
      <c r="A66" s="47" t="str">
        <f>HLOOKUP(INDICE!$F$2,Nombres!$C$3:$D$636,50,FALSE)</f>
        <v>Resultado atribuido</v>
      </c>
      <c r="B66" s="47">
        <f>+B64+B65</f>
        <v>1221.0336255173836</v>
      </c>
      <c r="C66" s="47">
        <f aca="true" t="shared" si="11" ref="C66:I66">+C64+C65</f>
        <v>1360.6611877936882</v>
      </c>
      <c r="D66" s="47">
        <f t="shared" si="11"/>
        <v>1577.566910587435</v>
      </c>
      <c r="E66" s="47">
        <f t="shared" si="11"/>
        <v>1563.55869218741</v>
      </c>
      <c r="F66" s="47">
        <f t="shared" si="11"/>
        <v>1567.6510328735296</v>
      </c>
      <c r="G66" s="47">
        <f t="shared" si="11"/>
        <v>2038.5253396412395</v>
      </c>
      <c r="H66" s="47">
        <f t="shared" si="11"/>
        <v>1951.7929108380335</v>
      </c>
      <c r="I66" s="47">
        <f t="shared" si="11"/>
        <v>2461.1067165971917</v>
      </c>
    </row>
    <row r="67" spans="1:9" ht="15">
      <c r="A67" s="43"/>
      <c r="B67" s="48">
        <v>0</v>
      </c>
      <c r="C67" s="48">
        <v>0</v>
      </c>
      <c r="D67" s="48">
        <v>0</v>
      </c>
      <c r="E67" s="48">
        <v>0</v>
      </c>
      <c r="F67" s="48">
        <v>0</v>
      </c>
      <c r="G67" s="48">
        <v>0</v>
      </c>
      <c r="H67" s="48">
        <v>-2.2737367544323206E-12</v>
      </c>
      <c r="I67" s="48">
        <v>0</v>
      </c>
    </row>
    <row r="68" spans="1:9" ht="12.75" customHeight="1">
      <c r="A68" s="278"/>
      <c r="B68" s="48">
        <v>0</v>
      </c>
      <c r="C68" s="48">
        <v>0</v>
      </c>
      <c r="D68" s="48">
        <v>0</v>
      </c>
      <c r="E68" s="48">
        <v>0</v>
      </c>
      <c r="F68" s="48">
        <v>0</v>
      </c>
      <c r="G68" s="48">
        <v>0</v>
      </c>
      <c r="H68" s="48">
        <v>-2.2737367544323206E-12</v>
      </c>
      <c r="I68" s="48">
        <v>0</v>
      </c>
    </row>
    <row r="69" spans="1:9" ht="24" customHeight="1">
      <c r="A69" s="300"/>
      <c r="B69" s="300"/>
      <c r="C69" s="300"/>
      <c r="D69" s="300"/>
      <c r="E69" s="300"/>
      <c r="F69" s="300"/>
      <c r="G69" s="300"/>
      <c r="H69" s="300"/>
      <c r="I69" s="300"/>
    </row>
    <row r="70" spans="1:9" ht="15" customHeight="1">
      <c r="A70" s="300"/>
      <c r="B70" s="300"/>
      <c r="C70" s="300"/>
      <c r="D70" s="300"/>
      <c r="E70" s="300"/>
      <c r="F70" s="300"/>
      <c r="G70" s="300"/>
      <c r="H70" s="300"/>
      <c r="I70" s="300"/>
    </row>
    <row r="71" spans="1:9" ht="15">
      <c r="A71" s="43"/>
      <c r="B71" s="262"/>
      <c r="C71" s="262"/>
      <c r="D71" s="262"/>
      <c r="E71" s="262"/>
      <c r="F71" s="262"/>
      <c r="G71" s="262"/>
      <c r="H71" s="262"/>
      <c r="I71" s="262"/>
    </row>
    <row r="72" spans="1:9" ht="15">
      <c r="A72"/>
      <c r="B72" s="262"/>
      <c r="C72" s="262"/>
      <c r="D72" s="262"/>
      <c r="E72" s="262"/>
      <c r="F72" s="262"/>
      <c r="G72" s="262"/>
      <c r="H72" s="262"/>
      <c r="I72" s="262"/>
    </row>
    <row r="73" spans="2:9" ht="15">
      <c r="B73" s="262"/>
      <c r="C73" s="262"/>
      <c r="D73" s="262"/>
      <c r="E73" s="262"/>
      <c r="F73" s="262"/>
      <c r="G73" s="262"/>
      <c r="H73" s="262"/>
      <c r="I73" s="262"/>
    </row>
    <row r="85" ht="15">
      <c r="A85"/>
    </row>
    <row r="999" ht="15">
      <c r="A999" s="31" t="s">
        <v>391</v>
      </c>
    </row>
  </sheetData>
  <sheetProtection/>
  <mergeCells count="9">
    <mergeCell ref="A34:I34"/>
    <mergeCell ref="B42:E42"/>
    <mergeCell ref="F42:I42"/>
    <mergeCell ref="A69:I69"/>
    <mergeCell ref="A70:I70"/>
    <mergeCell ref="B6:E6"/>
    <mergeCell ref="F6:I6"/>
    <mergeCell ref="A35:I35"/>
    <mergeCell ref="A33:I33"/>
  </mergeCells>
  <conditionalFormatting sqref="B36:I36">
    <cfRule type="cellIs" priority="44" dxfId="19" operator="notBetween">
      <formula>0.4</formula>
      <formula>-0.4</formula>
    </cfRule>
  </conditionalFormatting>
  <conditionalFormatting sqref="B37:I37">
    <cfRule type="cellIs" priority="43" dxfId="19" operator="notBetween">
      <formula>0.4</formula>
      <formula>-0.4</formula>
    </cfRule>
  </conditionalFormatting>
  <conditionalFormatting sqref="E31">
    <cfRule type="cellIs" priority="35" dxfId="132" operator="notBetween">
      <formula>0.5</formula>
      <formula>-0.5</formula>
    </cfRule>
  </conditionalFormatting>
  <conditionalFormatting sqref="C31">
    <cfRule type="cellIs" priority="33" dxfId="132" operator="notBetween">
      <formula>0.5</formula>
      <formula>-0.5</formula>
    </cfRule>
  </conditionalFormatting>
  <conditionalFormatting sqref="H31">
    <cfRule type="cellIs" priority="38" dxfId="132" operator="notBetween">
      <formula>0.5</formula>
      <formula>-0.5</formula>
    </cfRule>
  </conditionalFormatting>
  <conditionalFormatting sqref="I31">
    <cfRule type="cellIs" priority="42" dxfId="132" operator="notBetween">
      <formula>0.5</formula>
      <formula>-0.5</formula>
    </cfRule>
  </conditionalFormatting>
  <conditionalFormatting sqref="B71:G71">
    <cfRule type="cellIs" priority="41" dxfId="19" operator="notBetween">
      <formula>0.4</formula>
      <formula>-0.4</formula>
    </cfRule>
  </conditionalFormatting>
  <conditionalFormatting sqref="G31">
    <cfRule type="cellIs" priority="37" dxfId="132" operator="notBetween">
      <formula>0.5</formula>
      <formula>-0.5</formula>
    </cfRule>
  </conditionalFormatting>
  <conditionalFormatting sqref="H71">
    <cfRule type="cellIs" priority="40" dxfId="19" operator="notBetween">
      <formula>0.4</formula>
      <formula>-0.4</formula>
    </cfRule>
  </conditionalFormatting>
  <conditionalFormatting sqref="I71">
    <cfRule type="cellIs" priority="39" dxfId="19" operator="notBetween">
      <formula>0.4</formula>
      <formula>-0.4</formula>
    </cfRule>
  </conditionalFormatting>
  <conditionalFormatting sqref="F31">
    <cfRule type="cellIs" priority="36" dxfId="132" operator="notBetween">
      <formula>0.5</formula>
      <formula>-0.5</formula>
    </cfRule>
  </conditionalFormatting>
  <conditionalFormatting sqref="D31">
    <cfRule type="cellIs" priority="34" dxfId="132" operator="notBetween">
      <formula>0.5</formula>
      <formula>-0.5</formula>
    </cfRule>
  </conditionalFormatting>
  <conditionalFormatting sqref="D32">
    <cfRule type="cellIs" priority="30" dxfId="132" operator="notBetween">
      <formula>0.5</formula>
      <formula>-0.5</formula>
    </cfRule>
  </conditionalFormatting>
  <conditionalFormatting sqref="B31:I31">
    <cfRule type="cellIs" priority="32" dxfId="132" operator="notBetween">
      <formula>0.5</formula>
      <formula>-0.5</formula>
    </cfRule>
  </conditionalFormatting>
  <conditionalFormatting sqref="C32">
    <cfRule type="cellIs" priority="31" dxfId="132" operator="notBetween">
      <formula>0.5</formula>
      <formula>-0.5</formula>
    </cfRule>
  </conditionalFormatting>
  <conditionalFormatting sqref="B32:I32">
    <cfRule type="cellIs" priority="29" dxfId="132" operator="notBetween">
      <formula>0.5</formula>
      <formula>-0.5</formula>
    </cfRule>
  </conditionalFormatting>
  <conditionalFormatting sqref="F31">
    <cfRule type="cellIs" priority="28" dxfId="132" operator="notBetween">
      <formula>0.5</formula>
      <formula>-0.5</formula>
    </cfRule>
  </conditionalFormatting>
  <conditionalFormatting sqref="G31">
    <cfRule type="cellIs" priority="27" dxfId="132" operator="notBetween">
      <formula>0.5</formula>
      <formula>-0.5</formula>
    </cfRule>
  </conditionalFormatting>
  <conditionalFormatting sqref="H31">
    <cfRule type="cellIs" priority="26" dxfId="132" operator="notBetween">
      <formula>0.5</formula>
      <formula>-0.5</formula>
    </cfRule>
  </conditionalFormatting>
  <conditionalFormatting sqref="I31">
    <cfRule type="cellIs" priority="25" dxfId="132" operator="notBetween">
      <formula>0.5</formula>
      <formula>-0.5</formula>
    </cfRule>
  </conditionalFormatting>
  <conditionalFormatting sqref="D31">
    <cfRule type="cellIs" priority="24" dxfId="132" operator="notBetween">
      <formula>0.5</formula>
      <formula>-0.5</formula>
    </cfRule>
  </conditionalFormatting>
  <conditionalFormatting sqref="C31">
    <cfRule type="cellIs" priority="23" dxfId="132" operator="notBetween">
      <formula>0.5</formula>
      <formula>-0.5</formula>
    </cfRule>
  </conditionalFormatting>
  <conditionalFormatting sqref="B31">
    <cfRule type="cellIs" priority="22" dxfId="132" operator="notBetween">
      <formula>0.5</formula>
      <formula>-0.5</formula>
    </cfRule>
  </conditionalFormatting>
  <conditionalFormatting sqref="F32:I32">
    <cfRule type="cellIs" priority="21" dxfId="132" operator="notBetween">
      <formula>0.5</formula>
      <formula>-0.5</formula>
    </cfRule>
  </conditionalFormatting>
  <conditionalFormatting sqref="B72:G72">
    <cfRule type="cellIs" priority="20" dxfId="19" operator="notBetween">
      <formula>0.4</formula>
      <formula>-0.4</formula>
    </cfRule>
  </conditionalFormatting>
  <conditionalFormatting sqref="H72">
    <cfRule type="cellIs" priority="19" dxfId="19" operator="notBetween">
      <formula>0.4</formula>
      <formula>-0.4</formula>
    </cfRule>
  </conditionalFormatting>
  <conditionalFormatting sqref="I72">
    <cfRule type="cellIs" priority="18" dxfId="19" operator="notBetween">
      <formula>0.4</formula>
      <formula>-0.4</formula>
    </cfRule>
  </conditionalFormatting>
  <conditionalFormatting sqref="E67">
    <cfRule type="cellIs" priority="13" dxfId="132" operator="notBetween">
      <formula>0.5</formula>
      <formula>-0.5</formula>
    </cfRule>
  </conditionalFormatting>
  <conditionalFormatting sqref="C67">
    <cfRule type="cellIs" priority="11" dxfId="132" operator="notBetween">
      <formula>0.5</formula>
      <formula>-0.5</formula>
    </cfRule>
  </conditionalFormatting>
  <conditionalFormatting sqref="H67">
    <cfRule type="cellIs" priority="16" dxfId="132" operator="notBetween">
      <formula>0.5</formula>
      <formula>-0.5</formula>
    </cfRule>
  </conditionalFormatting>
  <conditionalFormatting sqref="I67">
    <cfRule type="cellIs" priority="17" dxfId="132" operator="notBetween">
      <formula>0.5</formula>
      <formula>-0.5</formula>
    </cfRule>
  </conditionalFormatting>
  <conditionalFormatting sqref="G67">
    <cfRule type="cellIs" priority="15" dxfId="132" operator="notBetween">
      <formula>0.5</formula>
      <formula>-0.5</formula>
    </cfRule>
  </conditionalFormatting>
  <conditionalFormatting sqref="F67">
    <cfRule type="cellIs" priority="14" dxfId="132" operator="notBetween">
      <formula>0.5</formula>
      <formula>-0.5</formula>
    </cfRule>
  </conditionalFormatting>
  <conditionalFormatting sqref="D67">
    <cfRule type="cellIs" priority="12" dxfId="132" operator="notBetween">
      <formula>0.5</formula>
      <formula>-0.5</formula>
    </cfRule>
  </conditionalFormatting>
  <conditionalFormatting sqref="B67:I67">
    <cfRule type="cellIs" priority="10" dxfId="132" operator="notBetween">
      <formula>0.5</formula>
      <formula>-0.5</formula>
    </cfRule>
  </conditionalFormatting>
  <conditionalFormatting sqref="F67">
    <cfRule type="cellIs" priority="9" dxfId="132" operator="notBetween">
      <formula>0.5</formula>
      <formula>-0.5</formula>
    </cfRule>
  </conditionalFormatting>
  <conditionalFormatting sqref="G67">
    <cfRule type="cellIs" priority="8" dxfId="132" operator="notBetween">
      <formula>0.5</formula>
      <formula>-0.5</formula>
    </cfRule>
  </conditionalFormatting>
  <conditionalFormatting sqref="H67">
    <cfRule type="cellIs" priority="7" dxfId="132" operator="notBetween">
      <formula>0.5</formula>
      <formula>-0.5</formula>
    </cfRule>
  </conditionalFormatting>
  <conditionalFormatting sqref="I67">
    <cfRule type="cellIs" priority="6" dxfId="132" operator="notBetween">
      <formula>0.5</formula>
      <formula>-0.5</formula>
    </cfRule>
  </conditionalFormatting>
  <conditionalFormatting sqref="D67">
    <cfRule type="cellIs" priority="5" dxfId="132" operator="notBetween">
      <formula>0.5</formula>
      <formula>-0.5</formula>
    </cfRule>
  </conditionalFormatting>
  <conditionalFormatting sqref="C67">
    <cfRule type="cellIs" priority="4" dxfId="132" operator="notBetween">
      <formula>0.5</formula>
      <formula>-0.5</formula>
    </cfRule>
  </conditionalFormatting>
  <conditionalFormatting sqref="B67:I67">
    <cfRule type="cellIs" priority="3" dxfId="132" operator="notBetween">
      <formula>0.5</formula>
      <formula>-0.5</formula>
    </cfRule>
  </conditionalFormatting>
  <conditionalFormatting sqref="B68:I68">
    <cfRule type="cellIs" priority="2" dxfId="132" operator="notBetween">
      <formula>0.5</formula>
      <formula>-0.5</formula>
    </cfRule>
  </conditionalFormatting>
  <conditionalFormatting sqref="B68:I68">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R1000"/>
  <sheetViews>
    <sheetView showGridLines="0" zoomScalePageLayoutView="0" workbookViewId="0" topLeftCell="A1">
      <selection activeCell="A1" sqref="A1"/>
    </sheetView>
  </sheetViews>
  <sheetFormatPr defaultColWidth="11.421875" defaultRowHeight="15"/>
  <cols>
    <col min="1" max="1" width="86.421875" style="31" customWidth="1"/>
    <col min="2" max="2" width="10.421875" style="31" customWidth="1"/>
    <col min="3" max="18" width="11.421875" style="31" customWidth="1"/>
  </cols>
  <sheetData>
    <row r="1" spans="1:9" ht="18">
      <c r="A1" s="29" t="str">
        <f>HLOOKUP(INDICE!$F$2,Nombres!$C$3:$D$636,104,FALSE)</f>
        <v>Grupo BBVA. Balances de situación consolidados</v>
      </c>
      <c r="B1" s="30"/>
      <c r="C1" s="30"/>
      <c r="D1" s="30"/>
      <c r="E1" s="30"/>
      <c r="F1" s="30"/>
      <c r="G1" s="30"/>
      <c r="H1" s="30"/>
      <c r="I1" s="30"/>
    </row>
    <row r="2" spans="1:9" ht="19.5">
      <c r="A2" s="32"/>
      <c r="B2" s="30"/>
      <c r="C2" s="30"/>
      <c r="D2" s="30"/>
      <c r="E2" s="30"/>
      <c r="F2" s="30"/>
      <c r="G2" s="30"/>
      <c r="H2" s="30"/>
      <c r="I2" s="30"/>
    </row>
    <row r="3" spans="1:9" ht="18">
      <c r="A3" s="33" t="str">
        <f>HLOOKUP(INDICE!$F$2,Nombres!$C$3:$D$636,51,FALSE)</f>
        <v>Balances</v>
      </c>
      <c r="B3" s="34"/>
      <c r="C3" s="34"/>
      <c r="D3" s="34"/>
      <c r="E3" s="34"/>
      <c r="F3" s="34"/>
      <c r="G3" s="34"/>
      <c r="H3" s="34"/>
      <c r="I3" s="34"/>
    </row>
    <row r="4" spans="1:9" ht="15">
      <c r="A4" s="35" t="str">
        <f>HLOOKUP(INDICE!$F$2,Nombres!$C$3:$D$636,32,FALSE)</f>
        <v>(Millones de euros)</v>
      </c>
      <c r="B4" s="30"/>
      <c r="C4" s="52"/>
      <c r="D4" s="52"/>
      <c r="E4" s="52"/>
      <c r="F4" s="30"/>
      <c r="G4" s="58"/>
      <c r="H4" s="58"/>
      <c r="I4" s="58"/>
    </row>
    <row r="5" spans="1:9" ht="15.75">
      <c r="A5" s="30"/>
      <c r="B5" s="53">
        <f>+España!B32</f>
        <v>44651</v>
      </c>
      <c r="C5" s="53">
        <f>+España!C32</f>
        <v>44742</v>
      </c>
      <c r="D5" s="53">
        <f>+España!D32</f>
        <v>44834</v>
      </c>
      <c r="E5" s="53">
        <f>+España!E32</f>
        <v>44926</v>
      </c>
      <c r="F5" s="53">
        <f>+España!F32</f>
        <v>45016</v>
      </c>
      <c r="G5" s="53">
        <f>+España!G32</f>
        <v>45107</v>
      </c>
      <c r="H5" s="53">
        <f>+España!H32</f>
        <v>45199</v>
      </c>
      <c r="I5" s="53">
        <f>+España!I32</f>
        <v>45291</v>
      </c>
    </row>
    <row r="6" spans="1:18" ht="15">
      <c r="A6" s="43" t="str">
        <f>HLOOKUP(INDICE!$F$2,Nombres!$C$3:$D$636,52,FALSE)</f>
        <v>Efectivo, saldos en efectivo en bancos centrales y otros depósitos a la vista</v>
      </c>
      <c r="B6" s="44">
        <v>70936.578</v>
      </c>
      <c r="C6" s="44">
        <v>81507.862</v>
      </c>
      <c r="D6" s="44">
        <v>88076.127</v>
      </c>
      <c r="E6" s="44">
        <v>79755.783</v>
      </c>
      <c r="F6" s="44">
        <v>83267.438</v>
      </c>
      <c r="G6" s="44">
        <v>71857.706</v>
      </c>
      <c r="H6" s="44">
        <v>66859.308</v>
      </c>
      <c r="I6" s="44">
        <v>75416.389</v>
      </c>
      <c r="J6" s="54"/>
      <c r="K6" s="54"/>
      <c r="O6" s="54"/>
      <c r="P6" s="54"/>
      <c r="Q6" s="54"/>
      <c r="R6" s="54"/>
    </row>
    <row r="7" spans="1:18" ht="15">
      <c r="A7" s="43" t="str">
        <f>HLOOKUP(INDICE!$F$2,Nombres!$C$3:$D$636,131,FALSE)</f>
        <v>Activos financieros mantenidos para negociar</v>
      </c>
      <c r="B7" s="44">
        <v>112131.153</v>
      </c>
      <c r="C7" s="44">
        <v>120822.86</v>
      </c>
      <c r="D7" s="44">
        <v>119965.921</v>
      </c>
      <c r="E7" s="44">
        <v>110671.495</v>
      </c>
      <c r="F7" s="44">
        <v>119877.197</v>
      </c>
      <c r="G7" s="44">
        <v>141721.411</v>
      </c>
      <c r="H7" s="44">
        <v>134804.387</v>
      </c>
      <c r="I7" s="44">
        <v>141042.137</v>
      </c>
      <c r="J7" s="54"/>
      <c r="K7" s="54"/>
      <c r="O7" s="54"/>
      <c r="P7" s="54"/>
      <c r="Q7" s="54"/>
      <c r="R7" s="54"/>
    </row>
    <row r="8" spans="1:18" ht="15">
      <c r="A8" s="43" t="str">
        <f>HLOOKUP(INDICE!$F$2,Nombres!$C$3:$D$636,132,FALSE)</f>
        <v>Activos financieros no destinados a negociación valorados obligatoriamente a valor razonable con cambios en resultados</v>
      </c>
      <c r="B8" s="44">
        <v>6624.612</v>
      </c>
      <c r="C8" s="44">
        <v>6774.555</v>
      </c>
      <c r="D8" s="44">
        <v>7290.057</v>
      </c>
      <c r="E8" s="44">
        <v>6888.171</v>
      </c>
      <c r="F8" s="44">
        <v>7226.921</v>
      </c>
      <c r="G8" s="44">
        <v>8019.458</v>
      </c>
      <c r="H8" s="44">
        <v>8489.64</v>
      </c>
      <c r="I8" s="44">
        <v>8737.173</v>
      </c>
      <c r="J8" s="54"/>
      <c r="K8" s="54"/>
      <c r="O8" s="54"/>
      <c r="P8" s="54"/>
      <c r="Q8" s="54"/>
      <c r="R8" s="54"/>
    </row>
    <row r="9" spans="1:18" ht="15">
      <c r="A9" s="43" t="str">
        <f>HLOOKUP(INDICE!$F$2,Nombres!$C$3:$D$636,133,FALSE)</f>
        <v>Activos financieros designados a valor razonable con cambios en resultados</v>
      </c>
      <c r="B9" s="44">
        <v>1035.864</v>
      </c>
      <c r="C9" s="44">
        <v>1003.087</v>
      </c>
      <c r="D9" s="44">
        <v>977.632</v>
      </c>
      <c r="E9" s="44">
        <v>912.847</v>
      </c>
      <c r="F9" s="44">
        <v>996.759</v>
      </c>
      <c r="G9" s="44">
        <v>1003.995</v>
      </c>
      <c r="H9" s="44">
        <v>939.36</v>
      </c>
      <c r="I9" s="44">
        <v>955.107</v>
      </c>
      <c r="J9" s="54"/>
      <c r="K9" s="54"/>
      <c r="O9" s="54"/>
      <c r="P9" s="54"/>
      <c r="Q9" s="54"/>
      <c r="R9" s="54"/>
    </row>
    <row r="10" spans="1:18" ht="15">
      <c r="A10" s="43" t="str">
        <f>HLOOKUP(INDICE!$F$2,Nombres!$C$3:$D$636,134,FALSE)</f>
        <v>Activos financieros designados a valor razonable con cambios en otro resultado global acumulado</v>
      </c>
      <c r="B10" s="44">
        <v>71078.877</v>
      </c>
      <c r="C10" s="44">
        <v>69569.263</v>
      </c>
      <c r="D10" s="44">
        <v>69373.563</v>
      </c>
      <c r="E10" s="44">
        <v>65374.403</v>
      </c>
      <c r="F10" s="44">
        <v>66277.337</v>
      </c>
      <c r="G10" s="44">
        <v>63979.421</v>
      </c>
      <c r="H10" s="44">
        <v>63791.593</v>
      </c>
      <c r="I10" s="44">
        <v>62204.888</v>
      </c>
      <c r="J10" s="54"/>
      <c r="K10" s="54"/>
      <c r="O10" s="54"/>
      <c r="P10" s="54"/>
      <c r="Q10" s="54"/>
      <c r="R10" s="54"/>
    </row>
    <row r="11" spans="1:18" ht="15">
      <c r="A11" s="43" t="str">
        <f>HLOOKUP(INDICE!$F$2,Nombres!$C$3:$D$636,135,FALSE)</f>
        <v>Activos financieros a coste amortizado</v>
      </c>
      <c r="B11" s="44">
        <v>381838.336</v>
      </c>
      <c r="C11" s="44">
        <v>401102.603</v>
      </c>
      <c r="D11" s="44">
        <v>418031.685</v>
      </c>
      <c r="E11" s="44">
        <v>414421.179</v>
      </c>
      <c r="F11" s="44">
        <v>427259.441</v>
      </c>
      <c r="G11" s="44">
        <v>438841.16899999994</v>
      </c>
      <c r="H11" s="44">
        <v>446045.90499999997</v>
      </c>
      <c r="I11" s="44">
        <v>451731.97500000003</v>
      </c>
      <c r="J11" s="54"/>
      <c r="K11" s="54"/>
      <c r="O11" s="54"/>
      <c r="P11" s="54"/>
      <c r="Q11" s="54"/>
      <c r="R11" s="54"/>
    </row>
    <row r="12" spans="1:18" ht="15">
      <c r="A12" s="55" t="str">
        <f>HLOOKUP(INDICE!$F$2,Nombres!$C$3:$D$636,136,FALSE)</f>
        <v>. Préstamos y anticipos en bancos centrales  y entidades de crédito</v>
      </c>
      <c r="B12" s="56">
        <v>16749.572</v>
      </c>
      <c r="C12" s="56">
        <v>19761.975</v>
      </c>
      <c r="D12" s="56">
        <v>22797.36</v>
      </c>
      <c r="E12" s="56">
        <v>20431.347</v>
      </c>
      <c r="F12" s="56">
        <v>22255.837</v>
      </c>
      <c r="G12" s="56">
        <v>24310.91</v>
      </c>
      <c r="H12" s="56">
        <v>21674.078</v>
      </c>
      <c r="I12" s="56">
        <v>24627.222</v>
      </c>
      <c r="J12" s="54"/>
      <c r="K12" s="54"/>
      <c r="O12" s="54"/>
      <c r="P12" s="54"/>
      <c r="Q12" s="54"/>
      <c r="R12" s="54"/>
    </row>
    <row r="13" spans="1:18" ht="15">
      <c r="A13" s="55" t="str">
        <f>HLOOKUP(INDICE!$F$2,Nombres!$C$3:$D$636,137,FALSE)</f>
        <v>. Préstamos y anticipos a la clientela</v>
      </c>
      <c r="B13" s="56">
        <v>334552.886</v>
      </c>
      <c r="C13" s="56">
        <v>349620.297</v>
      </c>
      <c r="D13" s="56">
        <v>361175.777</v>
      </c>
      <c r="E13" s="56">
        <v>357351.148</v>
      </c>
      <c r="F13" s="56">
        <v>362317.341</v>
      </c>
      <c r="G13" s="56">
        <v>369760.779</v>
      </c>
      <c r="H13" s="56">
        <v>376335.947</v>
      </c>
      <c r="I13" s="56">
        <v>377642.596</v>
      </c>
      <c r="J13" s="54"/>
      <c r="K13" s="54"/>
      <c r="O13" s="54"/>
      <c r="P13" s="54"/>
      <c r="Q13" s="54"/>
      <c r="R13" s="54"/>
    </row>
    <row r="14" spans="1:18" ht="15">
      <c r="A14" s="55" t="str">
        <f>HLOOKUP(INDICE!$F$2,Nombres!$C$3:$D$636,138,FALSE)</f>
        <v>. Valores representativos de deuda</v>
      </c>
      <c r="B14" s="56">
        <v>30535.878</v>
      </c>
      <c r="C14" s="56">
        <v>31720.331</v>
      </c>
      <c r="D14" s="56">
        <v>34058.548</v>
      </c>
      <c r="E14" s="56">
        <v>36638.684</v>
      </c>
      <c r="F14" s="56">
        <v>42686.263</v>
      </c>
      <c r="G14" s="56">
        <v>44769.48</v>
      </c>
      <c r="H14" s="56">
        <v>48035.88</v>
      </c>
      <c r="I14" s="56">
        <v>49462.157</v>
      </c>
      <c r="J14" s="54"/>
      <c r="K14" s="54"/>
      <c r="O14" s="54"/>
      <c r="P14" s="54"/>
      <c r="Q14" s="54"/>
      <c r="R14" s="54"/>
    </row>
    <row r="15" spans="1:18" ht="15" customHeight="1" hidden="1">
      <c r="A15" s="43" t="str">
        <f>HLOOKUP(INDICE!$F$2,Nombres!$C$3:$D$636,139,FALSE)</f>
        <v>Inversiones mantenidas hasta el vencimiento</v>
      </c>
      <c r="B15" s="57"/>
      <c r="C15" s="57"/>
      <c r="D15" s="57"/>
      <c r="E15" s="57"/>
      <c r="F15" s="57"/>
      <c r="G15" s="57"/>
      <c r="H15" s="57"/>
      <c r="I15" s="57"/>
      <c r="J15" s="54"/>
      <c r="K15" s="54"/>
      <c r="O15" s="54"/>
      <c r="P15" s="54"/>
      <c r="Q15" s="54"/>
      <c r="R15" s="54"/>
    </row>
    <row r="16" spans="1:18" ht="15">
      <c r="A16" s="43" t="str">
        <f>HLOOKUP(INDICE!$F$2,Nombres!$C$3:$D$636,140,FALSE)</f>
        <v>Inversiones en negocios conjuntos y asociadas</v>
      </c>
      <c r="B16" s="44">
        <v>911.008</v>
      </c>
      <c r="C16" s="44">
        <v>894.393</v>
      </c>
      <c r="D16" s="44">
        <v>902.557</v>
      </c>
      <c r="E16" s="44">
        <v>915.887</v>
      </c>
      <c r="F16" s="44">
        <v>919.642</v>
      </c>
      <c r="G16" s="44">
        <v>929.29</v>
      </c>
      <c r="H16" s="44">
        <v>926.207</v>
      </c>
      <c r="I16" s="44">
        <v>976.203</v>
      </c>
      <c r="J16" s="54"/>
      <c r="K16" s="54"/>
      <c r="O16" s="54"/>
      <c r="P16" s="54"/>
      <c r="Q16" s="54"/>
      <c r="R16" s="54"/>
    </row>
    <row r="17" spans="1:18" ht="15">
      <c r="A17" s="43" t="str">
        <f>HLOOKUP(INDICE!$F$2,Nombres!$C$3:$D$636,56,FALSE)</f>
        <v>Activos tangibles</v>
      </c>
      <c r="B17" s="44">
        <v>7628.42</v>
      </c>
      <c r="C17" s="44">
        <v>8336.727</v>
      </c>
      <c r="D17" s="44">
        <v>8566.853</v>
      </c>
      <c r="E17" s="44">
        <v>8737.019</v>
      </c>
      <c r="F17" s="44">
        <v>8945.243</v>
      </c>
      <c r="G17" s="44">
        <v>8891.825</v>
      </c>
      <c r="H17" s="44">
        <v>9385.091</v>
      </c>
      <c r="I17" s="44">
        <v>9253.404</v>
      </c>
      <c r="J17" s="54"/>
      <c r="K17" s="54"/>
      <c r="O17" s="54"/>
      <c r="P17" s="54"/>
      <c r="Q17" s="54"/>
      <c r="R17" s="54"/>
    </row>
    <row r="18" spans="1:18" ht="15">
      <c r="A18" s="43" t="str">
        <f>HLOOKUP(INDICE!$F$2,Nombres!$C$3:$D$636,141,FALSE)</f>
        <v>Activos Intangibles</v>
      </c>
      <c r="B18" s="44">
        <v>2055.793</v>
      </c>
      <c r="C18" s="44">
        <v>2139.492</v>
      </c>
      <c r="D18" s="44">
        <v>2210.858</v>
      </c>
      <c r="E18" s="44">
        <v>2156.35</v>
      </c>
      <c r="F18" s="44">
        <v>2208.687</v>
      </c>
      <c r="G18" s="44">
        <v>2283.689</v>
      </c>
      <c r="H18" s="44">
        <v>2310.34</v>
      </c>
      <c r="I18" s="44">
        <v>2362.553</v>
      </c>
      <c r="J18" s="54"/>
      <c r="K18" s="54"/>
      <c r="O18" s="54"/>
      <c r="P18" s="54"/>
      <c r="Q18" s="54"/>
      <c r="R18" s="54"/>
    </row>
    <row r="19" spans="1:18" ht="15">
      <c r="A19" s="43" t="str">
        <f>HLOOKUP(INDICE!$F$2,Nombres!$C$3:$D$636,57,FALSE)</f>
        <v>Otros activos</v>
      </c>
      <c r="B19" s="44">
        <v>21465.379999999997</v>
      </c>
      <c r="C19" s="44">
        <v>22575.609999999997</v>
      </c>
      <c r="D19" s="44">
        <v>22494.444</v>
      </c>
      <c r="E19" s="44">
        <v>22259.089</v>
      </c>
      <c r="F19" s="44">
        <v>22585.616999999995</v>
      </c>
      <c r="G19" s="44">
        <v>24928.332</v>
      </c>
      <c r="H19" s="44">
        <v>24183.760000000002</v>
      </c>
      <c r="I19" s="44">
        <v>22878.458</v>
      </c>
      <c r="J19" s="54"/>
      <c r="K19" s="54"/>
      <c r="O19" s="54"/>
      <c r="P19" s="54"/>
      <c r="Q19" s="54"/>
      <c r="R19" s="54"/>
    </row>
    <row r="20" spans="1:18" ht="15">
      <c r="A20" s="47" t="str">
        <f>HLOOKUP(INDICE!$F$2,Nombres!$C$3:$D$636,58,FALSE)</f>
        <v>Total activo / pasivo</v>
      </c>
      <c r="B20" s="47">
        <f aca="true" t="shared" si="0" ref="B20:I20">+SUM(B6:B11,B16:B19)</f>
        <v>675706.021</v>
      </c>
      <c r="C20" s="47">
        <f t="shared" si="0"/>
        <v>714726.4519999999</v>
      </c>
      <c r="D20" s="47">
        <f t="shared" si="0"/>
        <v>737889.6970000002</v>
      </c>
      <c r="E20" s="47">
        <f t="shared" si="0"/>
        <v>712092.223</v>
      </c>
      <c r="F20" s="47">
        <f t="shared" si="0"/>
        <v>739564.282</v>
      </c>
      <c r="G20" s="47">
        <f t="shared" si="0"/>
        <v>762456.296</v>
      </c>
      <c r="H20" s="47">
        <f t="shared" si="0"/>
        <v>757735.591</v>
      </c>
      <c r="I20" s="47">
        <f t="shared" si="0"/>
        <v>775558.2869999999</v>
      </c>
      <c r="J20" s="54"/>
      <c r="K20" s="54"/>
      <c r="O20" s="54"/>
      <c r="P20" s="54"/>
      <c r="Q20" s="54"/>
      <c r="R20" s="54"/>
    </row>
    <row r="21" spans="1:18" ht="15">
      <c r="A21" s="43" t="str">
        <f>HLOOKUP(INDICE!$F$2,Nombres!$C$3:$D$636,59,FALSE)</f>
        <v>Pasivos financieros mantenidos para negociar y designados a valor razonable con cambios en resultados</v>
      </c>
      <c r="B21" s="58">
        <v>85960.376</v>
      </c>
      <c r="C21" s="58">
        <v>102304.847</v>
      </c>
      <c r="D21" s="58">
        <v>104534.31</v>
      </c>
      <c r="E21" s="58">
        <v>95611.195</v>
      </c>
      <c r="F21" s="58">
        <v>107184.694</v>
      </c>
      <c r="G21" s="58">
        <v>127331.597</v>
      </c>
      <c r="H21" s="58">
        <v>118276.438</v>
      </c>
      <c r="I21" s="58">
        <v>121715.164</v>
      </c>
      <c r="O21" s="54"/>
      <c r="P21" s="54"/>
      <c r="Q21" s="54"/>
      <c r="R21" s="54"/>
    </row>
    <row r="22" spans="1:18" ht="15">
      <c r="A22" s="43" t="str">
        <f>HLOOKUP(INDICE!$F$2,Nombres!$C$3:$D$636,142,FALSE)</f>
        <v>Pasivos financieros designados a valor razonable con cambios en resultados</v>
      </c>
      <c r="B22" s="58">
        <v>9761.475</v>
      </c>
      <c r="C22" s="58">
        <v>9878.266</v>
      </c>
      <c r="D22" s="58">
        <v>10677.657</v>
      </c>
      <c r="E22" s="58">
        <v>10579.771</v>
      </c>
      <c r="F22" s="58">
        <v>11309.111</v>
      </c>
      <c r="G22" s="58">
        <v>12576.711</v>
      </c>
      <c r="H22" s="58">
        <v>12861.577</v>
      </c>
      <c r="I22" s="58">
        <v>13299.276</v>
      </c>
      <c r="J22" s="59"/>
      <c r="K22" s="59"/>
      <c r="L22" s="59"/>
      <c r="M22" s="59"/>
      <c r="N22" s="59"/>
      <c r="O22" s="54"/>
      <c r="P22" s="54"/>
      <c r="Q22" s="54"/>
      <c r="R22" s="54"/>
    </row>
    <row r="23" spans="1:18" ht="15">
      <c r="A23" s="43" t="str">
        <f>HLOOKUP(INDICE!$F$2,Nombres!$C$3:$D$636,143,FALSE)</f>
        <v>Pasivos financieros a coste amortizado</v>
      </c>
      <c r="B23" s="58">
        <v>504940.081</v>
      </c>
      <c r="C23" s="58">
        <v>527828.037</v>
      </c>
      <c r="D23" s="58">
        <v>545287.665</v>
      </c>
      <c r="E23" s="58">
        <v>529172.494</v>
      </c>
      <c r="F23" s="58">
        <v>542326.16</v>
      </c>
      <c r="G23" s="58">
        <v>541670.705</v>
      </c>
      <c r="H23" s="58">
        <v>544853.388</v>
      </c>
      <c r="I23" s="58">
        <v>557588.607</v>
      </c>
      <c r="J23" s="59"/>
      <c r="K23" s="59"/>
      <c r="L23" s="59"/>
      <c r="M23" s="59"/>
      <c r="N23" s="59"/>
      <c r="O23" s="54"/>
      <c r="P23" s="54"/>
      <c r="Q23" s="54"/>
      <c r="R23" s="54"/>
    </row>
    <row r="24" spans="1:18" ht="15">
      <c r="A24" s="55" t="str">
        <f>HLOOKUP(INDICE!$F$2,Nombres!$C$3:$D$636,60,FALSE)</f>
        <v>Depósitos de bancos centrales y entidades de crédito</v>
      </c>
      <c r="B24" s="58">
        <v>73160.91500000001</v>
      </c>
      <c r="C24" s="58">
        <v>79126.674</v>
      </c>
      <c r="D24" s="58">
        <v>84196.282</v>
      </c>
      <c r="E24" s="58">
        <v>65257.985</v>
      </c>
      <c r="F24" s="58">
        <v>75109.21800000001</v>
      </c>
      <c r="G24" s="58">
        <v>59961.331</v>
      </c>
      <c r="H24" s="58">
        <v>60139.583</v>
      </c>
      <c r="I24" s="58">
        <v>60348.846000000005</v>
      </c>
      <c r="O24" s="54"/>
      <c r="P24" s="54"/>
      <c r="Q24" s="54"/>
      <c r="R24" s="54"/>
    </row>
    <row r="25" spans="1:18" ht="15">
      <c r="A25" s="55" t="str">
        <f>HLOOKUP(INDICE!$F$2,Nombres!$C$3:$D$636,61,FALSE)</f>
        <v>Depósitos de la clientela</v>
      </c>
      <c r="B25" s="58">
        <v>361194.71</v>
      </c>
      <c r="C25" s="58">
        <v>377539.811</v>
      </c>
      <c r="D25" s="58">
        <v>390277.038</v>
      </c>
      <c r="E25" s="58">
        <v>394403.99</v>
      </c>
      <c r="F25" s="58">
        <v>395879.937</v>
      </c>
      <c r="G25" s="58">
        <v>402343.774</v>
      </c>
      <c r="H25" s="58">
        <v>403860.74</v>
      </c>
      <c r="I25" s="58">
        <v>413486.538</v>
      </c>
      <c r="O25" s="54"/>
      <c r="P25" s="54"/>
      <c r="Q25" s="54"/>
      <c r="R25" s="54"/>
    </row>
    <row r="26" spans="1:18" ht="15">
      <c r="A26" s="55" t="str">
        <f>HLOOKUP(INDICE!$F$2,Nombres!$C$3:$D$636,62,FALSE)</f>
        <v>Valores representativos de deuda emitidos</v>
      </c>
      <c r="B26" s="58">
        <v>53539.702</v>
      </c>
      <c r="C26" s="58">
        <v>54757.069</v>
      </c>
      <c r="D26" s="58">
        <v>54811.115</v>
      </c>
      <c r="E26" s="58">
        <v>55429.375</v>
      </c>
      <c r="F26" s="58">
        <v>54586.157</v>
      </c>
      <c r="G26" s="58">
        <v>63158.292</v>
      </c>
      <c r="H26" s="58">
        <v>65241.369</v>
      </c>
      <c r="I26" s="58">
        <v>68707.366</v>
      </c>
      <c r="O26" s="54"/>
      <c r="P26" s="54"/>
      <c r="Q26" s="54"/>
      <c r="R26" s="54"/>
    </row>
    <row r="27" spans="1:18" ht="15">
      <c r="A27" s="55" t="str">
        <f>HLOOKUP(INDICE!$F$2,Nombres!$C$3:$D$636,144,FALSE)</f>
        <v>. Otros pasivos financieros</v>
      </c>
      <c r="B27" s="58">
        <v>17044.754</v>
      </c>
      <c r="C27" s="58">
        <v>16404.483</v>
      </c>
      <c r="D27" s="58">
        <v>16003.23</v>
      </c>
      <c r="E27" s="58">
        <v>14081.144</v>
      </c>
      <c r="F27" s="58">
        <v>16750.848</v>
      </c>
      <c r="G27" s="58">
        <v>16207.308</v>
      </c>
      <c r="H27" s="58">
        <v>15611.696</v>
      </c>
      <c r="I27" s="58">
        <v>15045.857</v>
      </c>
      <c r="O27" s="54"/>
      <c r="P27" s="54"/>
      <c r="Q27" s="54"/>
      <c r="R27" s="54"/>
    </row>
    <row r="28" spans="1:18" ht="15">
      <c r="A28" s="43" t="str">
        <f>HLOOKUP(INDICE!$F$2,Nombres!$C$3:$D$636,145,FALSE)</f>
        <v>Pasivos amparados por contratos de seguros o reaseguro</v>
      </c>
      <c r="B28" s="58">
        <v>9620.091</v>
      </c>
      <c r="C28" s="58">
        <v>10323.624</v>
      </c>
      <c r="D28" s="58">
        <v>10786.571</v>
      </c>
      <c r="E28" s="58">
        <v>10130.773</v>
      </c>
      <c r="F28" s="58">
        <v>11009.56</v>
      </c>
      <c r="G28" s="58">
        <v>11537.468</v>
      </c>
      <c r="H28" s="58">
        <v>11259.652</v>
      </c>
      <c r="I28" s="58">
        <v>12109.757</v>
      </c>
      <c r="O28" s="54"/>
      <c r="P28" s="54"/>
      <c r="Q28" s="54"/>
      <c r="R28" s="54"/>
    </row>
    <row r="29" spans="1:18" ht="15">
      <c r="A29" s="43" t="str">
        <f>HLOOKUP(INDICE!$F$2,Nombres!$C$3:$D$636,63,FALSE)</f>
        <v>Otros pasivos</v>
      </c>
      <c r="B29" s="58">
        <v>16576.647</v>
      </c>
      <c r="C29" s="58">
        <v>15634.974999999999</v>
      </c>
      <c r="D29" s="58">
        <v>16770.589000000004</v>
      </c>
      <c r="E29" s="58">
        <v>16081.094</v>
      </c>
      <c r="F29" s="58">
        <v>16263.476999999999</v>
      </c>
      <c r="G29" s="58">
        <v>16771.393</v>
      </c>
      <c r="H29" s="58">
        <v>17031.874</v>
      </c>
      <c r="I29" s="58">
        <v>15580.024</v>
      </c>
      <c r="O29" s="54"/>
      <c r="P29" s="54"/>
      <c r="Q29" s="54"/>
      <c r="R29" s="54"/>
    </row>
    <row r="30" spans="1:18" ht="15">
      <c r="A30" s="41" t="str">
        <f>HLOOKUP(INDICE!$F$2,Nombres!$C$3:$D$636,146,FALSE)</f>
        <v>Total pasivo</v>
      </c>
      <c r="B30" s="60">
        <f aca="true" t="shared" si="1" ref="B30:I30">+SUM(B21:B23,B28:B29)</f>
        <v>626858.67</v>
      </c>
      <c r="C30" s="60">
        <f t="shared" si="1"/>
        <v>665969.749</v>
      </c>
      <c r="D30" s="60">
        <f t="shared" si="1"/>
        <v>688056.792</v>
      </c>
      <c r="E30" s="60">
        <f t="shared" si="1"/>
        <v>661575.327</v>
      </c>
      <c r="F30" s="60">
        <f t="shared" si="1"/>
        <v>688093.0020000001</v>
      </c>
      <c r="G30" s="60">
        <f t="shared" si="1"/>
        <v>709887.874</v>
      </c>
      <c r="H30" s="60">
        <f t="shared" si="1"/>
        <v>704282.929</v>
      </c>
      <c r="I30" s="60">
        <f t="shared" si="1"/>
        <v>720292.828</v>
      </c>
      <c r="O30" s="54"/>
      <c r="P30" s="54"/>
      <c r="Q30" s="54"/>
      <c r="R30" s="54"/>
    </row>
    <row r="31" spans="1:18" ht="15" customHeight="1" hidden="1">
      <c r="A31" s="41"/>
      <c r="B31" s="60"/>
      <c r="C31" s="60"/>
      <c r="D31" s="60"/>
      <c r="E31" s="60"/>
      <c r="F31" s="60"/>
      <c r="G31" s="60"/>
      <c r="H31" s="60"/>
      <c r="I31" s="60"/>
      <c r="O31" s="54"/>
      <c r="P31" s="54"/>
      <c r="Q31" s="54"/>
      <c r="R31" s="54"/>
    </row>
    <row r="32" spans="1:18" ht="15" customHeight="1" hidden="1">
      <c r="A32" s="43" t="str">
        <f>HLOOKUP(INDICE!$F$2,Nombres!$C$3:$D$636,147,FALSE)</f>
        <v>Intereses minoritarios</v>
      </c>
      <c r="B32" s="58">
        <v>5509.942</v>
      </c>
      <c r="C32" s="58">
        <v>3348.467</v>
      </c>
      <c r="D32" s="58">
        <v>3651.868</v>
      </c>
      <c r="E32" s="58">
        <v>3623.117</v>
      </c>
      <c r="F32" s="58">
        <v>3680.425</v>
      </c>
      <c r="G32" s="58">
        <v>3517.235</v>
      </c>
      <c r="H32" s="58">
        <v>3703.031</v>
      </c>
      <c r="I32" s="58">
        <v>3564.162</v>
      </c>
      <c r="O32" s="54"/>
      <c r="P32" s="54"/>
      <c r="Q32" s="54"/>
      <c r="R32" s="54"/>
    </row>
    <row r="33" spans="1:18" ht="15" customHeight="1" hidden="1">
      <c r="A33" s="43" t="str">
        <f>HLOOKUP(INDICE!$F$2,Nombres!$C$3:$D$636,148,FALSE)</f>
        <v>Otro resultado global acumulado</v>
      </c>
      <c r="B33" s="58">
        <v>-14108.811</v>
      </c>
      <c r="C33" s="58">
        <v>-16617.39</v>
      </c>
      <c r="D33" s="58">
        <v>-16838.153</v>
      </c>
      <c r="E33" s="58">
        <v>-17641.525</v>
      </c>
      <c r="F33" s="58">
        <v>-16194.917</v>
      </c>
      <c r="G33" s="58">
        <v>-16918.639</v>
      </c>
      <c r="H33" s="58">
        <v>-16212.995</v>
      </c>
      <c r="I33" s="58">
        <v>-16253.799</v>
      </c>
      <c r="O33" s="54"/>
      <c r="P33" s="54"/>
      <c r="Q33" s="54"/>
      <c r="R33" s="54"/>
    </row>
    <row r="34" spans="1:18" ht="15" customHeight="1" hidden="1">
      <c r="A34" s="43" t="str">
        <f>HLOOKUP(INDICE!$F$2,Nombres!$C$3:$D$636,149,FALSE)</f>
        <v>Fondos propios</v>
      </c>
      <c r="B34" s="58">
        <v>57446.217999999986</v>
      </c>
      <c r="C34" s="58">
        <v>62025.626</v>
      </c>
      <c r="D34" s="58">
        <v>63019.19</v>
      </c>
      <c r="E34" s="58">
        <v>64535.304000000004</v>
      </c>
      <c r="F34" s="58">
        <v>63985.772</v>
      </c>
      <c r="G34" s="58">
        <v>65969.826</v>
      </c>
      <c r="H34" s="58">
        <v>65962.626</v>
      </c>
      <c r="I34" s="58">
        <v>67955.096</v>
      </c>
      <c r="O34" s="54"/>
      <c r="P34" s="54"/>
      <c r="Q34" s="54"/>
      <c r="R34" s="54"/>
    </row>
    <row r="35" spans="1:18" ht="15">
      <c r="A35" s="41" t="str">
        <f>HLOOKUP(INDICE!$F$2,Nombres!$C$3:$D$636,150,FALSE)</f>
        <v>Patrimonio neto</v>
      </c>
      <c r="B35" s="60">
        <f aca="true" t="shared" si="2" ref="B35:I35">+B32+B33+B34</f>
        <v>48847.34899999999</v>
      </c>
      <c r="C35" s="60">
        <f t="shared" si="2"/>
        <v>48756.702999999994</v>
      </c>
      <c r="D35" s="60">
        <f t="shared" si="2"/>
        <v>49832.905000000006</v>
      </c>
      <c r="E35" s="60">
        <f t="shared" si="2"/>
        <v>50516.896</v>
      </c>
      <c r="F35" s="60">
        <f t="shared" si="2"/>
        <v>51471.28</v>
      </c>
      <c r="G35" s="60">
        <f t="shared" si="2"/>
        <v>52568.422000000006</v>
      </c>
      <c r="H35" s="60">
        <f t="shared" si="2"/>
        <v>53452.662000000004</v>
      </c>
      <c r="I35" s="60">
        <f t="shared" si="2"/>
        <v>55265.459</v>
      </c>
      <c r="O35" s="54"/>
      <c r="P35" s="54"/>
      <c r="Q35" s="54"/>
      <c r="R35" s="54"/>
    </row>
    <row r="36" spans="1:18" ht="15">
      <c r="A36" s="43"/>
      <c r="B36" s="58"/>
      <c r="C36" s="58"/>
      <c r="D36" s="58"/>
      <c r="E36" s="58"/>
      <c r="F36" s="58"/>
      <c r="G36" s="58"/>
      <c r="H36" s="58"/>
      <c r="I36" s="58"/>
      <c r="O36" s="54"/>
      <c r="P36" s="54"/>
      <c r="Q36" s="54"/>
      <c r="R36" s="54"/>
    </row>
    <row r="37" spans="1:18" ht="15">
      <c r="A37" s="47" t="str">
        <f>HLOOKUP(INDICE!$F$2,Nombres!$C$3:$D$636,151,FALSE)</f>
        <v>Total patrimonio neto y pasivo</v>
      </c>
      <c r="B37" s="47">
        <f>+B20</f>
        <v>675706.021</v>
      </c>
      <c r="C37" s="47">
        <f aca="true" t="shared" si="3" ref="C37:I37">+C20</f>
        <v>714726.4519999999</v>
      </c>
      <c r="D37" s="47">
        <f t="shared" si="3"/>
        <v>737889.6970000002</v>
      </c>
      <c r="E37" s="47">
        <f t="shared" si="3"/>
        <v>712092.223</v>
      </c>
      <c r="F37" s="47">
        <f t="shared" si="3"/>
        <v>739564.282</v>
      </c>
      <c r="G37" s="47">
        <f t="shared" si="3"/>
        <v>762456.296</v>
      </c>
      <c r="H37" s="47">
        <f t="shared" si="3"/>
        <v>757735.591</v>
      </c>
      <c r="I37" s="47">
        <f t="shared" si="3"/>
        <v>775558.2869999999</v>
      </c>
      <c r="O37" s="54"/>
      <c r="P37" s="54"/>
      <c r="Q37" s="54"/>
      <c r="R37" s="54"/>
    </row>
    <row r="38" spans="1:9" ht="15">
      <c r="A38" s="43"/>
      <c r="B38" s="61">
        <f aca="true" t="shared" si="4" ref="B38:I38">+B37-B20</f>
        <v>0</v>
      </c>
      <c r="C38" s="61">
        <f t="shared" si="4"/>
        <v>0</v>
      </c>
      <c r="D38" s="61">
        <f t="shared" si="4"/>
        <v>0</v>
      </c>
      <c r="E38" s="61">
        <f t="shared" si="4"/>
        <v>0</v>
      </c>
      <c r="F38" s="61">
        <f t="shared" si="4"/>
        <v>0</v>
      </c>
      <c r="G38" s="61">
        <f t="shared" si="4"/>
        <v>0</v>
      </c>
      <c r="H38" s="61">
        <f t="shared" si="4"/>
        <v>0</v>
      </c>
      <c r="I38" s="61">
        <f t="shared" si="4"/>
        <v>0</v>
      </c>
    </row>
    <row r="39" spans="1:9" ht="15">
      <c r="A39" s="43"/>
      <c r="B39" s="61">
        <f aca="true" t="shared" si="5" ref="B39:I39">+B6+B7+B8+B9+B10+B11+B16+B17+B18+B19-B20</f>
        <v>0</v>
      </c>
      <c r="C39" s="61">
        <f t="shared" si="5"/>
        <v>0</v>
      </c>
      <c r="D39" s="61">
        <f t="shared" si="5"/>
        <v>0</v>
      </c>
      <c r="E39" s="61">
        <f t="shared" si="5"/>
        <v>0</v>
      </c>
      <c r="F39" s="61">
        <f t="shared" si="5"/>
        <v>0</v>
      </c>
      <c r="G39" s="61">
        <f t="shared" si="5"/>
        <v>0</v>
      </c>
      <c r="H39" s="61">
        <f t="shared" si="5"/>
        <v>0</v>
      </c>
      <c r="I39" s="61">
        <f t="shared" si="5"/>
        <v>0</v>
      </c>
    </row>
    <row r="40" spans="1:9" ht="66.75" customHeight="1">
      <c r="A40" s="300"/>
      <c r="B40" s="300"/>
      <c r="C40" s="300"/>
      <c r="D40" s="300"/>
      <c r="E40" s="300"/>
      <c r="F40" s="300"/>
      <c r="G40" s="300"/>
      <c r="H40" s="300"/>
      <c r="I40" s="300"/>
    </row>
    <row r="41" spans="1:9" ht="15">
      <c r="A41" s="62"/>
      <c r="B41" s="58"/>
      <c r="C41" s="58"/>
      <c r="D41" s="58"/>
      <c r="E41" s="58"/>
      <c r="F41" s="58"/>
      <c r="G41" s="58"/>
      <c r="H41" s="58"/>
      <c r="I41" s="58"/>
    </row>
    <row r="42" spans="1:9" ht="15">
      <c r="A42" s="43"/>
      <c r="B42" s="58"/>
      <c r="C42" s="58"/>
      <c r="D42" s="58"/>
      <c r="E42" s="58"/>
      <c r="F42" s="58"/>
      <c r="G42" s="58"/>
      <c r="H42" s="58"/>
      <c r="I42" s="58"/>
    </row>
    <row r="43" spans="1:9" ht="15">
      <c r="A43" s="62"/>
      <c r="B43" s="273">
        <v>-0.001000039977952838</v>
      </c>
      <c r="C43" s="273">
        <v>-2.0139850676059723E-08</v>
      </c>
      <c r="D43" s="273">
        <v>2.991873770952225E-08</v>
      </c>
      <c r="E43" s="273">
        <v>-3.0499999411404133E-05</v>
      </c>
      <c r="F43" s="273">
        <v>3.969762474298477E-08</v>
      </c>
      <c r="G43" s="273">
        <v>-1.00000761449337E-07</v>
      </c>
      <c r="H43" s="273">
        <v>-5.995389074087143E-08</v>
      </c>
      <c r="I43" s="273">
        <v>-3.6400742828845978E-06</v>
      </c>
    </row>
    <row r="44" ht="15">
      <c r="B44" s="54"/>
    </row>
    <row r="46" ht="15">
      <c r="B46" s="54"/>
    </row>
    <row r="1000" ht="15">
      <c r="A1000" s="31" t="s">
        <v>391</v>
      </c>
    </row>
  </sheetData>
  <sheetProtection/>
  <mergeCells count="1">
    <mergeCell ref="A40:I40"/>
  </mergeCells>
  <conditionalFormatting sqref="F39:I39">
    <cfRule type="cellIs" priority="11" dxfId="132" operator="notBetween">
      <formula>0.5</formula>
      <formula>-0.5</formula>
    </cfRule>
  </conditionalFormatting>
  <conditionalFormatting sqref="I38">
    <cfRule type="cellIs" priority="10" dxfId="78" operator="notBetween">
      <formula>0.001</formula>
      <formula>-0.001</formula>
    </cfRule>
  </conditionalFormatting>
  <conditionalFormatting sqref="H38">
    <cfRule type="cellIs" priority="9" dxfId="78" operator="notBetween">
      <formula>0.001</formula>
      <formula>-0.001</formula>
    </cfRule>
  </conditionalFormatting>
  <conditionalFormatting sqref="G38">
    <cfRule type="cellIs" priority="8" dxfId="78" operator="notBetween">
      <formula>0.001</formula>
      <formula>-0.001</formula>
    </cfRule>
  </conditionalFormatting>
  <conditionalFormatting sqref="F38">
    <cfRule type="cellIs" priority="7" dxfId="78" operator="notBetween">
      <formula>0.001</formula>
      <formula>-0.001</formula>
    </cfRule>
  </conditionalFormatting>
  <conditionalFormatting sqref="B39:E39">
    <cfRule type="cellIs" priority="6" dxfId="132" operator="notBetween">
      <formula>0.5</formula>
      <formula>-0.5</formula>
    </cfRule>
  </conditionalFormatting>
  <conditionalFormatting sqref="E38">
    <cfRule type="cellIs" priority="5" dxfId="78" operator="notBetween">
      <formula>0.001</formula>
      <formula>-0.001</formula>
    </cfRule>
  </conditionalFormatting>
  <conditionalFormatting sqref="D38">
    <cfRule type="cellIs" priority="4" dxfId="78" operator="notBetween">
      <formula>0.001</formula>
      <formula>-0.001</formula>
    </cfRule>
  </conditionalFormatting>
  <conditionalFormatting sqref="C38">
    <cfRule type="cellIs" priority="3" dxfId="78" operator="notBetween">
      <formula>0.001</formula>
      <formula>-0.001</formula>
    </cfRule>
  </conditionalFormatting>
  <conditionalFormatting sqref="B38">
    <cfRule type="cellIs" priority="2" dxfId="78" operator="notBetween">
      <formula>0.001</formula>
      <formula>-0.001</formula>
    </cfRule>
  </conditionalFormatting>
  <conditionalFormatting sqref="B43:I43">
    <cfRule type="cellIs" priority="1" dxfId="132" operator="notBetween">
      <formula>0.1</formula>
      <formula>-0.1</formula>
    </cfRule>
  </conditionalFormatting>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K1002"/>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8">
      <c r="A1" s="29" t="str">
        <f>HLOOKUP(INDICE!$F$2,Nombres!$C$3:$D$636,7,FALSE)</f>
        <v>España</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1">
        <v>2022</v>
      </c>
      <c r="C6" s="301"/>
      <c r="D6" s="301"/>
      <c r="E6" s="302"/>
      <c r="F6" s="301">
        <v>2023</v>
      </c>
      <c r="G6" s="301"/>
      <c r="H6" s="301"/>
      <c r="I6" s="301"/>
    </row>
    <row r="7" spans="1:9" ht="15.75">
      <c r="A7" s="38"/>
      <c r="B7" s="39" t="str">
        <f>HLOOKUP(INDICE!$F$2,Nombres!$C$3:$D$636,167,FALSE)</f>
        <v>1er Trim.</v>
      </c>
      <c r="C7" s="39" t="str">
        <f>HLOOKUP(INDICE!$F$2,Nombres!$C$3:$D$636,168,FALSE)</f>
        <v>2º Trim.</v>
      </c>
      <c r="D7" s="39" t="str">
        <f>HLOOKUP(INDICE!$F$2,Nombres!$C$3:$D$636,169,FALSE)</f>
        <v>3er Trim.</v>
      </c>
      <c r="E7" s="40" t="str">
        <f>HLOOKUP(INDICE!$F$2,Nombres!$C$3:$D$636,170,FALSE)</f>
        <v>4º Trim.</v>
      </c>
      <c r="F7" s="39" t="str">
        <f>HLOOKUP(INDICE!$F$2,Nombres!$C$3:$D$636,167,FALSE)</f>
        <v>1er Trim.</v>
      </c>
      <c r="G7" s="39" t="str">
        <f>HLOOKUP(INDICE!$F$2,Nombres!$C$3:$D$636,168,FALSE)</f>
        <v>2º Trim.</v>
      </c>
      <c r="H7" s="39" t="str">
        <f>HLOOKUP(INDICE!$F$2,Nombres!$C$3:$D$636,169,FALSE)</f>
        <v>3er Trim.</v>
      </c>
      <c r="I7" s="39" t="str">
        <f>HLOOKUP(INDICE!$F$2,Nombres!$C$3:$D$636,170,FALSE)</f>
        <v>4º Trim.</v>
      </c>
    </row>
    <row r="8" spans="1:9" ht="15">
      <c r="A8" s="41" t="str">
        <f>HLOOKUP(INDICE!$F$2,Nombres!$C$3:$D$636,33,FALSE)</f>
        <v>Margen de intereses</v>
      </c>
      <c r="B8" s="41">
        <v>855.98929159</v>
      </c>
      <c r="C8" s="41">
        <v>901.6803123599999</v>
      </c>
      <c r="D8" s="41">
        <v>929.5831248</v>
      </c>
      <c r="E8" s="42">
        <v>1086.61002732</v>
      </c>
      <c r="F8" s="50">
        <v>1183.1265969400001</v>
      </c>
      <c r="G8" s="50">
        <v>1360.4204608900002</v>
      </c>
      <c r="H8" s="50">
        <v>1509.8665188200007</v>
      </c>
      <c r="I8" s="50">
        <v>1567.0196380799991</v>
      </c>
    </row>
    <row r="9" spans="1:9" ht="15">
      <c r="A9" s="43" t="str">
        <f>HLOOKUP(INDICE!$F$2,Nombres!$C$3:$D$636,34,FALSE)</f>
        <v>Comisiones netas</v>
      </c>
      <c r="B9" s="44">
        <v>535.91236317</v>
      </c>
      <c r="C9" s="44">
        <v>573.70166227</v>
      </c>
      <c r="D9" s="44">
        <v>525.69555074</v>
      </c>
      <c r="E9" s="45">
        <v>520.7846413</v>
      </c>
      <c r="F9" s="44">
        <v>535.73882741</v>
      </c>
      <c r="G9" s="44">
        <v>557.21435452</v>
      </c>
      <c r="H9" s="44">
        <v>509.78978137999997</v>
      </c>
      <c r="I9" s="44">
        <v>560.9543744299999</v>
      </c>
    </row>
    <row r="10" spans="1:9" ht="15">
      <c r="A10" s="43" t="str">
        <f>HLOOKUP(INDICE!$F$2,Nombres!$C$3:$D$636,35,FALSE)</f>
        <v>Resultados de operaciones financieras</v>
      </c>
      <c r="B10" s="44">
        <v>189.81198705999998</v>
      </c>
      <c r="C10" s="44">
        <v>98.29681838999998</v>
      </c>
      <c r="D10" s="44">
        <v>41.02341377000002</v>
      </c>
      <c r="E10" s="45">
        <v>66.6324375</v>
      </c>
      <c r="F10" s="44">
        <v>119.69593746000001</v>
      </c>
      <c r="G10" s="44">
        <v>98.07707902999996</v>
      </c>
      <c r="H10" s="44">
        <v>91.02011445</v>
      </c>
      <c r="I10" s="44">
        <v>100.45714398000001</v>
      </c>
    </row>
    <row r="11" spans="1:9" ht="15">
      <c r="A11" s="43" t="str">
        <f>HLOOKUP(INDICE!$F$2,Nombres!$C$3:$D$636,36,FALSE)</f>
        <v>Otros ingresos y cargas de explotación</v>
      </c>
      <c r="B11" s="44">
        <v>72.99327926000001</v>
      </c>
      <c r="C11" s="44">
        <v>-178.81962994000003</v>
      </c>
      <c r="D11" s="44">
        <v>74.41022848999995</v>
      </c>
      <c r="E11" s="45">
        <v>-182.6010966199999</v>
      </c>
      <c r="F11" s="44">
        <v>-112.19607180000006</v>
      </c>
      <c r="G11" s="44">
        <v>-112.23299972999999</v>
      </c>
      <c r="H11" s="44">
        <v>92.82176255999998</v>
      </c>
      <c r="I11" s="44">
        <v>-173.44246307999987</v>
      </c>
    </row>
    <row r="12" spans="1:9" ht="15">
      <c r="A12" s="41" t="str">
        <f>HLOOKUP(INDICE!$F$2,Nombres!$C$3:$D$636,37,FALSE)</f>
        <v>Margen bruto</v>
      </c>
      <c r="B12" s="41">
        <f>+SUM(B8:B11)</f>
        <v>1654.7069210799998</v>
      </c>
      <c r="C12" s="41">
        <f aca="true" t="shared" si="0" ref="C12:I12">+SUM(C8:C11)</f>
        <v>1394.8591630800001</v>
      </c>
      <c r="D12" s="41">
        <f t="shared" si="0"/>
        <v>1570.7123178</v>
      </c>
      <c r="E12" s="42">
        <f t="shared" si="0"/>
        <v>1491.4260095</v>
      </c>
      <c r="F12" s="50">
        <f t="shared" si="0"/>
        <v>1726.36529001</v>
      </c>
      <c r="G12" s="50">
        <f t="shared" si="0"/>
        <v>1903.47889471</v>
      </c>
      <c r="H12" s="50">
        <f t="shared" si="0"/>
        <v>2203.498177210001</v>
      </c>
      <c r="I12" s="50">
        <f t="shared" si="0"/>
        <v>2054.988693409999</v>
      </c>
    </row>
    <row r="13" spans="1:9" ht="15">
      <c r="A13" s="43" t="str">
        <f>HLOOKUP(INDICE!$F$2,Nombres!$C$3:$D$636,38,FALSE)</f>
        <v>Gastos de explotación</v>
      </c>
      <c r="B13" s="44">
        <v>-708.8829448500001</v>
      </c>
      <c r="C13" s="44">
        <v>-716.2412029300001</v>
      </c>
      <c r="D13" s="44">
        <v>-718.6222397700001</v>
      </c>
      <c r="E13" s="45">
        <v>-757.59103274</v>
      </c>
      <c r="F13" s="44">
        <v>-752.7970695700001</v>
      </c>
      <c r="G13" s="44">
        <v>-764.0044159299998</v>
      </c>
      <c r="H13" s="44">
        <v>-784.3309907799999</v>
      </c>
      <c r="I13" s="44">
        <v>-844.1675118699999</v>
      </c>
    </row>
    <row r="14" spans="1:9" ht="15">
      <c r="A14" s="43" t="str">
        <f>HLOOKUP(INDICE!$F$2,Nombres!$C$3:$D$636,39,FALSE)</f>
        <v>  Gastos de administración</v>
      </c>
      <c r="B14" s="44">
        <v>-604.25991721</v>
      </c>
      <c r="C14" s="44">
        <v>-612.10696429</v>
      </c>
      <c r="D14" s="44">
        <v>-620.28507813</v>
      </c>
      <c r="E14" s="45">
        <v>-661.1305150999999</v>
      </c>
      <c r="F14" s="44">
        <v>-658.43635293</v>
      </c>
      <c r="G14" s="44">
        <v>-668.3656412899999</v>
      </c>
      <c r="H14" s="44">
        <v>-688.0354921400001</v>
      </c>
      <c r="I14" s="44">
        <v>-747.3127242299998</v>
      </c>
    </row>
    <row r="15" spans="1:9" ht="15">
      <c r="A15" s="46" t="str">
        <f>HLOOKUP(INDICE!$F$2,Nombres!$C$3:$D$636,40,FALSE)</f>
        <v>  Gastos de personal</v>
      </c>
      <c r="B15" s="44">
        <v>-382.61152544999993</v>
      </c>
      <c r="C15" s="44">
        <v>-385.73259683000003</v>
      </c>
      <c r="D15" s="44">
        <v>-400.77492399000005</v>
      </c>
      <c r="E15" s="45">
        <v>-439.25569838</v>
      </c>
      <c r="F15" s="44">
        <v>-413.91706</v>
      </c>
      <c r="G15" s="44">
        <v>-442.816064</v>
      </c>
      <c r="H15" s="44">
        <v>-435.09341399999994</v>
      </c>
      <c r="I15" s="44">
        <v>-486.38729988999995</v>
      </c>
    </row>
    <row r="16" spans="1:9" ht="15">
      <c r="A16" s="46" t="str">
        <f>HLOOKUP(INDICE!$F$2,Nombres!$C$3:$D$636,41,FALSE)</f>
        <v>  Otros gastos de administración</v>
      </c>
      <c r="B16" s="44">
        <v>-221.64839176</v>
      </c>
      <c r="C16" s="44">
        <v>-226.37436746000003</v>
      </c>
      <c r="D16" s="44">
        <v>-219.51015413999997</v>
      </c>
      <c r="E16" s="45">
        <v>-221.87481672</v>
      </c>
      <c r="F16" s="44">
        <v>-244.51929293000006</v>
      </c>
      <c r="G16" s="44">
        <v>-225.54957728999992</v>
      </c>
      <c r="H16" s="44">
        <v>-252.94207814</v>
      </c>
      <c r="I16" s="44">
        <v>-260.92542433999984</v>
      </c>
    </row>
    <row r="17" spans="1:9" ht="15">
      <c r="A17" s="43" t="str">
        <f>HLOOKUP(INDICE!$F$2,Nombres!$C$3:$D$636,42,FALSE)</f>
        <v>  Amortización</v>
      </c>
      <c r="B17" s="44">
        <v>-104.62302763999999</v>
      </c>
      <c r="C17" s="44">
        <v>-104.13423863999999</v>
      </c>
      <c r="D17" s="44">
        <v>-98.33716164</v>
      </c>
      <c r="E17" s="45">
        <v>-96.46051764</v>
      </c>
      <c r="F17" s="44">
        <v>-94.36071663999999</v>
      </c>
      <c r="G17" s="44">
        <v>-95.63877464</v>
      </c>
      <c r="H17" s="44">
        <v>-96.29549864</v>
      </c>
      <c r="I17" s="44">
        <v>-96.85478764000003</v>
      </c>
    </row>
    <row r="18" spans="1:9" ht="15">
      <c r="A18" s="41" t="str">
        <f>HLOOKUP(INDICE!$F$2,Nombres!$C$3:$D$636,43,FALSE)</f>
        <v>Margen neto</v>
      </c>
      <c r="B18" s="41">
        <f>+B12+B13</f>
        <v>945.8239762299997</v>
      </c>
      <c r="C18" s="41">
        <f aca="true" t="shared" si="1" ref="C18:I18">+C12+C13</f>
        <v>678.61796015</v>
      </c>
      <c r="D18" s="41">
        <f t="shared" si="1"/>
        <v>852.0900780299999</v>
      </c>
      <c r="E18" s="42">
        <f t="shared" si="1"/>
        <v>733.83497676</v>
      </c>
      <c r="F18" s="50">
        <f t="shared" si="1"/>
        <v>973.56822044</v>
      </c>
      <c r="G18" s="50">
        <f t="shared" si="1"/>
        <v>1139.4744787800003</v>
      </c>
      <c r="H18" s="50">
        <f t="shared" si="1"/>
        <v>1419.167186430001</v>
      </c>
      <c r="I18" s="50">
        <f t="shared" si="1"/>
        <v>1210.821181539999</v>
      </c>
    </row>
    <row r="19" spans="1:9" ht="15">
      <c r="A19" s="43" t="str">
        <f>HLOOKUP(INDICE!$F$2,Nombres!$C$3:$D$636,44,FALSE)</f>
        <v>Deterioro de activos financieros no valorados a valor razonable con cambios en resultados</v>
      </c>
      <c r="B19" s="44">
        <v>-89.41895772000001</v>
      </c>
      <c r="C19" s="44">
        <v>-103.64080666000004</v>
      </c>
      <c r="D19" s="44">
        <v>-139.18189951</v>
      </c>
      <c r="E19" s="45">
        <v>-190.22596105000002</v>
      </c>
      <c r="F19" s="44">
        <v>-113.52553180999999</v>
      </c>
      <c r="G19" s="44">
        <v>-126.7077901</v>
      </c>
      <c r="H19" s="44">
        <v>-164.74894214</v>
      </c>
      <c r="I19" s="44">
        <v>-245.65353399</v>
      </c>
    </row>
    <row r="20" spans="1:9" ht="15">
      <c r="A20" s="43" t="str">
        <f>HLOOKUP(INDICE!$F$2,Nombres!$C$3:$D$636,45,FALSE)</f>
        <v>Provisiones o reversión de provisiones y otros resultados</v>
      </c>
      <c r="B20" s="44">
        <v>-19.422081659999996</v>
      </c>
      <c r="C20" s="44">
        <v>-7.6821140799999945</v>
      </c>
      <c r="D20" s="44">
        <v>-10.027557550000004</v>
      </c>
      <c r="E20" s="45">
        <v>-40.634351299999985</v>
      </c>
      <c r="F20" s="44">
        <v>-8.743872220000005</v>
      </c>
      <c r="G20" s="44">
        <v>-42.7394283</v>
      </c>
      <c r="H20" s="44">
        <v>-22.92329171</v>
      </c>
      <c r="I20" s="44">
        <v>-70.69694643000001</v>
      </c>
    </row>
    <row r="21" spans="1:9" ht="15">
      <c r="A21" s="41" t="str">
        <f>HLOOKUP(INDICE!$F$2,Nombres!$C$3:$D$636,46,FALSE)</f>
        <v>Resultado antes de impuestos</v>
      </c>
      <c r="B21" s="41">
        <f>+B18+B19+B20</f>
        <v>836.9829368499998</v>
      </c>
      <c r="C21" s="41">
        <f aca="true" t="shared" si="2" ref="C21:I21">+C18+C19+C20</f>
        <v>567.29503941</v>
      </c>
      <c r="D21" s="41">
        <f t="shared" si="2"/>
        <v>702.8806209699999</v>
      </c>
      <c r="E21" s="42">
        <f t="shared" si="2"/>
        <v>502.97466441</v>
      </c>
      <c r="F21" s="50">
        <f t="shared" si="2"/>
        <v>851.2988164100001</v>
      </c>
      <c r="G21" s="50">
        <f t="shared" si="2"/>
        <v>970.0272603800003</v>
      </c>
      <c r="H21" s="50">
        <f t="shared" si="2"/>
        <v>1231.494952580001</v>
      </c>
      <c r="I21" s="50">
        <f t="shared" si="2"/>
        <v>894.470701119999</v>
      </c>
    </row>
    <row r="22" spans="1:9" ht="15">
      <c r="A22" s="43" t="str">
        <f>HLOOKUP(INDICE!$F$2,Nombres!$C$3:$D$636,47,FALSE)</f>
        <v>Impuesto sobre beneficios</v>
      </c>
      <c r="B22" s="44">
        <v>-238.23210941</v>
      </c>
      <c r="C22" s="44">
        <v>-161.40904915</v>
      </c>
      <c r="D22" s="44">
        <v>-200.0203257</v>
      </c>
      <c r="E22" s="45">
        <v>-138.87849855</v>
      </c>
      <c r="F22" s="44">
        <v>-309.8652907</v>
      </c>
      <c r="G22" s="44">
        <v>-279.27071551</v>
      </c>
      <c r="H22" s="44">
        <v>-351.65535605</v>
      </c>
      <c r="I22" s="44">
        <v>-249.17615604999992</v>
      </c>
    </row>
    <row r="23" spans="1:9" ht="15">
      <c r="A23" s="41" t="str">
        <f>HLOOKUP(INDICE!$F$2,Nombres!$C$3:$D$636,48,FALSE)</f>
        <v>Resultado del ejercicio</v>
      </c>
      <c r="B23" s="41">
        <f>+B21+B22</f>
        <v>598.7508274399997</v>
      </c>
      <c r="C23" s="41">
        <f aca="true" t="shared" si="3" ref="C23:I23">+C21+C22</f>
        <v>405.88599025999997</v>
      </c>
      <c r="D23" s="41">
        <f t="shared" si="3"/>
        <v>502.8602952699999</v>
      </c>
      <c r="E23" s="42">
        <f t="shared" si="3"/>
        <v>364.09616586000004</v>
      </c>
      <c r="F23" s="50">
        <f t="shared" si="3"/>
        <v>541.4335257100001</v>
      </c>
      <c r="G23" s="50">
        <f t="shared" si="3"/>
        <v>690.7565448700002</v>
      </c>
      <c r="H23" s="50">
        <f t="shared" si="3"/>
        <v>879.8395965300009</v>
      </c>
      <c r="I23" s="50">
        <f t="shared" si="3"/>
        <v>645.2945450699991</v>
      </c>
    </row>
    <row r="24" spans="1:9" ht="15">
      <c r="A24" s="43" t="str">
        <f>HLOOKUP(INDICE!$F$2,Nombres!$C$3:$D$636,49,FALSE)</f>
        <v>Minoritarios</v>
      </c>
      <c r="B24" s="44">
        <v>-0.9554782700000002</v>
      </c>
      <c r="C24" s="44">
        <v>-0.9747035999999999</v>
      </c>
      <c r="D24" s="44">
        <v>-0.6555142699999998</v>
      </c>
      <c r="E24" s="45">
        <v>-0.6592063400000001</v>
      </c>
      <c r="F24" s="44">
        <v>-0.63719013</v>
      </c>
      <c r="G24" s="44">
        <v>-0.5612686899999999</v>
      </c>
      <c r="H24" s="44">
        <v>-0.5696627000000001</v>
      </c>
      <c r="I24" s="44">
        <v>-0.44212763999999993</v>
      </c>
    </row>
    <row r="25" spans="1:9" ht="15">
      <c r="A25" s="47" t="str">
        <f>HLOOKUP(INDICE!$F$2,Nombres!$C$3:$D$636,305,FALSE)</f>
        <v>Resultado atribuido excluyendo impactos no recurrentes</v>
      </c>
      <c r="B25" s="47">
        <f>+B23+B24</f>
        <v>597.7953491699998</v>
      </c>
      <c r="C25" s="47">
        <f aca="true" t="shared" si="4" ref="C25:I25">+C23+C24</f>
        <v>404.91128666</v>
      </c>
      <c r="D25" s="47">
        <f t="shared" si="4"/>
        <v>502.20478099999985</v>
      </c>
      <c r="E25" s="70">
        <f t="shared" si="4"/>
        <v>363.43695952</v>
      </c>
      <c r="F25" s="51">
        <f t="shared" si="4"/>
        <v>540.7963355800001</v>
      </c>
      <c r="G25" s="51">
        <f t="shared" si="4"/>
        <v>690.1952761800002</v>
      </c>
      <c r="H25" s="51">
        <f t="shared" si="4"/>
        <v>879.2699338300009</v>
      </c>
      <c r="I25" s="51">
        <f t="shared" si="4"/>
        <v>644.8524174299992</v>
      </c>
    </row>
    <row r="26" spans="1:9" ht="15">
      <c r="A26" s="43" t="str">
        <f>HLOOKUP(INDICE!$F$2,Nombres!$C$3:$D$636,319,FALSE)</f>
        <v>Impacto neto de la compra de oficinas en España</v>
      </c>
      <c r="B26" s="44">
        <v>0</v>
      </c>
      <c r="C26" s="44">
        <v>-201.39716995</v>
      </c>
      <c r="D26" s="44">
        <v>0</v>
      </c>
      <c r="E26" s="45">
        <v>0</v>
      </c>
      <c r="F26" s="44">
        <v>0</v>
      </c>
      <c r="G26" s="44">
        <v>0</v>
      </c>
      <c r="H26" s="44">
        <v>0</v>
      </c>
      <c r="I26" s="44">
        <v>0</v>
      </c>
    </row>
    <row r="27" spans="1:9" ht="15">
      <c r="A27" s="47" t="str">
        <f>HLOOKUP(INDICE!$F$2,Nombres!$C$3:$D$636,50,FALSE)</f>
        <v>Resultado atribuido</v>
      </c>
      <c r="B27" s="47">
        <f>+B25+B26</f>
        <v>597.7953491699998</v>
      </c>
      <c r="C27" s="47">
        <f aca="true" t="shared" si="5" ref="C27:I27">+C25+C26</f>
        <v>203.51411670999997</v>
      </c>
      <c r="D27" s="47">
        <f t="shared" si="5"/>
        <v>502.20478099999985</v>
      </c>
      <c r="E27" s="70">
        <f t="shared" si="5"/>
        <v>363.43695952</v>
      </c>
      <c r="F27" s="47">
        <f t="shared" si="5"/>
        <v>540.7963355800001</v>
      </c>
      <c r="G27" s="47">
        <f t="shared" si="5"/>
        <v>690.1952761800002</v>
      </c>
      <c r="H27" s="47">
        <f t="shared" si="5"/>
        <v>879.2699338300009</v>
      </c>
      <c r="I27" s="47">
        <f t="shared" si="5"/>
        <v>644.8524174299992</v>
      </c>
    </row>
    <row r="28" spans="1:9" ht="15">
      <c r="A28" s="300"/>
      <c r="B28" s="300"/>
      <c r="C28" s="300"/>
      <c r="D28" s="300"/>
      <c r="E28" s="300"/>
      <c r="F28" s="300"/>
      <c r="G28" s="300"/>
      <c r="H28" s="300"/>
      <c r="I28" s="300"/>
    </row>
    <row r="29" spans="1:9" ht="15">
      <c r="A29" s="41"/>
      <c r="B29" s="41"/>
      <c r="C29" s="41"/>
      <c r="D29" s="41"/>
      <c r="E29" s="41"/>
      <c r="F29" s="41"/>
      <c r="G29" s="41"/>
      <c r="H29" s="41"/>
      <c r="I29" s="41"/>
    </row>
    <row r="30" spans="1:9" ht="18">
      <c r="A30" s="33" t="str">
        <f>HLOOKUP(INDICE!$F$2,Nombres!$C$3:$D$636,51,FALSE)</f>
        <v>Balances</v>
      </c>
      <c r="B30" s="34"/>
      <c r="C30" s="34"/>
      <c r="D30" s="34"/>
      <c r="E30" s="34"/>
      <c r="F30" s="34"/>
      <c r="G30" s="34"/>
      <c r="H30" s="34"/>
      <c r="I30" s="34"/>
    </row>
    <row r="31" spans="1:11" ht="15">
      <c r="A31" s="35" t="str">
        <f>HLOOKUP(INDICE!$F$2,Nombres!$C$3:$D$636,32,FALSE)</f>
        <v>(Millones de euros)</v>
      </c>
      <c r="B31" s="30"/>
      <c r="C31" s="52"/>
      <c r="D31" s="52"/>
      <c r="E31" s="52"/>
      <c r="F31" s="30"/>
      <c r="G31" s="58"/>
      <c r="H31" s="58"/>
      <c r="I31" s="58"/>
      <c r="K31" s="54"/>
    </row>
    <row r="32" spans="1:11" ht="15.75">
      <c r="A32" s="30"/>
      <c r="B32" s="53">
        <v>44651</v>
      </c>
      <c r="C32" s="53">
        <v>44742</v>
      </c>
      <c r="D32" s="53">
        <v>44834</v>
      </c>
      <c r="E32" s="67">
        <v>44926</v>
      </c>
      <c r="F32" s="53">
        <v>45016</v>
      </c>
      <c r="G32" s="53">
        <v>45107</v>
      </c>
      <c r="H32" s="53">
        <v>45199</v>
      </c>
      <c r="I32" s="53">
        <v>45291</v>
      </c>
      <c r="K32" s="54"/>
    </row>
    <row r="33" spans="1:11" ht="15">
      <c r="A33" s="43" t="str">
        <f>HLOOKUP(INDICE!$F$2,Nombres!$C$3:$D$636,52,FALSE)</f>
        <v>Efectivo, saldos en efectivo en bancos centrales y otros depósitos a la vista</v>
      </c>
      <c r="B33" s="44">
        <v>28593.503321999997</v>
      </c>
      <c r="C33" s="44">
        <v>37732.410629</v>
      </c>
      <c r="D33" s="44">
        <v>48898.329535</v>
      </c>
      <c r="E33" s="45">
        <v>49184.983630999996</v>
      </c>
      <c r="F33" s="44">
        <v>50952.053749000006</v>
      </c>
      <c r="G33" s="44">
        <v>39190.368633000006</v>
      </c>
      <c r="H33" s="44">
        <v>34461.210586</v>
      </c>
      <c r="I33" s="44">
        <v>44653.493091</v>
      </c>
      <c r="K33" s="54"/>
    </row>
    <row r="34" spans="1:11" ht="15">
      <c r="A34" s="43" t="str">
        <f>HLOOKUP(INDICE!$F$2,Nombres!$C$3:$D$636,53,FALSE)</f>
        <v>Activos financieros a valor razonable</v>
      </c>
      <c r="B34" s="58">
        <v>136353.24551016</v>
      </c>
      <c r="C34" s="58">
        <v>140377.23086860002</v>
      </c>
      <c r="D34" s="58">
        <v>135010.53182518</v>
      </c>
      <c r="E34" s="64">
        <v>126413.47969942997</v>
      </c>
      <c r="F34" s="44">
        <v>137431.70913717</v>
      </c>
      <c r="G34" s="44">
        <v>153651.27486332002</v>
      </c>
      <c r="H34" s="44">
        <v>138913.09923678002</v>
      </c>
      <c r="I34" s="44">
        <v>146135.93039976002</v>
      </c>
      <c r="K34" s="54"/>
    </row>
    <row r="35" spans="1:11" ht="15">
      <c r="A35" s="43" t="str">
        <f>HLOOKUP(INDICE!$F$2,Nombres!$C$3:$D$636,54,FALSE)</f>
        <v>Activos financieros a coste amortizado</v>
      </c>
      <c r="B35" s="44">
        <v>199610.38512215996</v>
      </c>
      <c r="C35" s="44">
        <v>204669.33881411003</v>
      </c>
      <c r="D35" s="44">
        <v>206855.72719879</v>
      </c>
      <c r="E35" s="45">
        <v>204527.90962357</v>
      </c>
      <c r="F35" s="44">
        <v>207349.14712439</v>
      </c>
      <c r="G35" s="44">
        <v>210404.96079228996</v>
      </c>
      <c r="H35" s="44">
        <v>214592.81432482004</v>
      </c>
      <c r="I35" s="44">
        <v>216334.10517380002</v>
      </c>
      <c r="K35" s="54"/>
    </row>
    <row r="36" spans="1:11" ht="15">
      <c r="A36" s="43" t="str">
        <f>HLOOKUP(INDICE!$F$2,Nombres!$C$3:$D$636,55,FALSE)</f>
        <v>    de los que préstamos y anticipos a la clientela</v>
      </c>
      <c r="B36" s="44">
        <v>171864.67511716002</v>
      </c>
      <c r="C36" s="44">
        <v>176028.58921811005</v>
      </c>
      <c r="D36" s="44">
        <v>176082.53535879002</v>
      </c>
      <c r="E36" s="45">
        <v>173971.14545257005</v>
      </c>
      <c r="F36" s="44">
        <v>172084.53894139003</v>
      </c>
      <c r="G36" s="44">
        <v>173944.18117729</v>
      </c>
      <c r="H36" s="44">
        <v>173618.97225882002</v>
      </c>
      <c r="I36" s="44">
        <v>173168.5402778</v>
      </c>
      <c r="K36" s="54"/>
    </row>
    <row r="37" spans="1:11" ht="15">
      <c r="A37" s="43" t="str">
        <f>HLOOKUP(INDICE!$F$2,Nombres!$C$3:$D$636,121,FALSE)</f>
        <v>Posiciones inter-áreas activo</v>
      </c>
      <c r="B37" s="44">
        <v>37221.309266330034</v>
      </c>
      <c r="C37" s="44">
        <v>39466.192276849935</v>
      </c>
      <c r="D37" s="44">
        <v>37726.692613729974</v>
      </c>
      <c r="E37" s="45">
        <v>38924.4874518899</v>
      </c>
      <c r="F37" s="44">
        <v>37955.493378340034</v>
      </c>
      <c r="G37" s="44">
        <v>39923.525425850064</v>
      </c>
      <c r="H37" s="44">
        <v>41659.53722858988</v>
      </c>
      <c r="I37" s="44">
        <v>42918.902527369966</v>
      </c>
      <c r="K37" s="54"/>
    </row>
    <row r="38" spans="1:11" ht="15">
      <c r="A38" s="43" t="str">
        <f>HLOOKUP(INDICE!$F$2,Nombres!$C$3:$D$636,56,FALSE)</f>
        <v>Activos tangibles</v>
      </c>
      <c r="B38" s="58">
        <v>2508.384579</v>
      </c>
      <c r="C38" s="58">
        <v>2972.7728279999997</v>
      </c>
      <c r="D38" s="58">
        <v>2941.4989960000003</v>
      </c>
      <c r="E38" s="64">
        <v>2989.8220039999997</v>
      </c>
      <c r="F38" s="44">
        <v>2956.8782669999996</v>
      </c>
      <c r="G38" s="44">
        <v>2919.211772</v>
      </c>
      <c r="H38" s="44">
        <v>2882.4887609999996</v>
      </c>
      <c r="I38" s="44">
        <v>2884.033946</v>
      </c>
      <c r="K38" s="54"/>
    </row>
    <row r="39" spans="1:11" ht="15">
      <c r="A39" s="43" t="str">
        <f>HLOOKUP(INDICE!$F$2,Nombres!$C$3:$D$636,57,FALSE)</f>
        <v>Otros activos</v>
      </c>
      <c r="B39" s="58">
        <f aca="true" t="shared" si="6" ref="B39:I39">+B40-B38-B35-B34-B33-B37</f>
        <v>5768.474589749974</v>
      </c>
      <c r="C39" s="58">
        <f t="shared" si="6"/>
        <v>6747.612317720013</v>
      </c>
      <c r="D39" s="58">
        <f t="shared" si="6"/>
        <v>5954.668764860049</v>
      </c>
      <c r="E39" s="64">
        <f t="shared" si="6"/>
        <v>5075.537933880099</v>
      </c>
      <c r="F39" s="44">
        <f t="shared" si="6"/>
        <v>5074.64560414997</v>
      </c>
      <c r="G39" s="44">
        <f t="shared" si="6"/>
        <v>6270.491848079953</v>
      </c>
      <c r="H39" s="44">
        <f t="shared" si="6"/>
        <v>5247.737122560124</v>
      </c>
      <c r="I39" s="44">
        <f t="shared" si="6"/>
        <v>4697.091952110015</v>
      </c>
      <c r="K39" s="54"/>
    </row>
    <row r="40" spans="1:11" ht="15">
      <c r="A40" s="47" t="str">
        <f>HLOOKUP(INDICE!$F$2,Nombres!$C$3:$D$636,58,FALSE)</f>
        <v>Total activo / pasivo</v>
      </c>
      <c r="B40" s="47">
        <v>410055.30238939996</v>
      </c>
      <c r="C40" s="47">
        <v>431965.55773428</v>
      </c>
      <c r="D40" s="47">
        <v>437387.44893356</v>
      </c>
      <c r="E40" s="47">
        <v>427116.22034377</v>
      </c>
      <c r="F40" s="51">
        <v>441719.92726005</v>
      </c>
      <c r="G40" s="51">
        <v>452359.83333454</v>
      </c>
      <c r="H40" s="51">
        <v>437756.88725975004</v>
      </c>
      <c r="I40" s="51">
        <v>457623.55709004</v>
      </c>
      <c r="K40" s="54"/>
    </row>
    <row r="41" spans="1:11" ht="15.75" customHeight="1">
      <c r="A41" s="43" t="str">
        <f>HLOOKUP(INDICE!$F$2,Nombres!$C$3:$D$636,59,FALSE)</f>
        <v>Pasivos financieros mantenidos para negociar y designados a valor razonable con cambios en resultados</v>
      </c>
      <c r="B41" s="58">
        <v>75723.90047499997</v>
      </c>
      <c r="C41" s="58">
        <v>89118.859321</v>
      </c>
      <c r="D41" s="58">
        <v>87972.36668900002</v>
      </c>
      <c r="E41" s="64">
        <v>84619.36384300001</v>
      </c>
      <c r="F41" s="44">
        <v>96927.44413199999</v>
      </c>
      <c r="G41" s="44">
        <v>117617.9489</v>
      </c>
      <c r="H41" s="44">
        <v>104051.735529</v>
      </c>
      <c r="I41" s="44">
        <v>112738.019504</v>
      </c>
      <c r="K41" s="54"/>
    </row>
    <row r="42" spans="1:11" ht="15">
      <c r="A42" s="43" t="str">
        <f>HLOOKUP(INDICE!$F$2,Nombres!$C$3:$D$636,60,FALSE)</f>
        <v>Depósitos de bancos centrales y entidades de crédito</v>
      </c>
      <c r="B42" s="58">
        <v>59875.795284</v>
      </c>
      <c r="C42" s="58">
        <v>62815.157738</v>
      </c>
      <c r="D42" s="58">
        <v>67373.417516</v>
      </c>
      <c r="E42" s="64">
        <v>51701.969221</v>
      </c>
      <c r="F42" s="44">
        <v>60304.637791</v>
      </c>
      <c r="G42" s="44">
        <v>41559.474549</v>
      </c>
      <c r="H42" s="44">
        <v>41838.915294</v>
      </c>
      <c r="I42" s="44">
        <v>43694.325083</v>
      </c>
      <c r="K42" s="54"/>
    </row>
    <row r="43" spans="1:11" ht="15">
      <c r="A43" s="43" t="str">
        <f>HLOOKUP(INDICE!$F$2,Nombres!$C$3:$D$636,61,FALSE)</f>
        <v>Depósitos de la clientela</v>
      </c>
      <c r="B43" s="58">
        <v>206929.491863</v>
      </c>
      <c r="C43" s="58">
        <v>211589.99872099998</v>
      </c>
      <c r="D43" s="58">
        <v>213434.68435700002</v>
      </c>
      <c r="E43" s="64">
        <v>221019.117034</v>
      </c>
      <c r="F43" s="44">
        <v>214475.85191400003</v>
      </c>
      <c r="G43" s="44">
        <v>214275.81944400002</v>
      </c>
      <c r="H43" s="44">
        <v>212724.84960899997</v>
      </c>
      <c r="I43" s="44">
        <v>216198.43128400002</v>
      </c>
      <c r="K43" s="54"/>
    </row>
    <row r="44" spans="1:11" ht="15">
      <c r="A44" s="43" t="str">
        <f>HLOOKUP(INDICE!$F$2,Nombres!$C$3:$D$636,62,FALSE)</f>
        <v>Valores representativos de deuda emitidos</v>
      </c>
      <c r="B44" s="44">
        <v>36027.34682829</v>
      </c>
      <c r="C44" s="44">
        <v>36804.73515928</v>
      </c>
      <c r="D44" s="44">
        <v>38976.324485089994</v>
      </c>
      <c r="E44" s="45">
        <v>40782.29655009001</v>
      </c>
      <c r="F44" s="44">
        <v>40898.1645272</v>
      </c>
      <c r="G44" s="44">
        <v>46696.653185129995</v>
      </c>
      <c r="H44" s="44">
        <v>48732.51095315</v>
      </c>
      <c r="I44" s="44">
        <v>51471.80626184001</v>
      </c>
      <c r="K44" s="54"/>
    </row>
    <row r="45" spans="1:11" ht="15">
      <c r="A45" s="43" t="str">
        <f>HLOOKUP(INDICE!$F$2,Nombres!$C$3:$D$636,122,FALSE)</f>
        <v>Posiciones inter-áreas pasivo</v>
      </c>
      <c r="B45" s="44">
        <v>0</v>
      </c>
      <c r="C45" s="44">
        <v>0</v>
      </c>
      <c r="D45" s="44">
        <v>0</v>
      </c>
      <c r="E45" s="45">
        <v>0</v>
      </c>
      <c r="F45" s="44">
        <v>0</v>
      </c>
      <c r="G45" s="44">
        <v>0</v>
      </c>
      <c r="H45" s="44">
        <v>0</v>
      </c>
      <c r="I45" s="44">
        <v>0</v>
      </c>
      <c r="K45" s="54"/>
    </row>
    <row r="46" spans="1:9" ht="15">
      <c r="A46" s="43" t="str">
        <f>HLOOKUP(INDICE!$F$2,Nombres!$C$3:$D$636,63,FALSE)</f>
        <v>Otros pasivos</v>
      </c>
      <c r="B46" s="44">
        <f>+B40-B41-B42-B43-B44-B47-B45</f>
        <v>17151.419602979997</v>
      </c>
      <c r="C46" s="44">
        <f aca="true" t="shared" si="7" ref="C46:I46">+C40-C41-C42-C43-C44-C47-C45</f>
        <v>17131.147912400054</v>
      </c>
      <c r="D46" s="44">
        <f t="shared" si="7"/>
        <v>15663.756458270007</v>
      </c>
      <c r="E46" s="45">
        <f t="shared" si="7"/>
        <v>15869.837604819983</v>
      </c>
      <c r="F46" s="44">
        <f t="shared" si="7"/>
        <v>14777.126779030006</v>
      </c>
      <c r="G46" s="44">
        <f t="shared" si="7"/>
        <v>17813.067980400003</v>
      </c>
      <c r="H46" s="44">
        <f t="shared" si="7"/>
        <v>15979.454272900075</v>
      </c>
      <c r="I46" s="44">
        <f t="shared" si="7"/>
        <v>18628.660773369946</v>
      </c>
    </row>
    <row r="47" spans="1:9" ht="15">
      <c r="A47" s="43" t="str">
        <f>HLOOKUP(INDICE!$F$2,Nombres!$C$3:$D$636,282,FALSE)</f>
        <v>Dotación de capital regulatorio</v>
      </c>
      <c r="B47" s="44">
        <v>14347.348336129999</v>
      </c>
      <c r="C47" s="44">
        <v>14505.6588826</v>
      </c>
      <c r="D47" s="44">
        <v>13966.899428199999</v>
      </c>
      <c r="E47" s="45">
        <v>13123.63609086</v>
      </c>
      <c r="F47" s="44">
        <v>14336.702116819999</v>
      </c>
      <c r="G47" s="44">
        <v>14396.869276010002</v>
      </c>
      <c r="H47" s="44">
        <v>14429.4216017</v>
      </c>
      <c r="I47" s="44">
        <v>14892.314183830003</v>
      </c>
    </row>
    <row r="48" spans="1:9" ht="15">
      <c r="A48" s="62"/>
      <c r="B48" s="58"/>
      <c r="C48" s="58"/>
      <c r="D48" s="58"/>
      <c r="E48" s="58"/>
      <c r="F48" s="58"/>
      <c r="G48" s="58"/>
      <c r="H48" s="58"/>
      <c r="I48" s="58"/>
    </row>
    <row r="49" spans="1:9" ht="15">
      <c r="A49" s="43"/>
      <c r="B49" s="58"/>
      <c r="C49" s="58"/>
      <c r="D49" s="58"/>
      <c r="E49" s="58"/>
      <c r="F49" s="58"/>
      <c r="G49" s="58"/>
      <c r="H49" s="58"/>
      <c r="I49" s="58"/>
    </row>
    <row r="50" spans="1:9" ht="18">
      <c r="A50" s="65" t="str">
        <f>HLOOKUP(INDICE!$F$2,Nombres!$C$3:$D$636,65,FALSE)</f>
        <v>Indicadores relevantes y de gestión</v>
      </c>
      <c r="B50" s="66"/>
      <c r="C50" s="66"/>
      <c r="D50" s="66"/>
      <c r="E50" s="66"/>
      <c r="F50" s="66"/>
      <c r="G50" s="66"/>
      <c r="H50" s="66"/>
      <c r="I50" s="66"/>
    </row>
    <row r="51" spans="1:9" ht="15">
      <c r="A51" s="35" t="str">
        <f>HLOOKUP(INDICE!$F$2,Nombres!$C$3:$D$636,32,FALSE)</f>
        <v>(Millones de euros)</v>
      </c>
      <c r="B51" s="30"/>
      <c r="C51" s="30"/>
      <c r="D51" s="30"/>
      <c r="E51" s="30"/>
      <c r="F51" s="30"/>
      <c r="G51" s="58"/>
      <c r="H51" s="58"/>
      <c r="I51" s="58"/>
    </row>
    <row r="52" spans="1:9" ht="15.75">
      <c r="A52" s="30"/>
      <c r="B52" s="53">
        <f aca="true" t="shared" si="8" ref="B52:I52">+B$32</f>
        <v>44651</v>
      </c>
      <c r="C52" s="53">
        <f t="shared" si="8"/>
        <v>44742</v>
      </c>
      <c r="D52" s="53">
        <f t="shared" si="8"/>
        <v>44834</v>
      </c>
      <c r="E52" s="67">
        <f t="shared" si="8"/>
        <v>44926</v>
      </c>
      <c r="F52" s="53">
        <f t="shared" si="8"/>
        <v>45016</v>
      </c>
      <c r="G52" s="53">
        <f t="shared" si="8"/>
        <v>45107</v>
      </c>
      <c r="H52" s="53">
        <f t="shared" si="8"/>
        <v>45199</v>
      </c>
      <c r="I52" s="53">
        <f t="shared" si="8"/>
        <v>45291</v>
      </c>
    </row>
    <row r="53" spans="1:9" ht="15">
      <c r="A53" s="43" t="str">
        <f>HLOOKUP(INDICE!$F$2,Nombres!$C$3:$D$636,66,FALSE)</f>
        <v>Préstamos y anticipos a la clientela bruto (*)</v>
      </c>
      <c r="B53" s="44">
        <v>176893.119585</v>
      </c>
      <c r="C53" s="44">
        <v>181027.61527800004</v>
      </c>
      <c r="D53" s="44">
        <v>181009.711921</v>
      </c>
      <c r="E53" s="45">
        <v>178495.86162500002</v>
      </c>
      <c r="F53" s="44">
        <v>176311.63150200003</v>
      </c>
      <c r="G53" s="44">
        <v>178227.164257</v>
      </c>
      <c r="H53" s="44">
        <v>177715.11751900005</v>
      </c>
      <c r="I53" s="44">
        <v>177422.114761</v>
      </c>
    </row>
    <row r="54" spans="1:9" ht="15">
      <c r="A54" s="43" t="str">
        <f>HLOOKUP(INDICE!$F$2,Nombres!$C$3:$D$636,67,FALSE)</f>
        <v>Depósitos de clientes en gestión (**)</v>
      </c>
      <c r="B54" s="44">
        <v>206405.25463299995</v>
      </c>
      <c r="C54" s="44">
        <v>211099.308105</v>
      </c>
      <c r="D54" s="44">
        <v>212870.505873</v>
      </c>
      <c r="E54" s="45">
        <v>220139.521066</v>
      </c>
      <c r="F54" s="44">
        <v>213310.99586000002</v>
      </c>
      <c r="G54" s="44">
        <v>213079.689079</v>
      </c>
      <c r="H54" s="44">
        <v>211611.49993100003</v>
      </c>
      <c r="I54" s="44">
        <v>214967.923795</v>
      </c>
    </row>
    <row r="55" spans="1:9" ht="15">
      <c r="A55" s="43" t="str">
        <f>HLOOKUP(INDICE!$F$2,Nombres!$C$3:$D$636,68,FALSE)</f>
        <v>Fondos de inversión y carteras gestionadas</v>
      </c>
      <c r="B55" s="44">
        <v>66158.73053186998</v>
      </c>
      <c r="C55" s="44">
        <v>63270.89122094001</v>
      </c>
      <c r="D55" s="44">
        <v>62261.04950350999</v>
      </c>
      <c r="E55" s="45">
        <v>63785.98545200001</v>
      </c>
      <c r="F55" s="44">
        <v>67197.82419900002</v>
      </c>
      <c r="G55" s="44">
        <v>69251.88242359</v>
      </c>
      <c r="H55" s="44">
        <v>69610.07000200001</v>
      </c>
      <c r="I55" s="44">
        <v>72874.742658</v>
      </c>
    </row>
    <row r="56" spans="1:9" ht="15">
      <c r="A56" s="43" t="str">
        <f>HLOOKUP(INDICE!$F$2,Nombres!$C$3:$D$636,69,FALSE)</f>
        <v>Fondos de pensiones</v>
      </c>
      <c r="B56" s="44">
        <v>24669.120722600004</v>
      </c>
      <c r="C56" s="44">
        <v>23557.51709119</v>
      </c>
      <c r="D56" s="44">
        <v>22919.576148710003</v>
      </c>
      <c r="E56" s="45">
        <v>22972.52035825</v>
      </c>
      <c r="F56" s="44">
        <v>23379.58141105</v>
      </c>
      <c r="G56" s="44">
        <v>23595.65664021</v>
      </c>
      <c r="H56" s="44">
        <v>23414.403000000002</v>
      </c>
      <c r="I56" s="44">
        <v>24378.161</v>
      </c>
    </row>
    <row r="57" spans="1:9" ht="15">
      <c r="A57" s="43" t="str">
        <f>HLOOKUP(INDICE!$F$2,Nombres!$C$3:$D$636,70,FALSE)</f>
        <v>Otros recursos fuera de balance</v>
      </c>
      <c r="B57" s="44">
        <v>0</v>
      </c>
      <c r="C57" s="44">
        <v>0</v>
      </c>
      <c r="D57" s="44">
        <v>0</v>
      </c>
      <c r="E57" s="45">
        <v>0</v>
      </c>
      <c r="F57" s="44">
        <v>0</v>
      </c>
      <c r="G57" s="44">
        <v>0</v>
      </c>
      <c r="H57" s="44">
        <v>0</v>
      </c>
      <c r="I57" s="44">
        <v>0</v>
      </c>
    </row>
    <row r="58" spans="1:9" ht="15">
      <c r="A58" s="62" t="str">
        <f>HLOOKUP(INDICE!$F$2,Nombres!$C$3:$D$636,71,FALSE)</f>
        <v>(*) No incluye las adquisiciones temporales de activos.</v>
      </c>
      <c r="B58" s="58"/>
      <c r="C58" s="58"/>
      <c r="D58" s="58"/>
      <c r="E58" s="58"/>
      <c r="F58" s="58"/>
      <c r="G58" s="58"/>
      <c r="H58" s="58"/>
      <c r="I58" s="58"/>
    </row>
    <row r="59" spans="1:9" ht="15">
      <c r="A59" s="62" t="str">
        <f>HLOOKUP(INDICE!$F$2,Nombres!$C$3:$D$636,72,FALSE)</f>
        <v>(**) No incluye las cesiones temporales de activos.</v>
      </c>
      <c r="B59" s="30"/>
      <c r="C59" s="30"/>
      <c r="D59" s="30"/>
      <c r="E59" s="30"/>
      <c r="F59" s="30"/>
      <c r="G59" s="30"/>
      <c r="H59" s="30"/>
      <c r="I59" s="30"/>
    </row>
    <row r="60" spans="1:9" ht="15">
      <c r="A60" s="62"/>
      <c r="B60" s="30"/>
      <c r="C60" s="30"/>
      <c r="D60" s="30"/>
      <c r="E60" s="30"/>
      <c r="F60" s="30"/>
      <c r="G60" s="30"/>
      <c r="H60" s="30"/>
      <c r="I60" s="30"/>
    </row>
    <row r="63" spans="2:9" ht="15">
      <c r="B63" s="54"/>
      <c r="C63" s="54"/>
      <c r="D63" s="54"/>
      <c r="E63" s="54"/>
      <c r="F63" s="54"/>
      <c r="G63" s="54"/>
      <c r="H63" s="54"/>
      <c r="I63" s="54"/>
    </row>
    <row r="1002" ht="15">
      <c r="A1002" s="31" t="s">
        <v>391</v>
      </c>
    </row>
  </sheetData>
  <sheetProtection/>
  <mergeCells count="3">
    <mergeCell ref="B6:E6"/>
    <mergeCell ref="F6:I6"/>
    <mergeCell ref="A28:I28"/>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5" width="11.421875" style="31" customWidth="1"/>
    <col min="6" max="16384" width="11.421875" style="31" customWidth="1"/>
  </cols>
  <sheetData>
    <row r="1" spans="1:9" ht="18">
      <c r="A1" s="29" t="str">
        <f>HLOOKUP(INDICE!$F$2,Nombres!$C$3:$D$636,11,FALSE)</f>
        <v>México</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1">
        <f>+España!B6</f>
        <v>2022</v>
      </c>
      <c r="C6" s="301"/>
      <c r="D6" s="301"/>
      <c r="E6" s="302"/>
      <c r="F6" s="301">
        <f>+España!F6</f>
        <v>2023</v>
      </c>
      <c r="G6" s="301"/>
      <c r="H6" s="301"/>
      <c r="I6" s="301"/>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1747.69772982</v>
      </c>
      <c r="C8" s="41">
        <v>1938.53811032</v>
      </c>
      <c r="D8" s="41">
        <v>2236.0702695</v>
      </c>
      <c r="E8" s="42">
        <v>2455.9773522500004</v>
      </c>
      <c r="F8" s="50">
        <v>2589.49323296</v>
      </c>
      <c r="G8" s="50">
        <v>2674.105297769999</v>
      </c>
      <c r="H8" s="50">
        <v>2900.7258405400007</v>
      </c>
      <c r="I8" s="50">
        <v>2889.215790419999</v>
      </c>
    </row>
    <row r="9" spans="1:9" ht="15">
      <c r="A9" s="43" t="str">
        <f>HLOOKUP(INDICE!$F$2,Nombres!$C$3:$D$636,34,FALSE)</f>
        <v>Comisiones netas</v>
      </c>
      <c r="B9" s="44">
        <v>343.89284431</v>
      </c>
      <c r="C9" s="44">
        <v>401.04748298999993</v>
      </c>
      <c r="D9" s="44">
        <v>431.41148955000006</v>
      </c>
      <c r="E9" s="45">
        <v>448.82910259000005</v>
      </c>
      <c r="F9" s="44">
        <v>482.7000830400001</v>
      </c>
      <c r="G9" s="44">
        <v>534.2990649000001</v>
      </c>
      <c r="H9" s="44">
        <v>608.51702957</v>
      </c>
      <c r="I9" s="44">
        <v>600.4120366</v>
      </c>
    </row>
    <row r="10" spans="1:9" ht="15">
      <c r="A10" s="43" t="str">
        <f>HLOOKUP(INDICE!$F$2,Nombres!$C$3:$D$636,35,FALSE)</f>
        <v>Resultados de operaciones financieras</v>
      </c>
      <c r="B10" s="44">
        <v>91.88280934999999</v>
      </c>
      <c r="C10" s="44">
        <v>135.55792679</v>
      </c>
      <c r="D10" s="44">
        <v>96.11993705</v>
      </c>
      <c r="E10" s="45">
        <v>115.79044319999997</v>
      </c>
      <c r="F10" s="44">
        <v>148.75250654</v>
      </c>
      <c r="G10" s="44">
        <v>165.97206103</v>
      </c>
      <c r="H10" s="44">
        <v>69.54572058000001</v>
      </c>
      <c r="I10" s="44">
        <v>188.17087232</v>
      </c>
    </row>
    <row r="11" spans="1:9" ht="15">
      <c r="A11" s="43" t="str">
        <f>HLOOKUP(INDICE!$F$2,Nombres!$C$3:$D$636,36,FALSE)</f>
        <v>Otros ingresos y cargas de explotación</v>
      </c>
      <c r="B11" s="44">
        <v>48.25100002</v>
      </c>
      <c r="C11" s="44">
        <v>105.93799997000019</v>
      </c>
      <c r="D11" s="44">
        <v>84.69999998999974</v>
      </c>
      <c r="E11" s="45">
        <v>52.03694503999997</v>
      </c>
      <c r="F11" s="44">
        <v>85.52299998999987</v>
      </c>
      <c r="G11" s="44">
        <v>92.76100000999985</v>
      </c>
      <c r="H11" s="44">
        <v>122.11699999000012</v>
      </c>
      <c r="I11" s="44">
        <v>115.02000000999944</v>
      </c>
    </row>
    <row r="12" spans="1:9" ht="15">
      <c r="A12" s="41" t="str">
        <f>HLOOKUP(INDICE!$F$2,Nombres!$C$3:$D$636,37,FALSE)</f>
        <v>Margen bruto</v>
      </c>
      <c r="B12" s="41">
        <f>+SUM(B8:B11)</f>
        <v>2231.7243835</v>
      </c>
      <c r="C12" s="41">
        <f aca="true" t="shared" si="0" ref="C12:I12">+SUM(C8:C11)</f>
        <v>2581.081520070001</v>
      </c>
      <c r="D12" s="41">
        <f t="shared" si="0"/>
        <v>2848.30169609</v>
      </c>
      <c r="E12" s="42">
        <f t="shared" si="0"/>
        <v>3072.6338430800006</v>
      </c>
      <c r="F12" s="50">
        <f t="shared" si="0"/>
        <v>3306.46882253</v>
      </c>
      <c r="G12" s="50">
        <f t="shared" si="0"/>
        <v>3467.1374237099994</v>
      </c>
      <c r="H12" s="50">
        <f t="shared" si="0"/>
        <v>3700.905590680001</v>
      </c>
      <c r="I12" s="50">
        <f t="shared" si="0"/>
        <v>3792.8186993499985</v>
      </c>
    </row>
    <row r="13" spans="1:9" ht="15">
      <c r="A13" s="43" t="str">
        <f>HLOOKUP(INDICE!$F$2,Nombres!$C$3:$D$636,38,FALSE)</f>
        <v>Gastos de explotación</v>
      </c>
      <c r="B13" s="44">
        <v>-744.3194831100001</v>
      </c>
      <c r="C13" s="44">
        <v>-808.66734132</v>
      </c>
      <c r="D13" s="44">
        <v>-889.84100052</v>
      </c>
      <c r="E13" s="45">
        <v>-954.4751673399999</v>
      </c>
      <c r="F13" s="44">
        <v>-988.2161742100001</v>
      </c>
      <c r="G13" s="44">
        <v>-1068.61043016</v>
      </c>
      <c r="H13" s="44">
        <v>-1117.70632063</v>
      </c>
      <c r="I13" s="44">
        <v>-1209.8485745799999</v>
      </c>
    </row>
    <row r="14" spans="1:9" ht="15">
      <c r="A14" s="43" t="str">
        <f>HLOOKUP(INDICE!$F$2,Nombres!$C$3:$D$636,39,FALSE)</f>
        <v>  Gastos de administración</v>
      </c>
      <c r="B14" s="44">
        <v>-653.8212020799999</v>
      </c>
      <c r="C14" s="44">
        <v>-711.1892107600002</v>
      </c>
      <c r="D14" s="44">
        <v>-786.8289675399999</v>
      </c>
      <c r="E14" s="45">
        <v>-847.8125583200001</v>
      </c>
      <c r="F14" s="44">
        <v>-879.61139719</v>
      </c>
      <c r="G14" s="44">
        <v>-954.34501617</v>
      </c>
      <c r="H14" s="44">
        <v>-994.59134768</v>
      </c>
      <c r="I14" s="44">
        <v>-1087.0268431</v>
      </c>
    </row>
    <row r="15" spans="1:9" ht="15">
      <c r="A15" s="46" t="str">
        <f>HLOOKUP(INDICE!$F$2,Nombres!$C$3:$D$636,40,FALSE)</f>
        <v>  Gastos de personal</v>
      </c>
      <c r="B15" s="44">
        <v>-331.61017589000005</v>
      </c>
      <c r="C15" s="44">
        <v>-362.61365939000007</v>
      </c>
      <c r="D15" s="44">
        <v>-414.33823077999995</v>
      </c>
      <c r="E15" s="45">
        <v>-456.76121434000004</v>
      </c>
      <c r="F15" s="44">
        <v>-455.43766277000003</v>
      </c>
      <c r="G15" s="44">
        <v>-497.25879884999995</v>
      </c>
      <c r="H15" s="44">
        <v>-539.12063701</v>
      </c>
      <c r="I15" s="44">
        <v>-608.1798404399999</v>
      </c>
    </row>
    <row r="16" spans="1:9" ht="15">
      <c r="A16" s="46" t="str">
        <f>HLOOKUP(INDICE!$F$2,Nombres!$C$3:$D$636,41,FALSE)</f>
        <v>  Otros gastos de administración</v>
      </c>
      <c r="B16" s="44">
        <v>-322.21102619</v>
      </c>
      <c r="C16" s="44">
        <v>-348.57555137</v>
      </c>
      <c r="D16" s="44">
        <v>-372.49073676</v>
      </c>
      <c r="E16" s="45">
        <v>-391.05134398</v>
      </c>
      <c r="F16" s="44">
        <v>-424.17373442</v>
      </c>
      <c r="G16" s="44">
        <v>-457.08621731999995</v>
      </c>
      <c r="H16" s="44">
        <v>-455.47071067</v>
      </c>
      <c r="I16" s="44">
        <v>-478.84700265999993</v>
      </c>
    </row>
    <row r="17" spans="1:9" ht="15">
      <c r="A17" s="43" t="str">
        <f>HLOOKUP(INDICE!$F$2,Nombres!$C$3:$D$636,42,FALSE)</f>
        <v>  Amortización</v>
      </c>
      <c r="B17" s="44">
        <v>-90.49828103</v>
      </c>
      <c r="C17" s="44">
        <v>-97.47813055999998</v>
      </c>
      <c r="D17" s="44">
        <v>-103.01203297999999</v>
      </c>
      <c r="E17" s="45">
        <v>-106.66260901999999</v>
      </c>
      <c r="F17" s="44">
        <v>-108.60477702</v>
      </c>
      <c r="G17" s="44">
        <v>-114.26541399000001</v>
      </c>
      <c r="H17" s="44">
        <v>-123.11497295</v>
      </c>
      <c r="I17" s="44">
        <v>-122.82173148000001</v>
      </c>
    </row>
    <row r="18" spans="1:9" ht="15">
      <c r="A18" s="41" t="str">
        <f>HLOOKUP(INDICE!$F$2,Nombres!$C$3:$D$636,43,FALSE)</f>
        <v>Margen neto</v>
      </c>
      <c r="B18" s="41">
        <f>+B12+B13</f>
        <v>1487.40490039</v>
      </c>
      <c r="C18" s="41">
        <f aca="true" t="shared" si="1" ref="C18:I18">+C12+C13</f>
        <v>1772.4141787500007</v>
      </c>
      <c r="D18" s="41">
        <f t="shared" si="1"/>
        <v>1958.46069557</v>
      </c>
      <c r="E18" s="42">
        <f t="shared" si="1"/>
        <v>2118.158675740001</v>
      </c>
      <c r="F18" s="50">
        <f t="shared" si="1"/>
        <v>2318.25264832</v>
      </c>
      <c r="G18" s="50">
        <f t="shared" si="1"/>
        <v>2398.526993549999</v>
      </c>
      <c r="H18" s="50">
        <f t="shared" si="1"/>
        <v>2583.199270050001</v>
      </c>
      <c r="I18" s="50">
        <f t="shared" si="1"/>
        <v>2582.9701247699986</v>
      </c>
    </row>
    <row r="19" spans="1:9" ht="15">
      <c r="A19" s="43" t="str">
        <f>HLOOKUP(INDICE!$F$2,Nombres!$C$3:$D$636,44,FALSE)</f>
        <v>Deterioro de activos financieros no valorados a valor razonable con cambios en resultados</v>
      </c>
      <c r="B19" s="44">
        <v>-418.76099995000004</v>
      </c>
      <c r="C19" s="44">
        <v>-386.54700003999966</v>
      </c>
      <c r="D19" s="44">
        <v>-471.4429999999997</v>
      </c>
      <c r="E19" s="45">
        <v>-416.1310000100001</v>
      </c>
      <c r="F19" s="44">
        <v>-549.48399992</v>
      </c>
      <c r="G19" s="44">
        <v>-586.8700000800002</v>
      </c>
      <c r="H19" s="44">
        <v>-690.25399999</v>
      </c>
      <c r="I19" s="44">
        <v>-672.067</v>
      </c>
    </row>
    <row r="20" spans="1:9" ht="15">
      <c r="A20" s="43" t="str">
        <f>HLOOKUP(INDICE!$F$2,Nombres!$C$3:$D$636,45,FALSE)</f>
        <v>Provisiones o reversión de provisiones y otros resultados</v>
      </c>
      <c r="B20" s="44">
        <v>-1.2699999999999978</v>
      </c>
      <c r="C20" s="44">
        <v>-7.595999979999998</v>
      </c>
      <c r="D20" s="44">
        <v>-36.347000019999996</v>
      </c>
      <c r="E20" s="45">
        <v>21.353000000000023</v>
      </c>
      <c r="F20" s="44">
        <v>-0.7789999900000026</v>
      </c>
      <c r="G20" s="44">
        <v>5.490999989999999</v>
      </c>
      <c r="H20" s="44">
        <v>-5.8679999899999915</v>
      </c>
      <c r="I20" s="44">
        <v>-23.89000002000001</v>
      </c>
    </row>
    <row r="21" spans="1:9" ht="15">
      <c r="A21" s="41" t="str">
        <f>HLOOKUP(INDICE!$F$2,Nombres!$C$3:$D$636,46,FALSE)</f>
        <v>Resultado antes de impuestos</v>
      </c>
      <c r="B21" s="41">
        <f>+B18+B19+B20</f>
        <v>1067.37390044</v>
      </c>
      <c r="C21" s="41">
        <f aca="true" t="shared" si="2" ref="C21:I21">+C18+C19+C20</f>
        <v>1378.271178730001</v>
      </c>
      <c r="D21" s="41">
        <f t="shared" si="2"/>
        <v>1450.6706955500003</v>
      </c>
      <c r="E21" s="42">
        <f t="shared" si="2"/>
        <v>1723.3806757300008</v>
      </c>
      <c r="F21" s="50">
        <f t="shared" si="2"/>
        <v>1767.98964841</v>
      </c>
      <c r="G21" s="50">
        <f t="shared" si="2"/>
        <v>1817.147993459999</v>
      </c>
      <c r="H21" s="50">
        <f t="shared" si="2"/>
        <v>1887.0772700700008</v>
      </c>
      <c r="I21" s="50">
        <f t="shared" si="2"/>
        <v>1887.0131247499985</v>
      </c>
    </row>
    <row r="22" spans="1:9" ht="15">
      <c r="A22" s="43" t="str">
        <f>HLOOKUP(INDICE!$F$2,Nombres!$C$3:$D$636,47,FALSE)</f>
        <v>Impuesto sobre beneficios</v>
      </c>
      <c r="B22" s="44">
        <v>-290.71184165</v>
      </c>
      <c r="C22" s="44">
        <v>-373.12907681999997</v>
      </c>
      <c r="D22" s="44">
        <v>-314.20726758999996</v>
      </c>
      <c r="E22" s="45">
        <v>-509.66447036</v>
      </c>
      <c r="F22" s="44">
        <v>-483.07931976</v>
      </c>
      <c r="G22" s="44">
        <v>-487.14941932</v>
      </c>
      <c r="H22" s="44">
        <v>-514.0470343899999</v>
      </c>
      <c r="I22" s="44">
        <v>-533.5133821000002</v>
      </c>
    </row>
    <row r="23" spans="1:9" ht="15">
      <c r="A23" s="41" t="str">
        <f>HLOOKUP(INDICE!$F$2,Nombres!$C$3:$D$636,48,FALSE)</f>
        <v>Resultado del ejercicio</v>
      </c>
      <c r="B23" s="41">
        <f>+B21+B22</f>
        <v>776.66205879</v>
      </c>
      <c r="C23" s="41">
        <f aca="true" t="shared" si="3" ref="C23:I23">+C21+C22</f>
        <v>1005.1421019100012</v>
      </c>
      <c r="D23" s="41">
        <f t="shared" si="3"/>
        <v>1136.4634279600004</v>
      </c>
      <c r="E23" s="42">
        <f t="shared" si="3"/>
        <v>1213.7162053700008</v>
      </c>
      <c r="F23" s="50">
        <f t="shared" si="3"/>
        <v>1284.9103286499999</v>
      </c>
      <c r="G23" s="50">
        <f t="shared" si="3"/>
        <v>1329.9985741399992</v>
      </c>
      <c r="H23" s="50">
        <f t="shared" si="3"/>
        <v>1373.030235680001</v>
      </c>
      <c r="I23" s="50">
        <f t="shared" si="3"/>
        <v>1353.4997426499983</v>
      </c>
    </row>
    <row r="24" spans="1:9" ht="15">
      <c r="A24" s="43" t="str">
        <f>HLOOKUP(INDICE!$F$2,Nombres!$C$3:$D$636,49,FALSE)</f>
        <v>Minoritarios</v>
      </c>
      <c r="B24" s="44">
        <v>-0.138</v>
      </c>
      <c r="C24" s="44">
        <v>-0.17900000000000002</v>
      </c>
      <c r="D24" s="44">
        <v>-0.20999999999999996</v>
      </c>
      <c r="E24" s="45">
        <v>-0.22099999999999997</v>
      </c>
      <c r="F24" s="44">
        <v>-0.234</v>
      </c>
      <c r="G24" s="44">
        <v>-0.24300000000000002</v>
      </c>
      <c r="H24" s="44">
        <v>-0.245</v>
      </c>
      <c r="I24" s="44">
        <v>-0.24999999999999992</v>
      </c>
    </row>
    <row r="25" spans="1:9" ht="15">
      <c r="A25" s="47" t="str">
        <f>HLOOKUP(INDICE!$F$2,Nombres!$C$3:$D$636,50,FALSE)</f>
        <v>Resultado atribuido</v>
      </c>
      <c r="B25" s="47">
        <f>+B23+B24</f>
        <v>776.5240587899999</v>
      </c>
      <c r="C25" s="47">
        <f aca="true" t="shared" si="4" ref="C25:I25">+C23+C24</f>
        <v>1004.9631019100012</v>
      </c>
      <c r="D25" s="47">
        <f t="shared" si="4"/>
        <v>1136.2534279600004</v>
      </c>
      <c r="E25" s="47">
        <f t="shared" si="4"/>
        <v>1213.4952053700008</v>
      </c>
      <c r="F25" s="51">
        <f t="shared" si="4"/>
        <v>1284.67632865</v>
      </c>
      <c r="G25" s="51">
        <f t="shared" si="4"/>
        <v>1329.7555741399992</v>
      </c>
      <c r="H25" s="51">
        <f t="shared" si="4"/>
        <v>1372.785235680001</v>
      </c>
      <c r="I25" s="51">
        <f t="shared" si="4"/>
        <v>1353.2497426499983</v>
      </c>
    </row>
    <row r="26" spans="1:9" ht="15">
      <c r="A26" s="62"/>
      <c r="B26" s="63">
        <v>0</v>
      </c>
      <c r="C26" s="63">
        <v>1.2505552149377763E-12</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9" ht="15">
      <c r="A31" s="43" t="str">
        <f>HLOOKUP(INDICE!$F$2,Nombres!$C$3:$D$636,52,FALSE)</f>
        <v>Efectivo, saldos en efectivo en bancos centrales y otros depósitos a la vista</v>
      </c>
      <c r="B31" s="44">
        <v>14926.70000001</v>
      </c>
      <c r="C31" s="44">
        <v>16588.829999989997</v>
      </c>
      <c r="D31" s="44">
        <v>16580.39899999</v>
      </c>
      <c r="E31" s="45">
        <v>13228.10800001</v>
      </c>
      <c r="F31" s="44">
        <v>12725.842999999999</v>
      </c>
      <c r="G31" s="44">
        <v>11529.04600002</v>
      </c>
      <c r="H31" s="44">
        <v>9780.868999979999</v>
      </c>
      <c r="I31" s="44">
        <v>10089.088</v>
      </c>
    </row>
    <row r="32" spans="1:9" ht="15">
      <c r="A32" s="43" t="str">
        <f>HLOOKUP(INDICE!$F$2,Nombres!$C$3:$D$636,53,FALSE)</f>
        <v>Activos financieros a valor razonable</v>
      </c>
      <c r="B32" s="58">
        <v>43280.079</v>
      </c>
      <c r="C32" s="58">
        <v>46168.07599998</v>
      </c>
      <c r="D32" s="58">
        <v>50781.14</v>
      </c>
      <c r="E32" s="64">
        <v>46574.905999979994</v>
      </c>
      <c r="F32" s="44">
        <v>48366.31799999</v>
      </c>
      <c r="G32" s="44">
        <v>53880.822999979995</v>
      </c>
      <c r="H32" s="44">
        <v>60944.793000000005</v>
      </c>
      <c r="I32" s="44">
        <v>60378.705</v>
      </c>
    </row>
    <row r="33" spans="1:9" ht="15">
      <c r="A33" s="43" t="str">
        <f>HLOOKUP(INDICE!$F$2,Nombres!$C$3:$D$636,54,FALSE)</f>
        <v>Activos financieros a coste amortizado</v>
      </c>
      <c r="B33" s="44">
        <v>64618.45900007</v>
      </c>
      <c r="C33" s="44">
        <v>71686.50400004999</v>
      </c>
      <c r="D33" s="44">
        <v>78324.58799998</v>
      </c>
      <c r="E33" s="45">
        <v>77191.36603053</v>
      </c>
      <c r="F33" s="44">
        <v>84617.33699992999</v>
      </c>
      <c r="G33" s="44">
        <v>92236.66200007</v>
      </c>
      <c r="H33" s="44">
        <v>94959.74800002</v>
      </c>
      <c r="I33" s="44">
        <v>96341.63100360999</v>
      </c>
    </row>
    <row r="34" spans="1:9" ht="15">
      <c r="A34" s="43" t="str">
        <f>HLOOKUP(INDICE!$F$2,Nombres!$C$3:$D$636,55,FALSE)</f>
        <v>    de los que préstamos y anticipos a la clientela</v>
      </c>
      <c r="B34" s="44">
        <v>60331.85700003</v>
      </c>
      <c r="C34" s="44">
        <v>66578.29900003</v>
      </c>
      <c r="D34" s="44">
        <v>73088.44599999998</v>
      </c>
      <c r="E34" s="45">
        <v>71230.87603056</v>
      </c>
      <c r="F34" s="44">
        <v>77276.86599995</v>
      </c>
      <c r="G34" s="44">
        <v>83692.75600007</v>
      </c>
      <c r="H34" s="44">
        <v>86727.24300002</v>
      </c>
      <c r="I34" s="44">
        <v>88111.5380036</v>
      </c>
    </row>
    <row r="35" spans="1:9" ht="15" customHeight="1" hidden="1">
      <c r="A35" s="43"/>
      <c r="B35" s="44"/>
      <c r="C35" s="44"/>
      <c r="D35" s="44"/>
      <c r="E35" s="45"/>
      <c r="F35" s="44"/>
      <c r="G35" s="44"/>
      <c r="H35" s="44"/>
      <c r="I35" s="44"/>
    </row>
    <row r="36" spans="1:9" ht="15">
      <c r="A36" s="43" t="str">
        <f>HLOOKUP(INDICE!$F$2,Nombres!$C$3:$D$636,56,FALSE)</f>
        <v>Activos tangibles</v>
      </c>
      <c r="B36" s="44">
        <v>1770.6509999999998</v>
      </c>
      <c r="C36" s="44">
        <v>1853.8629999999998</v>
      </c>
      <c r="D36" s="44">
        <v>1993.324</v>
      </c>
      <c r="E36" s="45">
        <v>1969.42399999</v>
      </c>
      <c r="F36" s="44">
        <v>2097.62799999</v>
      </c>
      <c r="G36" s="44">
        <v>2253.24299999</v>
      </c>
      <c r="H36" s="44">
        <v>2328.82899998</v>
      </c>
      <c r="I36" s="44">
        <v>2386.81400001</v>
      </c>
    </row>
    <row r="37" spans="1:9" ht="15">
      <c r="A37" s="43" t="str">
        <f>HLOOKUP(INDICE!$F$2,Nombres!$C$3:$D$636,57,FALSE)</f>
        <v>Otros activos</v>
      </c>
      <c r="B37" s="58">
        <f>+B38-B36-B33-B32-B31</f>
        <v>3070.1054611399977</v>
      </c>
      <c r="C37" s="58">
        <f aca="true" t="shared" si="5" ref="C37:I37">+C38-C36-C33-C32-C31</f>
        <v>3563.196897039961</v>
      </c>
      <c r="D37" s="58">
        <f t="shared" si="5"/>
        <v>3753.3312239899897</v>
      </c>
      <c r="E37" s="64">
        <f t="shared" si="5"/>
        <v>3592.991565969982</v>
      </c>
      <c r="F37" s="44">
        <f t="shared" si="5"/>
        <v>4147.845876789996</v>
      </c>
      <c r="G37" s="44">
        <f t="shared" si="5"/>
        <v>4857.83597194</v>
      </c>
      <c r="H37" s="44">
        <f t="shared" si="5"/>
        <v>5002.278972899976</v>
      </c>
      <c r="I37" s="44">
        <f t="shared" si="5"/>
        <v>4292.605304880057</v>
      </c>
    </row>
    <row r="38" spans="1:9" ht="15">
      <c r="A38" s="47" t="str">
        <f>HLOOKUP(INDICE!$F$2,Nombres!$C$3:$D$636,58,FALSE)</f>
        <v>Total activo / pasivo</v>
      </c>
      <c r="B38" s="47">
        <v>127665.99446121999</v>
      </c>
      <c r="C38" s="47">
        <v>139860.46989705996</v>
      </c>
      <c r="D38" s="47">
        <v>151432.78222395998</v>
      </c>
      <c r="E38" s="70">
        <v>142556.79559647996</v>
      </c>
      <c r="F38" s="47">
        <v>151954.9718767</v>
      </c>
      <c r="G38" s="51">
        <v>164757.609972</v>
      </c>
      <c r="H38" s="51">
        <v>173016.51797287998</v>
      </c>
      <c r="I38" s="51">
        <v>173488.84330850004</v>
      </c>
    </row>
    <row r="39" spans="1:9" ht="15">
      <c r="A39" s="43" t="str">
        <f>HLOOKUP(INDICE!$F$2,Nombres!$C$3:$D$636,59,FALSE)</f>
        <v>Pasivos financieros mantenidos para negociar y designados a valor razonable con cambios en resultados</v>
      </c>
      <c r="B39" s="58">
        <v>22773.464000000004</v>
      </c>
      <c r="C39" s="58">
        <v>26796.22899999</v>
      </c>
      <c r="D39" s="58">
        <v>30800.799</v>
      </c>
      <c r="E39" s="64">
        <v>25839.737999999998</v>
      </c>
      <c r="F39" s="44">
        <v>28035.307999999994</v>
      </c>
      <c r="G39" s="44">
        <v>28812.860999999997</v>
      </c>
      <c r="H39" s="44">
        <v>33063.32000000001</v>
      </c>
      <c r="I39" s="44">
        <v>28492.451</v>
      </c>
    </row>
    <row r="40" spans="1:9" ht="15.75" customHeight="1">
      <c r="A40" s="43" t="str">
        <f>HLOOKUP(INDICE!$F$2,Nombres!$C$3:$D$636,60,FALSE)</f>
        <v>Depósitos de bancos centrales y entidades de crédito</v>
      </c>
      <c r="B40" s="58">
        <v>2797.4640000100003</v>
      </c>
      <c r="C40" s="58">
        <v>5140.61300001</v>
      </c>
      <c r="D40" s="58">
        <v>7319.008999979999</v>
      </c>
      <c r="E40" s="64">
        <v>4402.09899999</v>
      </c>
      <c r="F40" s="44">
        <v>6861.893999980001</v>
      </c>
      <c r="G40" s="44">
        <v>9835.589</v>
      </c>
      <c r="H40" s="44">
        <v>11677.469999989999</v>
      </c>
      <c r="I40" s="44">
        <v>8739.000999990001</v>
      </c>
    </row>
    <row r="41" spans="1:9" ht="15">
      <c r="A41" s="43" t="str">
        <f>HLOOKUP(INDICE!$F$2,Nombres!$C$3:$D$636,61,FALSE)</f>
        <v>Depósitos de la clientela</v>
      </c>
      <c r="B41" s="58">
        <v>69536.84699998</v>
      </c>
      <c r="C41" s="58">
        <v>72691.78799998</v>
      </c>
      <c r="D41" s="58">
        <v>76623.00800001</v>
      </c>
      <c r="E41" s="64">
        <v>77750.15499996</v>
      </c>
      <c r="F41" s="44">
        <v>80171.88699998999</v>
      </c>
      <c r="G41" s="44">
        <v>84865.102</v>
      </c>
      <c r="H41" s="44">
        <v>86373.34600006</v>
      </c>
      <c r="I41" s="44">
        <v>92564.05799998</v>
      </c>
    </row>
    <row r="42" spans="1:9" ht="15">
      <c r="A42" s="43" t="str">
        <f>HLOOKUP(INDICE!$F$2,Nombres!$C$3:$D$636,62,FALSE)</f>
        <v>Valores representativos de deuda emitidos</v>
      </c>
      <c r="B42" s="44">
        <v>8285.599972</v>
      </c>
      <c r="C42" s="44">
        <v>9353.47107761</v>
      </c>
      <c r="D42" s="44">
        <v>8510.65974108</v>
      </c>
      <c r="E42" s="45">
        <v>7757.534650130001</v>
      </c>
      <c r="F42" s="44">
        <v>8317.28095609</v>
      </c>
      <c r="G42" s="44">
        <v>9777.85682847</v>
      </c>
      <c r="H42" s="44">
        <v>9189.48669543</v>
      </c>
      <c r="I42" s="44">
        <v>9719.413362809999</v>
      </c>
    </row>
    <row r="43" spans="1:9" ht="15" customHeight="1" hidden="1">
      <c r="A43" s="43"/>
      <c r="B43" s="44"/>
      <c r="C43" s="44"/>
      <c r="D43" s="44"/>
      <c r="E43" s="45"/>
      <c r="F43" s="44"/>
      <c r="G43" s="44"/>
      <c r="H43" s="44"/>
      <c r="I43" s="44"/>
    </row>
    <row r="44" spans="1:9" ht="15">
      <c r="A44" s="43" t="str">
        <f>HLOOKUP(INDICE!$F$2,Nombres!$C$3:$D$636,63,FALSE)</f>
        <v>Otros pasivos</v>
      </c>
      <c r="B44" s="58">
        <f>+B38-B39-B40-B41-B42-B45</f>
        <v>16431.640416199978</v>
      </c>
      <c r="C44" s="58">
        <f aca="true" t="shared" si="6" ref="C44:I44">+C38-C39-C40-C41-C42-C45</f>
        <v>16929.22542556996</v>
      </c>
      <c r="D44" s="58">
        <f t="shared" si="6"/>
        <v>18542.72786244998</v>
      </c>
      <c r="E44" s="64">
        <f t="shared" si="6"/>
        <v>16976.482092919963</v>
      </c>
      <c r="F44" s="44">
        <f t="shared" si="6"/>
        <v>19224.407281450018</v>
      </c>
      <c r="G44" s="44">
        <f t="shared" si="6"/>
        <v>21383.659418129995</v>
      </c>
      <c r="H44" s="44">
        <f t="shared" si="6"/>
        <v>21867.920014189975</v>
      </c>
      <c r="I44" s="44">
        <f t="shared" si="6"/>
        <v>22755.976873710042</v>
      </c>
    </row>
    <row r="45" spans="1:9" ht="15">
      <c r="A45" s="43" t="str">
        <f>HLOOKUP(INDICE!$F$2,Nombres!$C$3:$D$636,282,FALSE)</f>
        <v>Dotación de capital regulatorio</v>
      </c>
      <c r="B45" s="44">
        <v>7840.97907303</v>
      </c>
      <c r="C45" s="44">
        <v>8949.143393900002</v>
      </c>
      <c r="D45" s="44">
        <v>9636.57862044</v>
      </c>
      <c r="E45" s="45">
        <v>9830.78685348</v>
      </c>
      <c r="F45" s="44">
        <v>9344.19463919</v>
      </c>
      <c r="G45" s="44">
        <v>10082.541725399999</v>
      </c>
      <c r="H45" s="44">
        <v>10844.975263209995</v>
      </c>
      <c r="I45" s="44">
        <v>11217.943072010003</v>
      </c>
    </row>
    <row r="46" spans="1:9" ht="15">
      <c r="A46" s="62"/>
      <c r="B46" s="58"/>
      <c r="C46" s="58"/>
      <c r="D46" s="58"/>
      <c r="E46" s="58"/>
      <c r="F46" s="76"/>
      <c r="G46" s="76"/>
      <c r="H46" s="76"/>
      <c r="I46" s="76"/>
    </row>
    <row r="47" spans="1:9" ht="15">
      <c r="A47" s="43"/>
      <c r="B47" s="58"/>
      <c r="C47" s="58"/>
      <c r="D47" s="58"/>
      <c r="E47" s="58"/>
      <c r="F47" s="76"/>
      <c r="G47" s="76"/>
      <c r="H47" s="76"/>
      <c r="I47" s="76"/>
    </row>
    <row r="48" spans="1:9" ht="18">
      <c r="A48" s="65" t="str">
        <f>HLOOKUP(INDICE!$F$2,Nombres!$C$3:$D$636,65,FALSE)</f>
        <v>Indicadores relevantes y de gestión</v>
      </c>
      <c r="B48" s="66"/>
      <c r="C48" s="66"/>
      <c r="D48" s="66"/>
      <c r="E48" s="66"/>
      <c r="F48" s="77"/>
      <c r="G48" s="77"/>
      <c r="H48" s="77"/>
      <c r="I48" s="77"/>
    </row>
    <row r="49" spans="1:9" ht="15">
      <c r="A49" s="35" t="str">
        <f>HLOOKUP(INDICE!$F$2,Nombres!$C$3:$D$636,32,FALSE)</f>
        <v>(Millones de euros)</v>
      </c>
      <c r="B49" s="30"/>
      <c r="C49" s="30"/>
      <c r="D49" s="30"/>
      <c r="E49" s="30"/>
      <c r="F49" s="78"/>
      <c r="G49" s="76"/>
      <c r="H49" s="76"/>
      <c r="I49" s="76"/>
    </row>
    <row r="50" spans="1:9" ht="15.75">
      <c r="A50" s="30"/>
      <c r="B50" s="53">
        <f aca="true" t="shared" si="7" ref="B50:I50">+B$30</f>
        <v>44651</v>
      </c>
      <c r="C50" s="53">
        <f t="shared" si="7"/>
        <v>44742</v>
      </c>
      <c r="D50" s="53">
        <f t="shared" si="7"/>
        <v>44834</v>
      </c>
      <c r="E50" s="67">
        <f t="shared" si="7"/>
        <v>44926</v>
      </c>
      <c r="F50" s="75">
        <f t="shared" si="7"/>
        <v>45016</v>
      </c>
      <c r="G50" s="75">
        <f t="shared" si="7"/>
        <v>45107</v>
      </c>
      <c r="H50" s="75">
        <f t="shared" si="7"/>
        <v>45199</v>
      </c>
      <c r="I50" s="75">
        <f t="shared" si="7"/>
        <v>45291</v>
      </c>
    </row>
    <row r="51" spans="1:9" ht="15">
      <c r="A51" s="43" t="str">
        <f>HLOOKUP(INDICE!$F$2,Nombres!$C$3:$D$636,66,FALSE)</f>
        <v>Préstamos y anticipos a la clientela bruto (*)</v>
      </c>
      <c r="B51" s="44">
        <v>62569.48100004</v>
      </c>
      <c r="C51" s="44">
        <v>69001.91599996999</v>
      </c>
      <c r="D51" s="44">
        <v>75774.17399997</v>
      </c>
      <c r="E51" s="45">
        <v>73726.93503051999</v>
      </c>
      <c r="F51" s="44">
        <v>79947.83199998</v>
      </c>
      <c r="G51" s="44">
        <v>86571.49100005001</v>
      </c>
      <c r="H51" s="44">
        <v>89745.58999997</v>
      </c>
      <c r="I51" s="44">
        <v>91160.35800363001</v>
      </c>
    </row>
    <row r="52" spans="1:9" ht="15">
      <c r="A52" s="43" t="str">
        <f>HLOOKUP(INDICE!$F$2,Nombres!$C$3:$D$636,67,FALSE)</f>
        <v>Depósitos de clientes en gestión (**)</v>
      </c>
      <c r="B52" s="44">
        <v>69294.38799998001</v>
      </c>
      <c r="C52" s="44">
        <v>72205.40999998001</v>
      </c>
      <c r="D52" s="44">
        <v>75714.58600002</v>
      </c>
      <c r="E52" s="45">
        <v>77117.08499998001</v>
      </c>
      <c r="F52" s="44">
        <v>79665.34499999</v>
      </c>
      <c r="G52" s="44">
        <v>83269.56500001001</v>
      </c>
      <c r="H52" s="44">
        <v>85156.79900005</v>
      </c>
      <c r="I52" s="44">
        <v>90925.78699999</v>
      </c>
    </row>
    <row r="53" spans="1:9" ht="15">
      <c r="A53" s="43" t="str">
        <f>HLOOKUP(INDICE!$F$2,Nombres!$C$3:$D$636,68,FALSE)</f>
        <v>Fondos de inversión y carteras gestionadas</v>
      </c>
      <c r="B53" s="44">
        <v>31973.31093321</v>
      </c>
      <c r="C53" s="44">
        <v>33942.19299997</v>
      </c>
      <c r="D53" s="44">
        <v>37239.87531460999</v>
      </c>
      <c r="E53" s="45">
        <v>35613.51563138</v>
      </c>
      <c r="F53" s="44">
        <v>40990.70144334</v>
      </c>
      <c r="G53" s="44">
        <v>45764.5787135</v>
      </c>
      <c r="H53" s="44">
        <v>48545.17503953</v>
      </c>
      <c r="I53" s="44">
        <v>49062.14995532</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2461.04517101</v>
      </c>
      <c r="C55" s="44">
        <v>2965.88928613</v>
      </c>
      <c r="D55" s="44">
        <v>3011.4003447799996</v>
      </c>
      <c r="E55" s="45">
        <v>2582.00699414</v>
      </c>
      <c r="F55" s="44">
        <v>3417.5962243599997</v>
      </c>
      <c r="G55" s="44">
        <v>3895.29799947</v>
      </c>
      <c r="H55" s="44">
        <v>4195.72320184</v>
      </c>
      <c r="I55" s="44">
        <v>4192.00702336</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1">
        <f>+B$6</f>
        <v>2022</v>
      </c>
      <c r="C62" s="301"/>
      <c r="D62" s="301"/>
      <c r="E62" s="302"/>
      <c r="F62" s="301">
        <f>+F$6</f>
        <v>2023</v>
      </c>
      <c r="G62" s="301"/>
      <c r="H62" s="301"/>
      <c r="I62" s="301"/>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2094.317803217807</v>
      </c>
      <c r="C64" s="41">
        <v>2163.5285021373365</v>
      </c>
      <c r="D64" s="41">
        <v>2395.5351139058794</v>
      </c>
      <c r="E64" s="42">
        <v>2599.2549497009422</v>
      </c>
      <c r="F64" s="50">
        <v>2705.091995504062</v>
      </c>
      <c r="G64" s="50">
        <v>2685.485967285645</v>
      </c>
      <c r="H64" s="50">
        <v>2816.3279835195917</v>
      </c>
      <c r="I64" s="50">
        <v>2846.6342153806995</v>
      </c>
    </row>
    <row r="65" spans="1:9" ht="15">
      <c r="A65" s="43" t="str">
        <f>HLOOKUP(INDICE!$F$2,Nombres!$C$3:$D$636,34,FALSE)</f>
        <v>Comisiones netas</v>
      </c>
      <c r="B65" s="44">
        <v>412.0969512913541</v>
      </c>
      <c r="C65" s="44">
        <v>448.35841777800357</v>
      </c>
      <c r="D65" s="44">
        <v>461.11044935462456</v>
      </c>
      <c r="E65" s="45">
        <v>473.2180594136206</v>
      </c>
      <c r="F65" s="44">
        <v>504.24852022805806</v>
      </c>
      <c r="G65" s="44">
        <v>537.284788791419</v>
      </c>
      <c r="H65" s="44">
        <v>592.4608558833083</v>
      </c>
      <c r="I65" s="44">
        <v>591.9340492072147</v>
      </c>
    </row>
    <row r="66" spans="1:9" ht="15">
      <c r="A66" s="43" t="str">
        <f>HLOOKUP(INDICE!$F$2,Nombres!$C$3:$D$636,35,FALSE)</f>
        <v>Resultados de operaciones financieras</v>
      </c>
      <c r="B66" s="44">
        <v>110.10588395694239</v>
      </c>
      <c r="C66" s="44">
        <v>152.6032155303476</v>
      </c>
      <c r="D66" s="44">
        <v>100.79331513828483</v>
      </c>
      <c r="E66" s="45">
        <v>121.69913492155925</v>
      </c>
      <c r="F66" s="44">
        <v>155.3930358383506</v>
      </c>
      <c r="G66" s="44">
        <v>166.92396998695332</v>
      </c>
      <c r="H66" s="44">
        <v>63.957469489014606</v>
      </c>
      <c r="I66" s="44">
        <v>186.16668515568145</v>
      </c>
    </row>
    <row r="67" spans="1:9" ht="15">
      <c r="A67" s="43" t="str">
        <f>HLOOKUP(INDICE!$F$2,Nombres!$C$3:$D$636,36,FALSE)</f>
        <v>Otros ingresos y cargas de explotación</v>
      </c>
      <c r="B67" s="44">
        <v>57.82059828810121</v>
      </c>
      <c r="C67" s="44">
        <v>120.27789904214343</v>
      </c>
      <c r="D67" s="44">
        <v>90.28000325850587</v>
      </c>
      <c r="E67" s="45">
        <v>52.90831094142983</v>
      </c>
      <c r="F67" s="44">
        <v>89.34087170407231</v>
      </c>
      <c r="G67" s="44">
        <v>93.24406442036118</v>
      </c>
      <c r="H67" s="44">
        <v>119.3828251970941</v>
      </c>
      <c r="I67" s="44">
        <v>113.45323867847168</v>
      </c>
    </row>
    <row r="68" spans="1:9" ht="15">
      <c r="A68" s="41" t="str">
        <f>HLOOKUP(INDICE!$F$2,Nombres!$C$3:$D$636,37,FALSE)</f>
        <v>Margen bruto</v>
      </c>
      <c r="B68" s="41">
        <f>+SUM(B64:B67)</f>
        <v>2674.3412367542046</v>
      </c>
      <c r="C68" s="41">
        <f aca="true" t="shared" si="9" ref="C68:I68">+SUM(C64:C67)</f>
        <v>2884.7680344878313</v>
      </c>
      <c r="D68" s="41">
        <f t="shared" si="9"/>
        <v>3047.718881657295</v>
      </c>
      <c r="E68" s="42">
        <f t="shared" si="9"/>
        <v>3247.080454977552</v>
      </c>
      <c r="F68" s="50">
        <f t="shared" si="9"/>
        <v>3454.0744232745433</v>
      </c>
      <c r="G68" s="50">
        <f t="shared" si="9"/>
        <v>3482.9387904843784</v>
      </c>
      <c r="H68" s="50">
        <f t="shared" si="9"/>
        <v>3592.129134089009</v>
      </c>
      <c r="I68" s="50">
        <f t="shared" si="9"/>
        <v>3738.1881884220675</v>
      </c>
    </row>
    <row r="69" spans="1:9" ht="15">
      <c r="A69" s="43" t="str">
        <f>HLOOKUP(INDICE!$F$2,Nombres!$C$3:$D$636,38,FALSE)</f>
        <v>Gastos de explotación</v>
      </c>
      <c r="B69" s="44">
        <v>-891.940018094375</v>
      </c>
      <c r="C69" s="44">
        <v>-901.8625217923191</v>
      </c>
      <c r="D69" s="44">
        <v>-950.5786116583629</v>
      </c>
      <c r="E69" s="45">
        <v>-1007.462452915036</v>
      </c>
      <c r="F69" s="44">
        <v>-1032.3315885353436</v>
      </c>
      <c r="G69" s="44">
        <v>-1074.114049760479</v>
      </c>
      <c r="H69" s="44">
        <v>-1084.6442736406957</v>
      </c>
      <c r="I69" s="44">
        <v>-1193.291587643482</v>
      </c>
    </row>
    <row r="70" spans="1:9" ht="15">
      <c r="A70" s="43" t="str">
        <f>HLOOKUP(INDICE!$F$2,Nombres!$C$3:$D$636,39,FALSE)</f>
        <v>  Gastos de administración</v>
      </c>
      <c r="B70" s="44">
        <v>-783.4932553116266</v>
      </c>
      <c r="C70" s="44">
        <v>-793.1840912092512</v>
      </c>
      <c r="D70" s="44">
        <v>-840.7944770564304</v>
      </c>
      <c r="E70" s="45">
        <v>-895.2220890230054</v>
      </c>
      <c r="F70" s="44">
        <v>-918.8785355399184</v>
      </c>
      <c r="G70" s="44">
        <v>-959.320375121337</v>
      </c>
      <c r="H70" s="44">
        <v>-965.1013287543965</v>
      </c>
      <c r="I70" s="44">
        <v>-1072.2743647243483</v>
      </c>
    </row>
    <row r="71" spans="1:9" ht="15">
      <c r="A71" s="46" t="str">
        <f>HLOOKUP(INDICE!$F$2,Nombres!$C$3:$D$636,40,FALSE)</f>
        <v>  Gastos de personal</v>
      </c>
      <c r="B71" s="44">
        <v>-397.3782669879324</v>
      </c>
      <c r="C71" s="44">
        <v>-404.49619800130813</v>
      </c>
      <c r="D71" s="44">
        <v>-443.53333998988467</v>
      </c>
      <c r="E71" s="45">
        <v>-483.2717245798667</v>
      </c>
      <c r="F71" s="44">
        <v>-475.7690656723319</v>
      </c>
      <c r="G71" s="44">
        <v>-499.9103143666045</v>
      </c>
      <c r="H71" s="44">
        <v>-523.9183895739268</v>
      </c>
      <c r="I71" s="44">
        <v>-600.3991694571368</v>
      </c>
    </row>
    <row r="72" spans="1:9" ht="15">
      <c r="A72" s="46" t="str">
        <f>HLOOKUP(INDICE!$F$2,Nombres!$C$3:$D$636,41,FALSE)</f>
        <v>  Otros gastos de administración</v>
      </c>
      <c r="B72" s="44">
        <v>-386.1149883236941</v>
      </c>
      <c r="C72" s="44">
        <v>-388.68789320794303</v>
      </c>
      <c r="D72" s="44">
        <v>-397.26113706654587</v>
      </c>
      <c r="E72" s="45">
        <v>-411.9503644431388</v>
      </c>
      <c r="F72" s="44">
        <v>-443.1094698675864</v>
      </c>
      <c r="G72" s="44">
        <v>-459.41006075473234</v>
      </c>
      <c r="H72" s="44">
        <v>-441.18293918046976</v>
      </c>
      <c r="I72" s="44">
        <v>-471.87519526721144</v>
      </c>
    </row>
    <row r="73" spans="1:9" ht="15">
      <c r="A73" s="43" t="str">
        <f>HLOOKUP(INDICE!$F$2,Nombres!$C$3:$D$636,42,FALSE)</f>
        <v>  Amortización</v>
      </c>
      <c r="B73" s="44">
        <v>-108.44676278274835</v>
      </c>
      <c r="C73" s="44">
        <v>-108.67843058306784</v>
      </c>
      <c r="D73" s="44">
        <v>-109.78413460193241</v>
      </c>
      <c r="E73" s="45">
        <v>-112.24036389203054</v>
      </c>
      <c r="F73" s="44">
        <v>-113.4530529954251</v>
      </c>
      <c r="G73" s="44">
        <v>-114.79367463914224</v>
      </c>
      <c r="H73" s="44">
        <v>-119.54294488629907</v>
      </c>
      <c r="I73" s="44">
        <v>-121.01722291913362</v>
      </c>
    </row>
    <row r="74" spans="1:9" ht="15">
      <c r="A74" s="41" t="str">
        <f>HLOOKUP(INDICE!$F$2,Nombres!$C$3:$D$636,43,FALSE)</f>
        <v>Margen neto</v>
      </c>
      <c r="B74" s="41">
        <f>+B68+B69</f>
        <v>1782.4012186598297</v>
      </c>
      <c r="C74" s="41">
        <f aca="true" t="shared" si="10" ref="C74:I74">+C68+C69</f>
        <v>1982.9055126955122</v>
      </c>
      <c r="D74" s="41">
        <f t="shared" si="10"/>
        <v>2097.140269998932</v>
      </c>
      <c r="E74" s="42">
        <f t="shared" si="10"/>
        <v>2239.618002062516</v>
      </c>
      <c r="F74" s="50">
        <f t="shared" si="10"/>
        <v>2421.7428347391997</v>
      </c>
      <c r="G74" s="50">
        <f t="shared" si="10"/>
        <v>2408.8247407238996</v>
      </c>
      <c r="H74" s="50">
        <f t="shared" si="10"/>
        <v>2507.484860448313</v>
      </c>
      <c r="I74" s="50">
        <f t="shared" si="10"/>
        <v>2544.8966007785857</v>
      </c>
    </row>
    <row r="75" spans="1:9" ht="15">
      <c r="A75" s="43" t="str">
        <f>HLOOKUP(INDICE!$F$2,Nombres!$C$3:$D$636,44,FALSE)</f>
        <v>Deterioro de activos financieros no valorados a valor razonable con cambios en resultados</v>
      </c>
      <c r="B75" s="44">
        <v>-501.8136732253481</v>
      </c>
      <c r="C75" s="44">
        <v>-428.37035219504867</v>
      </c>
      <c r="D75" s="44">
        <v>-504.1746894270477</v>
      </c>
      <c r="E75" s="45">
        <v>-435.19148989433006</v>
      </c>
      <c r="F75" s="44">
        <v>-574.0137687643486</v>
      </c>
      <c r="G75" s="44">
        <v>-589.7537174079655</v>
      </c>
      <c r="H75" s="44">
        <v>-672.3673089426647</v>
      </c>
      <c r="I75" s="44">
        <v>-662.5402048750215</v>
      </c>
    </row>
    <row r="76" spans="1:9" ht="15">
      <c r="A76" s="43" t="str">
        <f>HLOOKUP(INDICE!$F$2,Nombres!$C$3:$D$636,45,FALSE)</f>
        <v>Provisiones o reversión de provisiones y otros resultados</v>
      </c>
      <c r="B76" s="44">
        <v>-1.5218785060506743</v>
      </c>
      <c r="C76" s="44">
        <v>-8.718938114268463</v>
      </c>
      <c r="D76" s="44">
        <v>-40.553473397785744</v>
      </c>
      <c r="E76" s="45">
        <v>24.444273959608893</v>
      </c>
      <c r="F76" s="44">
        <v>-0.8137756880862597</v>
      </c>
      <c r="G76" s="44">
        <v>5.639448317252823</v>
      </c>
      <c r="H76" s="44">
        <v>-5.987701813755269</v>
      </c>
      <c r="I76" s="44">
        <v>-23.883970825411296</v>
      </c>
    </row>
    <row r="77" spans="1:9" ht="15">
      <c r="A77" s="41" t="str">
        <f>HLOOKUP(INDICE!$F$2,Nombres!$C$3:$D$636,46,FALSE)</f>
        <v>Resultado antes de impuestos</v>
      </c>
      <c r="B77" s="41">
        <f>+B74+B75+B76</f>
        <v>1279.065666928431</v>
      </c>
      <c r="C77" s="41">
        <f aca="true" t="shared" si="11" ref="C77:I77">+C74+C75+C76</f>
        <v>1545.816222386195</v>
      </c>
      <c r="D77" s="41">
        <f t="shared" si="11"/>
        <v>1552.4121071740988</v>
      </c>
      <c r="E77" s="42">
        <f t="shared" si="11"/>
        <v>1828.8707861277949</v>
      </c>
      <c r="F77" s="50">
        <f t="shared" si="11"/>
        <v>1846.9152902867647</v>
      </c>
      <c r="G77" s="50">
        <f t="shared" si="11"/>
        <v>1824.710471633187</v>
      </c>
      <c r="H77" s="50">
        <f t="shared" si="11"/>
        <v>1829.1298496918932</v>
      </c>
      <c r="I77" s="50">
        <f t="shared" si="11"/>
        <v>1858.4724250781528</v>
      </c>
    </row>
    <row r="78" spans="1:9" ht="15">
      <c r="A78" s="43" t="str">
        <f>HLOOKUP(INDICE!$F$2,Nombres!$C$3:$D$636,47,FALSE)</f>
        <v>Impuesto sobre beneficios</v>
      </c>
      <c r="B78" s="44">
        <v>-348.3685852453086</v>
      </c>
      <c r="C78" s="44">
        <v>-418.4116004586276</v>
      </c>
      <c r="D78" s="44">
        <v>-332.00253639840247</v>
      </c>
      <c r="E78" s="45">
        <v>-544.1867828052326</v>
      </c>
      <c r="F78" s="44">
        <v>-504.64468662950514</v>
      </c>
      <c r="G78" s="44">
        <v>-488.9899208002793</v>
      </c>
      <c r="H78" s="44">
        <v>-498.3825047417296</v>
      </c>
      <c r="I78" s="44">
        <v>-525.7720433984861</v>
      </c>
    </row>
    <row r="79" spans="1:9" ht="15">
      <c r="A79" s="41" t="str">
        <f>HLOOKUP(INDICE!$F$2,Nombres!$C$3:$D$636,48,FALSE)</f>
        <v>Resultado del ejercicio</v>
      </c>
      <c r="B79" s="41">
        <f>+B77+B78</f>
        <v>930.6970816831224</v>
      </c>
      <c r="C79" s="41">
        <f aca="true" t="shared" si="12" ref="C79:I79">+C77+C78</f>
        <v>1127.4046219275674</v>
      </c>
      <c r="D79" s="41">
        <f t="shared" si="12"/>
        <v>1220.4095707756962</v>
      </c>
      <c r="E79" s="42">
        <f t="shared" si="12"/>
        <v>1284.6840033225621</v>
      </c>
      <c r="F79" s="50">
        <f t="shared" si="12"/>
        <v>1342.2706036572595</v>
      </c>
      <c r="G79" s="50">
        <f t="shared" si="12"/>
        <v>1335.7205508329075</v>
      </c>
      <c r="H79" s="50">
        <f t="shared" si="12"/>
        <v>1330.7473449501636</v>
      </c>
      <c r="I79" s="50">
        <f t="shared" si="12"/>
        <v>1332.7003816796669</v>
      </c>
    </row>
    <row r="80" spans="1:9" ht="15">
      <c r="A80" s="43" t="str">
        <f>HLOOKUP(INDICE!$F$2,Nombres!$C$3:$D$636,49,FALSE)</f>
        <v>Minoritarios</v>
      </c>
      <c r="B80" s="44">
        <v>-0.16536947546062436</v>
      </c>
      <c r="C80" s="44">
        <v>-0.2007864997214516</v>
      </c>
      <c r="D80" s="44">
        <v>-0.22589920451273027</v>
      </c>
      <c r="E80" s="45">
        <v>-0.23400567578528447</v>
      </c>
      <c r="F80" s="44">
        <v>-0.24444610199826244</v>
      </c>
      <c r="G80" s="44">
        <v>-0.24406108053833594</v>
      </c>
      <c r="H80" s="44">
        <v>-0.23725845633078427</v>
      </c>
      <c r="I80" s="44">
        <v>-0.2462343611326173</v>
      </c>
    </row>
    <row r="81" spans="1:9" ht="15">
      <c r="A81" s="47" t="str">
        <f>HLOOKUP(INDICE!$F$2,Nombres!$C$3:$D$636,50,FALSE)</f>
        <v>Resultado atribuido</v>
      </c>
      <c r="B81" s="47">
        <f>+B79+B80</f>
        <v>930.5317122076618</v>
      </c>
      <c r="C81" s="47">
        <f aca="true" t="shared" si="13" ref="C81:I81">+C79+C80</f>
        <v>1127.203835427846</v>
      </c>
      <c r="D81" s="47">
        <f t="shared" si="13"/>
        <v>1220.1836715711836</v>
      </c>
      <c r="E81" s="47">
        <f t="shared" si="13"/>
        <v>1284.4499976467769</v>
      </c>
      <c r="F81" s="51">
        <f t="shared" si="13"/>
        <v>1342.0261575552613</v>
      </c>
      <c r="G81" s="51">
        <f t="shared" si="13"/>
        <v>1335.4764897523692</v>
      </c>
      <c r="H81" s="51">
        <f t="shared" si="13"/>
        <v>1330.5100864938327</v>
      </c>
      <c r="I81" s="51">
        <f t="shared" si="13"/>
        <v>1332.4541473185343</v>
      </c>
    </row>
    <row r="82" spans="1:9" ht="15">
      <c r="A82" s="62"/>
      <c r="B82" s="63">
        <v>0</v>
      </c>
      <c r="C82" s="63">
        <v>0</v>
      </c>
      <c r="D82" s="63">
        <v>0</v>
      </c>
      <c r="E82" s="63">
        <v>0</v>
      </c>
      <c r="F82" s="63">
        <v>0</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44651</v>
      </c>
      <c r="C86" s="53">
        <f t="shared" si="14"/>
        <v>44742</v>
      </c>
      <c r="D86" s="53">
        <f t="shared" si="14"/>
        <v>44834</v>
      </c>
      <c r="E86" s="67">
        <f t="shared" si="14"/>
        <v>44926</v>
      </c>
      <c r="F86" s="53">
        <f t="shared" si="14"/>
        <v>45016</v>
      </c>
      <c r="G86" s="53">
        <f t="shared" si="14"/>
        <v>45107</v>
      </c>
      <c r="H86" s="53">
        <f t="shared" si="14"/>
        <v>45199</v>
      </c>
      <c r="I86" s="53">
        <f t="shared" si="14"/>
        <v>45291</v>
      </c>
    </row>
    <row r="87" spans="1:9" ht="15">
      <c r="A87" s="43" t="str">
        <f>HLOOKUP(INDICE!$F$2,Nombres!$C$3:$D$636,52,FALSE)</f>
        <v>Efectivo, saldos en efectivo en bancos centrales y otros depósitos a la vista</v>
      </c>
      <c r="B87" s="44">
        <v>17611.147780711122</v>
      </c>
      <c r="C87" s="44">
        <v>18574.375557786756</v>
      </c>
      <c r="D87" s="44">
        <v>17391.747631743347</v>
      </c>
      <c r="E87" s="45">
        <v>14735.028945440594</v>
      </c>
      <c r="F87" s="44">
        <v>13348.504032294866</v>
      </c>
      <c r="G87" s="44">
        <v>11429.476658570868</v>
      </c>
      <c r="H87" s="44">
        <v>9665.889682094852</v>
      </c>
      <c r="I87" s="44">
        <v>10089.088</v>
      </c>
    </row>
    <row r="88" spans="1:9" ht="15">
      <c r="A88" s="43" t="str">
        <f>HLOOKUP(INDICE!$F$2,Nombres!$C$3:$D$636,53,FALSE)</f>
        <v>Activos financieros a valor razonable</v>
      </c>
      <c r="B88" s="58">
        <v>51063.65554538788</v>
      </c>
      <c r="C88" s="58">
        <v>51694.012320614944</v>
      </c>
      <c r="D88" s="58">
        <v>53266.07467846582</v>
      </c>
      <c r="E88" s="64">
        <v>51880.6308536611</v>
      </c>
      <c r="F88" s="44">
        <v>50732.82696086399</v>
      </c>
      <c r="G88" s="44">
        <v>53415.4871809681</v>
      </c>
      <c r="H88" s="44">
        <v>60228.35453959266</v>
      </c>
      <c r="I88" s="44">
        <v>60378.705</v>
      </c>
    </row>
    <row r="89" spans="1:9" ht="15">
      <c r="A89" s="43" t="str">
        <f>HLOOKUP(INDICE!$F$2,Nombres!$C$3:$D$636,54,FALSE)</f>
        <v>Activos financieros a coste amortizado</v>
      </c>
      <c r="B89" s="44">
        <v>76239.57276633769</v>
      </c>
      <c r="C89" s="44">
        <v>80266.78480173189</v>
      </c>
      <c r="D89" s="44">
        <v>82157.33938952538</v>
      </c>
      <c r="E89" s="45">
        <v>85984.8598754334</v>
      </c>
      <c r="F89" s="44">
        <v>88757.5671132843</v>
      </c>
      <c r="G89" s="44">
        <v>91440.07018381763</v>
      </c>
      <c r="H89" s="44">
        <v>93843.44564982904</v>
      </c>
      <c r="I89" s="44">
        <v>96341.63100360999</v>
      </c>
    </row>
    <row r="90" spans="1:9" ht="15">
      <c r="A90" s="43" t="str">
        <f>HLOOKUP(INDICE!$F$2,Nombres!$C$3:$D$636,55,FALSE)</f>
        <v>    de los que préstamos y anticipos a la clientela</v>
      </c>
      <c r="B90" s="44">
        <v>71182.05963217236</v>
      </c>
      <c r="C90" s="44">
        <v>74547.16997075267</v>
      </c>
      <c r="D90" s="44">
        <v>76664.9709472654</v>
      </c>
      <c r="E90" s="45">
        <v>79345.36217262506</v>
      </c>
      <c r="F90" s="44">
        <v>81057.93521132098</v>
      </c>
      <c r="G90" s="44">
        <v>82969.95269102124</v>
      </c>
      <c r="H90" s="44">
        <v>85707.71812526477</v>
      </c>
      <c r="I90" s="44">
        <v>88111.5380036</v>
      </c>
    </row>
    <row r="91" spans="1:9" ht="15" customHeight="1" hidden="1">
      <c r="A91" s="43"/>
      <c r="B91" s="44"/>
      <c r="C91" s="44"/>
      <c r="D91" s="44"/>
      <c r="E91" s="45"/>
      <c r="F91" s="44"/>
      <c r="G91" s="44"/>
      <c r="H91" s="44"/>
      <c r="I91" s="44"/>
    </row>
    <row r="92" spans="1:9" ht="15">
      <c r="A92" s="43" t="str">
        <f>HLOOKUP(INDICE!$F$2,Nombres!$C$3:$D$636,56,FALSE)</f>
        <v>Activos tangibles</v>
      </c>
      <c r="B92" s="44">
        <v>2089.0884407834974</v>
      </c>
      <c r="C92" s="44">
        <v>2075.7550469024027</v>
      </c>
      <c r="D92" s="44">
        <v>2090.8657238175083</v>
      </c>
      <c r="E92" s="45">
        <v>2193.777042467155</v>
      </c>
      <c r="F92" s="44">
        <v>2200.262553617951</v>
      </c>
      <c r="G92" s="44">
        <v>2233.783113921935</v>
      </c>
      <c r="H92" s="44">
        <v>2301.4523762986687</v>
      </c>
      <c r="I92" s="44">
        <v>2386.81400001</v>
      </c>
    </row>
    <row r="93" spans="1:9" ht="15">
      <c r="A93" s="43" t="str">
        <f>HLOOKUP(INDICE!$F$2,Nombres!$C$3:$D$636,57,FALSE)</f>
        <v>Otros activos</v>
      </c>
      <c r="B93" s="58">
        <f>+B94-B92-B89-B88-B87</f>
        <v>3622.239408474008</v>
      </c>
      <c r="C93" s="58">
        <f aca="true" t="shared" si="15" ref="C93:I93">+C94-C92-C89-C88-C87</f>
        <v>3989.682054249817</v>
      </c>
      <c r="D93" s="58">
        <f t="shared" si="15"/>
        <v>3936.9975008451947</v>
      </c>
      <c r="E93" s="64">
        <f t="shared" si="15"/>
        <v>4002.2983426845676</v>
      </c>
      <c r="F93" s="44">
        <f t="shared" si="15"/>
        <v>4350.795260610164</v>
      </c>
      <c r="G93" s="44">
        <f t="shared" si="15"/>
        <v>4815.88180430172</v>
      </c>
      <c r="H93" s="44">
        <f t="shared" si="15"/>
        <v>4943.474522684342</v>
      </c>
      <c r="I93" s="44">
        <f t="shared" si="15"/>
        <v>4292.605304880057</v>
      </c>
    </row>
    <row r="94" spans="1:9" ht="15">
      <c r="A94" s="47" t="str">
        <f>HLOOKUP(INDICE!$F$2,Nombres!$C$3:$D$636,58,FALSE)</f>
        <v>Total activo / pasivo</v>
      </c>
      <c r="B94" s="47">
        <v>150625.7039416942</v>
      </c>
      <c r="C94" s="47">
        <v>156600.6097812858</v>
      </c>
      <c r="D94" s="47">
        <v>158843.02492439726</v>
      </c>
      <c r="E94" s="47">
        <v>158796.5950596868</v>
      </c>
      <c r="F94" s="51">
        <v>159389.95592067126</v>
      </c>
      <c r="G94" s="51">
        <v>163334.69894158025</v>
      </c>
      <c r="H94" s="51">
        <v>170982.61677049956</v>
      </c>
      <c r="I94" s="51">
        <v>173488.84330850004</v>
      </c>
    </row>
    <row r="95" spans="1:9" ht="15">
      <c r="A95" s="43" t="str">
        <f>HLOOKUP(INDICE!$F$2,Nombres!$C$3:$D$636,59,FALSE)</f>
        <v>Pasivos financieros mantenidos para negociar y designados a valor razonable con cambios en resultados</v>
      </c>
      <c r="B95" s="58">
        <v>26869.089616756275</v>
      </c>
      <c r="C95" s="58">
        <v>30003.515677631935</v>
      </c>
      <c r="D95" s="58">
        <v>32308.011590334827</v>
      </c>
      <c r="E95" s="64">
        <v>28783.351887685934</v>
      </c>
      <c r="F95" s="44">
        <v>29407.043752200032</v>
      </c>
      <c r="G95" s="44">
        <v>28564.021885728936</v>
      </c>
      <c r="H95" s="44">
        <v>32674.64308584992</v>
      </c>
      <c r="I95" s="44">
        <v>28492.451</v>
      </c>
    </row>
    <row r="96" spans="1:9" ht="15">
      <c r="A96" s="43" t="str">
        <f>HLOOKUP(INDICE!$F$2,Nombres!$C$3:$D$636,60,FALSE)</f>
        <v>Depósitos de bancos centrales y entidades de crédito</v>
      </c>
      <c r="B96" s="58">
        <v>3300.565558051167</v>
      </c>
      <c r="C96" s="58">
        <v>5755.90180015614</v>
      </c>
      <c r="D96" s="58">
        <v>7677.15888153157</v>
      </c>
      <c r="E96" s="64">
        <v>4903.577759230474</v>
      </c>
      <c r="F96" s="44">
        <v>7197.6386733604195</v>
      </c>
      <c r="G96" s="44">
        <v>9750.64501421899</v>
      </c>
      <c r="H96" s="44">
        <v>11540.19512848054</v>
      </c>
      <c r="I96" s="44">
        <v>8739.000999990001</v>
      </c>
    </row>
    <row r="97" spans="1:9" ht="15">
      <c r="A97" s="43" t="str">
        <f>HLOOKUP(INDICE!$F$2,Nombres!$C$3:$D$636,61,FALSE)</f>
        <v>Depósitos de la clientela</v>
      </c>
      <c r="B97" s="58">
        <v>82042.49356659717</v>
      </c>
      <c r="C97" s="58">
        <v>81392.392970418</v>
      </c>
      <c r="D97" s="58">
        <v>80372.49392623358</v>
      </c>
      <c r="E97" s="64">
        <v>86607.30502321551</v>
      </c>
      <c r="F97" s="44">
        <v>84094.6062980704</v>
      </c>
      <c r="G97" s="44">
        <v>84132.1738532879</v>
      </c>
      <c r="H97" s="44">
        <v>85357.98137278965</v>
      </c>
      <c r="I97" s="44">
        <v>92564.05799998</v>
      </c>
    </row>
    <row r="98" spans="1:9" ht="15">
      <c r="A98" s="43" t="str">
        <f>HLOOKUP(INDICE!$F$2,Nombres!$C$3:$D$636,62,FALSE)</f>
        <v>Valores representativos de deuda emitidos</v>
      </c>
      <c r="B98" s="44">
        <v>9775.698952792656</v>
      </c>
      <c r="C98" s="44">
        <v>10473.004097608407</v>
      </c>
      <c r="D98" s="44">
        <v>8927.12210343013</v>
      </c>
      <c r="E98" s="45">
        <v>8641.25826723198</v>
      </c>
      <c r="F98" s="44">
        <v>8724.236058868293</v>
      </c>
      <c r="G98" s="44">
        <v>9693.411440257223</v>
      </c>
      <c r="H98" s="44">
        <v>9081.459391112014</v>
      </c>
      <c r="I98" s="44">
        <v>9719.413362809999</v>
      </c>
    </row>
    <row r="99" spans="1:9" ht="15" customHeight="1" hidden="1">
      <c r="A99" s="43"/>
      <c r="B99" s="44"/>
      <c r="C99" s="44"/>
      <c r="D99" s="44"/>
      <c r="E99" s="45"/>
      <c r="F99" s="44"/>
      <c r="G99" s="44"/>
      <c r="H99" s="44"/>
      <c r="I99" s="44"/>
    </row>
    <row r="100" spans="1:9" ht="15">
      <c r="A100" s="43" t="str">
        <f>HLOOKUP(INDICE!$F$2,Nombres!$C$3:$D$636,63,FALSE)</f>
        <v>Otros pasivos</v>
      </c>
      <c r="B100" s="58">
        <f>+B94-B95-B96-B97-B98-B101</f>
        <v>19386.739711323353</v>
      </c>
      <c r="C100" s="58">
        <f aca="true" t="shared" si="16" ref="C100:I100">+C94-C95-C96-C97-C98-C101</f>
        <v>18955.513496561158</v>
      </c>
      <c r="D100" s="58">
        <f t="shared" si="16"/>
        <v>19450.101495628747</v>
      </c>
      <c r="E100" s="64">
        <f t="shared" si="16"/>
        <v>18910.41069748912</v>
      </c>
      <c r="F100" s="44">
        <f t="shared" si="16"/>
        <v>20165.03567700104</v>
      </c>
      <c r="G100" s="44">
        <f t="shared" si="16"/>
        <v>21198.981788599132</v>
      </c>
      <c r="H100" s="44">
        <f t="shared" si="16"/>
        <v>21610.850982102653</v>
      </c>
      <c r="I100" s="44">
        <f t="shared" si="16"/>
        <v>22755.976873710042</v>
      </c>
    </row>
    <row r="101" spans="1:9" ht="15">
      <c r="A101" s="43" t="str">
        <f>HLOOKUP(INDICE!$F$2,Nombres!$C$3:$D$636,282,FALSE)</f>
        <v>Dotación de capital regulatorio</v>
      </c>
      <c r="B101" s="44">
        <v>9251.116536173575</v>
      </c>
      <c r="C101" s="44">
        <v>10020.28173891017</v>
      </c>
      <c r="D101" s="44">
        <v>10108.136927238424</v>
      </c>
      <c r="E101" s="64">
        <v>10950.691424833789</v>
      </c>
      <c r="F101" s="44">
        <v>9801.39546117108</v>
      </c>
      <c r="G101" s="44">
        <v>9995.464959488087</v>
      </c>
      <c r="H101" s="44">
        <v>10717.486810164792</v>
      </c>
      <c r="I101" s="44">
        <v>11217.943072010003</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65" t="str">
        <f>HLOOKUP(INDICE!$F$2,Nombres!$C$3:$D$636,65,FALSE)</f>
        <v>Indicadores relevantes y de gestión</v>
      </c>
      <c r="B104" s="66"/>
      <c r="C104" s="66"/>
      <c r="D104" s="66"/>
      <c r="E104" s="66"/>
      <c r="F104" s="71"/>
      <c r="G104" s="71"/>
      <c r="H104" s="71"/>
      <c r="I104" s="71"/>
    </row>
    <row r="105" spans="1:9" ht="15">
      <c r="A105" s="35" t="str">
        <f>HLOOKUP(INDICE!$F$2,Nombres!$C$3:$D$636,73,FALSE)</f>
        <v>(Millones de euros constantes)</v>
      </c>
      <c r="B105" s="30"/>
      <c r="C105" s="30"/>
      <c r="D105" s="30"/>
      <c r="E105" s="30"/>
      <c r="F105" s="69"/>
      <c r="G105" s="69"/>
      <c r="H105" s="69"/>
      <c r="I105" s="69"/>
    </row>
    <row r="106" spans="1:9" ht="15.75">
      <c r="A106" s="30"/>
      <c r="B106" s="53">
        <f aca="true" t="shared" si="17" ref="B106:I106">+B$30</f>
        <v>44651</v>
      </c>
      <c r="C106" s="53">
        <f t="shared" si="17"/>
        <v>44742</v>
      </c>
      <c r="D106" s="53">
        <f t="shared" si="17"/>
        <v>44834</v>
      </c>
      <c r="E106" s="67">
        <f t="shared" si="17"/>
        <v>44926</v>
      </c>
      <c r="F106" s="53">
        <f t="shared" si="17"/>
        <v>45016</v>
      </c>
      <c r="G106" s="53">
        <f t="shared" si="17"/>
        <v>45107</v>
      </c>
      <c r="H106" s="53">
        <f t="shared" si="17"/>
        <v>45199</v>
      </c>
      <c r="I106" s="53">
        <f t="shared" si="17"/>
        <v>45291</v>
      </c>
    </row>
    <row r="107" spans="1:9" ht="15">
      <c r="A107" s="43" t="str">
        <f>HLOOKUP(INDICE!$F$2,Nombres!$C$3:$D$636,66,FALSE)</f>
        <v>Préstamos y anticipos a la clientela bruto (*)</v>
      </c>
      <c r="B107" s="44">
        <v>73822.10243746862</v>
      </c>
      <c r="C107" s="44">
        <v>77260.8738525303</v>
      </c>
      <c r="D107" s="44">
        <v>79482.12290983358</v>
      </c>
      <c r="E107" s="45">
        <v>82125.76747426836</v>
      </c>
      <c r="F107" s="44">
        <v>83859.58854159724</v>
      </c>
      <c r="G107" s="44">
        <v>85823.8258118697</v>
      </c>
      <c r="H107" s="44">
        <v>88690.58285066477</v>
      </c>
      <c r="I107" s="44">
        <v>91160.35800363001</v>
      </c>
    </row>
    <row r="108" spans="1:9" ht="15">
      <c r="A108" s="43" t="str">
        <f>HLOOKUP(INDICE!$F$2,Nombres!$C$3:$D$636,67,FALSE)</f>
        <v>Depósitos de clientes en gestión (**)</v>
      </c>
      <c r="B108" s="44">
        <v>81756.43025188189</v>
      </c>
      <c r="C108" s="44">
        <v>80847.79955213288</v>
      </c>
      <c r="D108" s="44">
        <v>79419.61901852122</v>
      </c>
      <c r="E108" s="45">
        <v>85902.11689093022</v>
      </c>
      <c r="F108" s="44">
        <v>83563.27977380581</v>
      </c>
      <c r="G108" s="44">
        <v>82550.41653362413</v>
      </c>
      <c r="H108" s="44">
        <v>84155.73552988918</v>
      </c>
      <c r="I108" s="44">
        <v>90925.78699999</v>
      </c>
    </row>
    <row r="109" spans="1:9" ht="15">
      <c r="A109" s="43" t="str">
        <f>HLOOKUP(INDICE!$F$2,Nombres!$C$3:$D$636,68,FALSE)</f>
        <v>Fondos de inversión y carteras gestionadas</v>
      </c>
      <c r="B109" s="44">
        <v>37723.45554496376</v>
      </c>
      <c r="C109" s="44">
        <v>38004.79238359207</v>
      </c>
      <c r="D109" s="44">
        <v>39062.178980715515</v>
      </c>
      <c r="E109" s="45">
        <v>39670.539708088916</v>
      </c>
      <c r="F109" s="44">
        <v>42996.3298700934</v>
      </c>
      <c r="G109" s="44">
        <v>45369.337948202316</v>
      </c>
      <c r="H109" s="44">
        <v>47974.500684043625</v>
      </c>
      <c r="I109" s="44">
        <v>49062.14995532</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2903.6444895143295</v>
      </c>
      <c r="C111" s="44">
        <v>3320.8816693780027</v>
      </c>
      <c r="D111" s="44">
        <v>3158.760824428306</v>
      </c>
      <c r="E111" s="45">
        <v>2876.1443281196525</v>
      </c>
      <c r="F111" s="44">
        <v>3584.815322774701</v>
      </c>
      <c r="G111" s="44">
        <v>3861.6566854744906</v>
      </c>
      <c r="H111" s="44">
        <v>4146.400243748706</v>
      </c>
      <c r="I111" s="44">
        <v>4192.00702336</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HLOOKUP(INDICE!$F$2,Nombres!$C$3:$D$636,74,FALSE)</f>
        <v>(Millones de pesos mexicanos)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1">
        <f>+B$6</f>
        <v>2022</v>
      </c>
      <c r="C118" s="301"/>
      <c r="D118" s="301"/>
      <c r="E118" s="302"/>
      <c r="F118" s="301">
        <f>+F$6</f>
        <v>2023</v>
      </c>
      <c r="G118" s="301"/>
      <c r="H118" s="301"/>
      <c r="I118" s="301"/>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40182.844246325636</v>
      </c>
      <c r="C120" s="41">
        <v>41510.76244985224</v>
      </c>
      <c r="D120" s="41">
        <v>45962.181203247375</v>
      </c>
      <c r="E120" s="42">
        <v>49870.8728158874</v>
      </c>
      <c r="F120" s="50">
        <v>51901.52619641244</v>
      </c>
      <c r="G120" s="50">
        <v>51525.35311657746</v>
      </c>
      <c r="H120" s="50">
        <v>54035.76693778728</v>
      </c>
      <c r="I120" s="50">
        <v>54617.240576934535</v>
      </c>
    </row>
    <row r="121" spans="1:9" ht="15">
      <c r="A121" s="43" t="str">
        <f>HLOOKUP(INDICE!$F$2,Nombres!$C$3:$D$636,34,FALSE)</f>
        <v>Comisiones netas</v>
      </c>
      <c r="B121" s="44">
        <v>7906.740601967742</v>
      </c>
      <c r="C121" s="44">
        <v>8602.474963647543</v>
      </c>
      <c r="D121" s="44">
        <v>8847.14313095257</v>
      </c>
      <c r="E121" s="45">
        <v>9079.447038434224</v>
      </c>
      <c r="F121" s="44">
        <v>9674.816170990167</v>
      </c>
      <c r="G121" s="44">
        <v>10308.66994051917</v>
      </c>
      <c r="H121" s="44">
        <v>11367.311234916657</v>
      </c>
      <c r="I121" s="44">
        <v>11357.203604364662</v>
      </c>
    </row>
    <row r="122" spans="1:9" ht="15">
      <c r="A122" s="43" t="str">
        <f>HLOOKUP(INDICE!$F$2,Nombres!$C$3:$D$636,35,FALSE)</f>
        <v>Resultados de operaciones financieras</v>
      </c>
      <c r="B122" s="44">
        <v>2112.55788345399</v>
      </c>
      <c r="C122" s="44">
        <v>2927.937312915394</v>
      </c>
      <c r="D122" s="44">
        <v>1933.8813226195452</v>
      </c>
      <c r="E122" s="45">
        <v>2334.992987192312</v>
      </c>
      <c r="F122" s="44">
        <v>2981.4644876065913</v>
      </c>
      <c r="G122" s="44">
        <v>3202.7039433358173</v>
      </c>
      <c r="H122" s="44">
        <v>1227.1265759750233</v>
      </c>
      <c r="I122" s="44">
        <v>3571.906279921693</v>
      </c>
    </row>
    <row r="123" spans="1:9" ht="15">
      <c r="A123" s="43" t="str">
        <f>HLOOKUP(INDICE!$F$2,Nombres!$C$3:$D$636,36,FALSE)</f>
        <v>Otros ingresos y cargas de explotación</v>
      </c>
      <c r="B123" s="44">
        <v>1109.3808645805143</v>
      </c>
      <c r="C123" s="44">
        <v>2307.7242986045017</v>
      </c>
      <c r="D123" s="44">
        <v>1732.1665813662603</v>
      </c>
      <c r="E123" s="45">
        <v>1015.1307574376591</v>
      </c>
      <c r="F123" s="44">
        <v>1714.1478370665136</v>
      </c>
      <c r="G123" s="44">
        <v>1789.0368461467324</v>
      </c>
      <c r="H123" s="44">
        <v>2290.5508720837815</v>
      </c>
      <c r="I123" s="44">
        <v>2176.7822495963846</v>
      </c>
    </row>
    <row r="124" spans="1:9" ht="15">
      <c r="A124" s="41" t="str">
        <f>HLOOKUP(INDICE!$F$2,Nombres!$C$3:$D$636,37,FALSE)</f>
        <v>Margen bruto</v>
      </c>
      <c r="B124" s="41">
        <f>+SUM(B120:B123)</f>
        <v>51311.52359632788</v>
      </c>
      <c r="C124" s="41">
        <f aca="true" t="shared" si="19" ref="C124:I124">+SUM(C120:C123)</f>
        <v>55348.89902501968</v>
      </c>
      <c r="D124" s="41">
        <f t="shared" si="19"/>
        <v>58475.37223818576</v>
      </c>
      <c r="E124" s="42">
        <f t="shared" si="19"/>
        <v>62300.4435989516</v>
      </c>
      <c r="F124" s="50">
        <f t="shared" si="19"/>
        <v>66271.95469207571</v>
      </c>
      <c r="G124" s="50">
        <f t="shared" si="19"/>
        <v>66825.76384657918</v>
      </c>
      <c r="H124" s="50">
        <f t="shared" si="19"/>
        <v>68920.75562076273</v>
      </c>
      <c r="I124" s="50">
        <f t="shared" si="19"/>
        <v>71723.13271081727</v>
      </c>
    </row>
    <row r="125" spans="1:9" ht="15">
      <c r="A125" s="43" t="str">
        <f>HLOOKUP(INDICE!$F$2,Nombres!$C$3:$D$636,38,FALSE)</f>
        <v>Gastos de explotación</v>
      </c>
      <c r="B125" s="44">
        <v>-17113.29902705494</v>
      </c>
      <c r="C125" s="44">
        <v>-17303.67816627415</v>
      </c>
      <c r="D125" s="44">
        <v>-18238.37444224982</v>
      </c>
      <c r="E125" s="45">
        <v>-19329.782121560813</v>
      </c>
      <c r="F125" s="44">
        <v>-19806.93635366262</v>
      </c>
      <c r="G125" s="44">
        <v>-20608.59984955525</v>
      </c>
      <c r="H125" s="44">
        <v>-20810.63907464686</v>
      </c>
      <c r="I125" s="44">
        <v>-22895.211955442617</v>
      </c>
    </row>
    <row r="126" spans="1:9" ht="15">
      <c r="A126" s="43" t="str">
        <f>HLOOKUP(INDICE!$F$2,Nombres!$C$3:$D$636,39,FALSE)</f>
        <v>  Gastos de administración</v>
      </c>
      <c r="B126" s="44">
        <v>-15032.574042899227</v>
      </c>
      <c r="C126" s="44">
        <v>-15218.508264005804</v>
      </c>
      <c r="D126" s="44">
        <v>-16131.989835935936</v>
      </c>
      <c r="E126" s="45">
        <v>-17176.270818980665</v>
      </c>
      <c r="F126" s="44">
        <v>-17630.15766669313</v>
      </c>
      <c r="G126" s="44">
        <v>-18406.09918733445</v>
      </c>
      <c r="H126" s="44">
        <v>-18517.0160496538</v>
      </c>
      <c r="I126" s="44">
        <v>-20573.302543121834</v>
      </c>
    </row>
    <row r="127" spans="1:9" ht="15">
      <c r="A127" s="46" t="str">
        <f>HLOOKUP(INDICE!$F$2,Nombres!$C$3:$D$636,40,FALSE)</f>
        <v>  Gastos de personal</v>
      </c>
      <c r="B127" s="44">
        <v>-7624.339049554582</v>
      </c>
      <c r="C127" s="44">
        <v>-7760.907966090128</v>
      </c>
      <c r="D127" s="44">
        <v>-8509.898111682436</v>
      </c>
      <c r="E127" s="45">
        <v>-9272.342720674656</v>
      </c>
      <c r="F127" s="44">
        <v>-9128.39218277082</v>
      </c>
      <c r="G127" s="44">
        <v>-9591.580737393862</v>
      </c>
      <c r="H127" s="44">
        <v>-10052.214145192658</v>
      </c>
      <c r="I127" s="44">
        <v>-11519.620505947798</v>
      </c>
    </row>
    <row r="128" spans="1:9" ht="15">
      <c r="A128" s="46" t="str">
        <f>HLOOKUP(INDICE!$F$2,Nombres!$C$3:$D$636,41,FALSE)</f>
        <v>  Otros gastos de administración</v>
      </c>
      <c r="B128" s="44">
        <v>-7408.234993344645</v>
      </c>
      <c r="C128" s="44">
        <v>-7457.600297915678</v>
      </c>
      <c r="D128" s="44">
        <v>-7622.0917242535015</v>
      </c>
      <c r="E128" s="45">
        <v>-7903.928098306006</v>
      </c>
      <c r="F128" s="44">
        <v>-8501.765483922307</v>
      </c>
      <c r="G128" s="44">
        <v>-8814.518449940588</v>
      </c>
      <c r="H128" s="44">
        <v>-8464.801904461145</v>
      </c>
      <c r="I128" s="44">
        <v>-9053.682037174036</v>
      </c>
    </row>
    <row r="129" spans="1:9" ht="15">
      <c r="A129" s="43" t="str">
        <f>HLOOKUP(INDICE!$F$2,Nombres!$C$3:$D$636,42,FALSE)</f>
        <v>  Amortización</v>
      </c>
      <c r="B129" s="44">
        <v>-2080.724984155713</v>
      </c>
      <c r="C129" s="44">
        <v>-2085.1699022683433</v>
      </c>
      <c r="D129" s="44">
        <v>-2106.3846063138835</v>
      </c>
      <c r="E129" s="45">
        <v>-2153.5113025801493</v>
      </c>
      <c r="F129" s="44">
        <v>-2176.7786869694946</v>
      </c>
      <c r="G129" s="44">
        <v>-2202.5006622208</v>
      </c>
      <c r="H129" s="44">
        <v>-2293.623024993059</v>
      </c>
      <c r="I129" s="44">
        <v>-2321.909412320784</v>
      </c>
    </row>
    <row r="130" spans="1:9" ht="15">
      <c r="A130" s="41" t="str">
        <f>HLOOKUP(INDICE!$F$2,Nombres!$C$3:$D$636,43,FALSE)</f>
        <v>Margen neto</v>
      </c>
      <c r="B130" s="41">
        <f>+B124+B125</f>
        <v>34198.22456927294</v>
      </c>
      <c r="C130" s="41">
        <f aca="true" t="shared" si="20" ref="C130:I130">+C124+C125</f>
        <v>38045.22085874553</v>
      </c>
      <c r="D130" s="41">
        <f t="shared" si="20"/>
        <v>40236.99779593594</v>
      </c>
      <c r="E130" s="42">
        <f t="shared" si="20"/>
        <v>42970.661477390786</v>
      </c>
      <c r="F130" s="50">
        <f t="shared" si="20"/>
        <v>46465.018338413094</v>
      </c>
      <c r="G130" s="50">
        <f t="shared" si="20"/>
        <v>46217.163997023934</v>
      </c>
      <c r="H130" s="50">
        <f t="shared" si="20"/>
        <v>48110.116546115874</v>
      </c>
      <c r="I130" s="50">
        <f t="shared" si="20"/>
        <v>48827.92075537465</v>
      </c>
    </row>
    <row r="131" spans="1:9" ht="15">
      <c r="A131" s="43" t="str">
        <f>HLOOKUP(INDICE!$F$2,Nombres!$C$3:$D$636,44,FALSE)</f>
        <v>Deterioro de activos financieros no valorados a valor razonable con cambios en resultados</v>
      </c>
      <c r="B131" s="44">
        <v>-9628.09972818325</v>
      </c>
      <c r="C131" s="44">
        <v>-8218.97188456796</v>
      </c>
      <c r="D131" s="44">
        <v>-9673.399608721995</v>
      </c>
      <c r="E131" s="45">
        <v>-8349.84634561291</v>
      </c>
      <c r="F131" s="44">
        <v>-11013.374297857412</v>
      </c>
      <c r="G131" s="44">
        <v>-11315.370443724029</v>
      </c>
      <c r="H131" s="44">
        <v>-12900.444626910521</v>
      </c>
      <c r="I131" s="44">
        <v>-12711.89588252424</v>
      </c>
    </row>
    <row r="132" spans="1:9" ht="15">
      <c r="A132" s="43" t="str">
        <f>HLOOKUP(INDICE!$F$2,Nombres!$C$3:$D$636,45,FALSE)</f>
        <v>Provisiones o reversión de provisiones y otros resultados</v>
      </c>
      <c r="B132" s="44">
        <v>-29.199678709938837</v>
      </c>
      <c r="C132" s="44">
        <v>-167.28680418067643</v>
      </c>
      <c r="D132" s="44">
        <v>-778.0833943573475</v>
      </c>
      <c r="E132" s="45">
        <v>469.0025800880455</v>
      </c>
      <c r="F132" s="44">
        <v>-15.613591058422543</v>
      </c>
      <c r="G132" s="44">
        <v>108.20185600256119</v>
      </c>
      <c r="H132" s="44">
        <v>-114.88365758334072</v>
      </c>
      <c r="I132" s="44">
        <v>-458.25226629249926</v>
      </c>
    </row>
    <row r="133" spans="1:9" ht="15">
      <c r="A133" s="41" t="str">
        <f>HLOOKUP(INDICE!$F$2,Nombres!$C$3:$D$636,46,FALSE)</f>
        <v>Resultado antes de impuestos</v>
      </c>
      <c r="B133" s="41">
        <f>+B130+B131+B132</f>
        <v>24540.925162379754</v>
      </c>
      <c r="C133" s="41">
        <f aca="true" t="shared" si="21" ref="C133:I133">+C130+C131+C132</f>
        <v>29658.962169996896</v>
      </c>
      <c r="D133" s="41">
        <f t="shared" si="21"/>
        <v>29785.514792856597</v>
      </c>
      <c r="E133" s="42">
        <f t="shared" si="21"/>
        <v>35089.81771186592</v>
      </c>
      <c r="F133" s="50">
        <f t="shared" si="21"/>
        <v>35436.03044949726</v>
      </c>
      <c r="G133" s="50">
        <f t="shared" si="21"/>
        <v>35009.995409302464</v>
      </c>
      <c r="H133" s="50">
        <f t="shared" si="21"/>
        <v>35094.788261622016</v>
      </c>
      <c r="I133" s="50">
        <f t="shared" si="21"/>
        <v>35657.77260655791</v>
      </c>
    </row>
    <row r="134" spans="1:9" ht="15">
      <c r="A134" s="43" t="str">
        <f>HLOOKUP(INDICE!$F$2,Nombres!$C$3:$D$636,47,FALSE)</f>
        <v>Impuesto sobre beneficios</v>
      </c>
      <c r="B134" s="44">
        <v>-6684.0097427989185</v>
      </c>
      <c r="C134" s="44">
        <v>-8027.8972686249635</v>
      </c>
      <c r="D134" s="44">
        <v>-6370.00086089352</v>
      </c>
      <c r="E134" s="45">
        <v>-10441.0957595711</v>
      </c>
      <c r="F134" s="44">
        <v>-9682.417258456699</v>
      </c>
      <c r="G134" s="44">
        <v>-9382.05548143223</v>
      </c>
      <c r="H134" s="44">
        <v>-9562.267260661696</v>
      </c>
      <c r="I134" s="44">
        <v>-10087.779465224045</v>
      </c>
    </row>
    <row r="135" spans="1:9" ht="15">
      <c r="A135" s="41" t="str">
        <f>HLOOKUP(INDICE!$F$2,Nombres!$C$3:$D$636,48,FALSE)</f>
        <v>Resultado del ejercicio</v>
      </c>
      <c r="B135" s="41">
        <f>+B133+B134</f>
        <v>17856.915419580837</v>
      </c>
      <c r="C135" s="41">
        <f aca="true" t="shared" si="22" ref="C135:I135">+C133+C134</f>
        <v>21631.06490137193</v>
      </c>
      <c r="D135" s="41">
        <f t="shared" si="22"/>
        <v>23415.513931963076</v>
      </c>
      <c r="E135" s="42">
        <f t="shared" si="22"/>
        <v>24648.72195229482</v>
      </c>
      <c r="F135" s="50">
        <f t="shared" si="22"/>
        <v>25753.61319104056</v>
      </c>
      <c r="G135" s="50">
        <f t="shared" si="22"/>
        <v>25627.939927870233</v>
      </c>
      <c r="H135" s="50">
        <f t="shared" si="22"/>
        <v>25532.521000960318</v>
      </c>
      <c r="I135" s="50">
        <f t="shared" si="22"/>
        <v>25569.993141333867</v>
      </c>
    </row>
    <row r="136" spans="1:9" ht="15">
      <c r="A136" s="43" t="str">
        <f>HLOOKUP(INDICE!$F$2,Nombres!$C$3:$D$636,49,FALSE)</f>
        <v>Minoritarios</v>
      </c>
      <c r="B136" s="44">
        <v>-3.172878473993358</v>
      </c>
      <c r="C136" s="44">
        <v>-3.852410857929813</v>
      </c>
      <c r="D136" s="44">
        <v>-4.334238355018114</v>
      </c>
      <c r="E136" s="45">
        <v>-4.489774001056112</v>
      </c>
      <c r="F136" s="44">
        <v>-4.690090313956079</v>
      </c>
      <c r="G136" s="44">
        <v>-4.682703060057958</v>
      </c>
      <c r="H136" s="44">
        <v>-4.552183810028979</v>
      </c>
      <c r="I136" s="44">
        <v>-4.724400932028198</v>
      </c>
    </row>
    <row r="137" spans="1:9" ht="15">
      <c r="A137" s="47" t="str">
        <f>HLOOKUP(INDICE!$F$2,Nombres!$C$3:$D$636,50,FALSE)</f>
        <v>Resultado atribuido</v>
      </c>
      <c r="B137" s="47">
        <f>+B135+B136</f>
        <v>17853.742541106843</v>
      </c>
      <c r="C137" s="47">
        <f aca="true" t="shared" si="23" ref="C137:I137">+C135+C136</f>
        <v>21627.212490514</v>
      </c>
      <c r="D137" s="47">
        <f t="shared" si="23"/>
        <v>23411.179693608057</v>
      </c>
      <c r="E137" s="47">
        <f t="shared" si="23"/>
        <v>24644.232178293765</v>
      </c>
      <c r="F137" s="51">
        <f t="shared" si="23"/>
        <v>25748.923100726603</v>
      </c>
      <c r="G137" s="51">
        <f t="shared" si="23"/>
        <v>25623.257224810175</v>
      </c>
      <c r="H137" s="51">
        <f t="shared" si="23"/>
        <v>25527.96881715029</v>
      </c>
      <c r="I137" s="51">
        <f t="shared" si="23"/>
        <v>25565.26874040184</v>
      </c>
    </row>
    <row r="138" spans="1:9" ht="15">
      <c r="A138" s="62"/>
      <c r="B138" s="63">
        <v>0</v>
      </c>
      <c r="C138" s="63">
        <v>0</v>
      </c>
      <c r="D138" s="63">
        <v>0</v>
      </c>
      <c r="E138" s="63">
        <v>0</v>
      </c>
      <c r="F138" s="63">
        <v>0</v>
      </c>
      <c r="G138" s="63">
        <v>0</v>
      </c>
      <c r="H138" s="63">
        <v>0</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HLOOKUP(INDICE!$F$2,Nombres!$C$3:$D$636,74,FALSE)</f>
        <v>(Millones de pesos mexicanos)</v>
      </c>
      <c r="B141" s="30"/>
      <c r="C141" s="52"/>
      <c r="D141" s="52"/>
      <c r="E141" s="52"/>
      <c r="F141" s="69"/>
      <c r="G141" s="44"/>
      <c r="H141" s="44"/>
      <c r="I141" s="44"/>
    </row>
    <row r="142" spans="1:9" ht="15.75">
      <c r="A142" s="30"/>
      <c r="B142" s="53">
        <f aca="true" t="shared" si="24" ref="B142:I142">+B$30</f>
        <v>44651</v>
      </c>
      <c r="C142" s="53">
        <f t="shared" si="24"/>
        <v>44742</v>
      </c>
      <c r="D142" s="53">
        <f t="shared" si="24"/>
        <v>44834</v>
      </c>
      <c r="E142" s="67">
        <f t="shared" si="24"/>
        <v>44926</v>
      </c>
      <c r="F142" s="53">
        <f t="shared" si="24"/>
        <v>45016</v>
      </c>
      <c r="G142" s="53">
        <f t="shared" si="24"/>
        <v>45107</v>
      </c>
      <c r="H142" s="53">
        <f t="shared" si="24"/>
        <v>45199</v>
      </c>
      <c r="I142" s="53">
        <f t="shared" si="24"/>
        <v>45291</v>
      </c>
    </row>
    <row r="143" spans="1:9" ht="15">
      <c r="A143" s="43" t="str">
        <f>HLOOKUP(INDICE!$F$2,Nombres!$C$3:$D$636,52,FALSE)</f>
        <v>Efectivo, saldos en efectivo en bancos centrales y otros depósitos a la vista</v>
      </c>
      <c r="B143" s="44">
        <v>329735.28101254924</v>
      </c>
      <c r="C143" s="44">
        <v>347769.8910054877</v>
      </c>
      <c r="D143" s="44">
        <v>325627.43008341675</v>
      </c>
      <c r="E143" s="45">
        <v>275885.42044797464</v>
      </c>
      <c r="F143" s="44">
        <v>249925.37584669385</v>
      </c>
      <c r="G143" s="44">
        <v>213995.23442577472</v>
      </c>
      <c r="H143" s="44">
        <v>180975.41910656495</v>
      </c>
      <c r="I143" s="44">
        <v>188899.00353252326</v>
      </c>
    </row>
    <row r="144" spans="1:9" ht="15">
      <c r="A144" s="43" t="str">
        <f>HLOOKUP(INDICE!$F$2,Nombres!$C$3:$D$636,53,FALSE)</f>
        <v>Activos financieros a valor razonable</v>
      </c>
      <c r="B144" s="58">
        <v>956069.9291404511</v>
      </c>
      <c r="C144" s="58">
        <v>967872.1620786877</v>
      </c>
      <c r="D144" s="58">
        <v>997306.0428109224</v>
      </c>
      <c r="E144" s="64">
        <v>971366.2395347592</v>
      </c>
      <c r="F144" s="44">
        <v>949875.792469561</v>
      </c>
      <c r="G144" s="44">
        <v>1000103.5080365186</v>
      </c>
      <c r="H144" s="44">
        <v>1127661.504878595</v>
      </c>
      <c r="I144" s="44">
        <v>1130476.5315838438</v>
      </c>
    </row>
    <row r="145" spans="1:9" ht="15">
      <c r="A145" s="43" t="str">
        <f>HLOOKUP(INDICE!$F$2,Nombres!$C$3:$D$636,54,FALSE)</f>
        <v>Activos financieros a coste amortizado</v>
      </c>
      <c r="B145" s="44">
        <v>1427441.1448593258</v>
      </c>
      <c r="C145" s="44">
        <v>1502843.0385191047</v>
      </c>
      <c r="D145" s="44">
        <v>1538240.081121769</v>
      </c>
      <c r="E145" s="45">
        <v>1609903.1299313686</v>
      </c>
      <c r="F145" s="44">
        <v>1661816.8048162984</v>
      </c>
      <c r="G145" s="44">
        <v>1712041.5780561275</v>
      </c>
      <c r="H145" s="44">
        <v>1757040.2172437392</v>
      </c>
      <c r="I145" s="44">
        <v>1803813.9914410478</v>
      </c>
    </row>
    <row r="146" spans="1:9" ht="15">
      <c r="A146" s="43" t="str">
        <f>HLOOKUP(INDICE!$F$2,Nombres!$C$3:$D$636,55,FALSE)</f>
        <v>    de los que préstamos y anticipos a la clientela</v>
      </c>
      <c r="B146" s="44">
        <v>1332748.8206971737</v>
      </c>
      <c r="C146" s="44">
        <v>1395754.1180773547</v>
      </c>
      <c r="D146" s="44">
        <v>1435405.9175406417</v>
      </c>
      <c r="E146" s="45">
        <v>1485591.1504920998</v>
      </c>
      <c r="F146" s="44">
        <v>1517655.8267528606</v>
      </c>
      <c r="G146" s="44">
        <v>1553454.7212269837</v>
      </c>
      <c r="H146" s="44">
        <v>1604714.1772287937</v>
      </c>
      <c r="I146" s="44">
        <v>1649721.137192786</v>
      </c>
    </row>
    <row r="147" spans="1:9" ht="15" customHeight="1" hidden="1">
      <c r="A147" s="43"/>
      <c r="B147" s="44"/>
      <c r="C147" s="44"/>
      <c r="D147" s="44"/>
      <c r="E147" s="45"/>
      <c r="F147" s="44"/>
      <c r="G147" s="44"/>
      <c r="H147" s="44"/>
      <c r="I147" s="44"/>
    </row>
    <row r="148" spans="1:9" ht="15">
      <c r="A148" s="43" t="str">
        <f>HLOOKUP(INDICE!$F$2,Nombres!$C$3:$D$636,56,FALSE)</f>
        <v>Activos tangibles</v>
      </c>
      <c r="B148" s="44">
        <v>39114.211785576204</v>
      </c>
      <c r="C148" s="44">
        <v>38864.56931860144</v>
      </c>
      <c r="D148" s="44">
        <v>39147.488033550224</v>
      </c>
      <c r="E148" s="45">
        <v>41074.306943756616</v>
      </c>
      <c r="F148" s="44">
        <v>41195.7358175839</v>
      </c>
      <c r="G148" s="44">
        <v>41823.34462021051</v>
      </c>
      <c r="H148" s="44">
        <v>43090.32298661447</v>
      </c>
      <c r="I148" s="44">
        <v>44688.55720352176</v>
      </c>
    </row>
    <row r="149" spans="1:9" ht="15">
      <c r="A149" s="43" t="str">
        <f>HLOOKUP(INDICE!$F$2,Nombres!$C$3:$D$636,57,FALSE)</f>
        <v>Otros activos</v>
      </c>
      <c r="B149" s="58">
        <f>+B150-B148-B145-B144-B143</f>
        <v>67819.55066869996</v>
      </c>
      <c r="C149" s="58">
        <f aca="true" t="shared" si="25" ref="C149:I149">+C150-C148-C145-C144-C143</f>
        <v>74699.21606981609</v>
      </c>
      <c r="D149" s="58">
        <f t="shared" si="25"/>
        <v>73712.79790796619</v>
      </c>
      <c r="E149" s="64">
        <f t="shared" si="25"/>
        <v>74935.43209980644</v>
      </c>
      <c r="F149" s="44">
        <f t="shared" si="25"/>
        <v>81460.37474381112</v>
      </c>
      <c r="G149" s="44">
        <f t="shared" si="25"/>
        <v>90168.23660998949</v>
      </c>
      <c r="H149" s="44">
        <f t="shared" si="25"/>
        <v>92557.16783553618</v>
      </c>
      <c r="I149" s="44">
        <f t="shared" si="25"/>
        <v>80370.87838368167</v>
      </c>
    </row>
    <row r="150" spans="1:9" ht="15">
      <c r="A150" s="47" t="str">
        <f>HLOOKUP(INDICE!$F$2,Nombres!$C$3:$D$636,58,FALSE)</f>
        <v>Total activo / pasivo</v>
      </c>
      <c r="B150" s="47">
        <v>2820180.1174666025</v>
      </c>
      <c r="C150" s="47">
        <v>2932048.8769916976</v>
      </c>
      <c r="D150" s="47">
        <v>2974033.8399576247</v>
      </c>
      <c r="E150" s="47">
        <v>2973164.5289576654</v>
      </c>
      <c r="F150" s="51">
        <v>2984274.083693948</v>
      </c>
      <c r="G150" s="51">
        <v>3058131.901748621</v>
      </c>
      <c r="H150" s="51">
        <v>3201324.6320510497</v>
      </c>
      <c r="I150" s="51">
        <v>3248248.9621446184</v>
      </c>
    </row>
    <row r="151" spans="1:9" ht="15">
      <c r="A151" s="43" t="str">
        <f>HLOOKUP(INDICE!$F$2,Nombres!$C$3:$D$636,59,FALSE)</f>
        <v>Pasivos financieros mantenidos para negociar y designados a valor razonable con cambios en resultados</v>
      </c>
      <c r="B151" s="58">
        <v>503072.6518027524</v>
      </c>
      <c r="C151" s="58">
        <v>561758.8243830474</v>
      </c>
      <c r="D151" s="58">
        <v>604906.1318061118</v>
      </c>
      <c r="E151" s="64">
        <v>538913.5757275431</v>
      </c>
      <c r="F151" s="44">
        <v>550591.0208760097</v>
      </c>
      <c r="G151" s="44">
        <v>534807.0381679079</v>
      </c>
      <c r="H151" s="44">
        <v>611770.6099597805</v>
      </c>
      <c r="I151" s="44">
        <v>533467.0093173184</v>
      </c>
    </row>
    <row r="152" spans="1:9" ht="15">
      <c r="A152" s="43" t="str">
        <f>HLOOKUP(INDICE!$F$2,Nombres!$C$3:$D$636,60,FALSE)</f>
        <v>Depósitos de bancos centrales y entidades de crédito</v>
      </c>
      <c r="B152" s="58">
        <v>61796.81899985728</v>
      </c>
      <c r="C152" s="58">
        <v>107768.3249943455</v>
      </c>
      <c r="D152" s="58">
        <v>143740.21345459318</v>
      </c>
      <c r="E152" s="64">
        <v>91810.17674371359</v>
      </c>
      <c r="F152" s="44">
        <v>134762.10864499706</v>
      </c>
      <c r="G152" s="44">
        <v>182562.30166545612</v>
      </c>
      <c r="H152" s="44">
        <v>216068.22740973736</v>
      </c>
      <c r="I152" s="44">
        <v>163621.18962267306</v>
      </c>
    </row>
    <row r="153" spans="1:9" ht="15">
      <c r="A153" s="43" t="str">
        <f>HLOOKUP(INDICE!$F$2,Nombres!$C$3:$D$636,61,FALSE)</f>
        <v>Depósitos de la clientela</v>
      </c>
      <c r="B153" s="58">
        <v>1536089.811294505</v>
      </c>
      <c r="C153" s="58">
        <v>1523917.9128222005</v>
      </c>
      <c r="D153" s="58">
        <v>1504822.2410280593</v>
      </c>
      <c r="E153" s="64">
        <v>1621557.2326777908</v>
      </c>
      <c r="F153" s="44">
        <v>1574511.723177095</v>
      </c>
      <c r="G153" s="44">
        <v>1575215.1042701867</v>
      </c>
      <c r="H153" s="44">
        <v>1598166.0210385364</v>
      </c>
      <c r="I153" s="44">
        <v>1733086.1143368864</v>
      </c>
    </row>
    <row r="154" spans="1:9" ht="15">
      <c r="A154" s="43" t="str">
        <f>HLOOKUP(INDICE!$F$2,Nombres!$C$3:$D$636,62,FALSE)</f>
        <v>Valores representativos de deuda emitidos</v>
      </c>
      <c r="B154" s="44">
        <v>183031.389062764</v>
      </c>
      <c r="C154" s="44">
        <v>196087.10301964468</v>
      </c>
      <c r="D154" s="44">
        <v>167143.3998544878</v>
      </c>
      <c r="E154" s="45">
        <v>161791.14266297407</v>
      </c>
      <c r="F154" s="44">
        <v>163344.74415355767</v>
      </c>
      <c r="G154" s="44">
        <v>181490.71173681415</v>
      </c>
      <c r="H154" s="44">
        <v>170033.07232548023</v>
      </c>
      <c r="I154" s="44">
        <v>181977.54833296128</v>
      </c>
    </row>
    <row r="155" spans="1:9" ht="15" customHeight="1" hidden="1">
      <c r="A155" s="43"/>
      <c r="B155" s="44"/>
      <c r="C155" s="44"/>
      <c r="D155" s="44"/>
      <c r="E155" s="45"/>
      <c r="F155" s="44"/>
      <c r="G155" s="44"/>
      <c r="H155" s="44"/>
      <c r="I155" s="44"/>
    </row>
    <row r="156" spans="1:9" ht="15.75" customHeight="1">
      <c r="A156" s="43" t="str">
        <f>HLOOKUP(INDICE!$F$2,Nombres!$C$3:$D$636,63,FALSE)</f>
        <v>Otros pasivos</v>
      </c>
      <c r="B156" s="58">
        <f>+B150-B151-B152-B153-B154-B157</f>
        <v>362979.8662885465</v>
      </c>
      <c r="C156" s="58">
        <f aca="true" t="shared" si="26" ref="C156:I156">+C150-C151-C152-C153-C154-C157</f>
        <v>354905.9747469452</v>
      </c>
      <c r="D156" s="58">
        <f t="shared" si="26"/>
        <v>364166.1953122724</v>
      </c>
      <c r="E156" s="64">
        <f t="shared" si="26"/>
        <v>354061.5105296385</v>
      </c>
      <c r="F156" s="44">
        <f t="shared" si="26"/>
        <v>377551.97948350536</v>
      </c>
      <c r="G156" s="44">
        <f t="shared" si="26"/>
        <v>396910.65592553886</v>
      </c>
      <c r="H156" s="44">
        <f t="shared" si="26"/>
        <v>404622.12402241305</v>
      </c>
      <c r="I156" s="44">
        <f t="shared" si="26"/>
        <v>426062.4306035363</v>
      </c>
    </row>
    <row r="157" spans="1:9" ht="15.75" customHeight="1">
      <c r="A157" s="43" t="str">
        <f>HLOOKUP(INDICE!$F$2,Nombres!$C$3:$D$636,282,FALSE)</f>
        <v>Dotación de capital regulatorio</v>
      </c>
      <c r="B157" s="44">
        <v>173209.58001817772</v>
      </c>
      <c r="C157" s="44">
        <v>187610.7370255141</v>
      </c>
      <c r="D157" s="44">
        <v>189255.65850210036</v>
      </c>
      <c r="E157" s="64">
        <v>205030.89061600505</v>
      </c>
      <c r="F157" s="44">
        <v>183512.5073587834</v>
      </c>
      <c r="G157" s="44">
        <v>187146.08998271727</v>
      </c>
      <c r="H157" s="44">
        <v>200664.57729510262</v>
      </c>
      <c r="I157" s="44">
        <v>210034.66993124274</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65" t="str">
        <f>HLOOKUP(INDICE!$F$2,Nombres!$C$3:$D$636,65,FALSE)</f>
        <v>Indicadores relevantes y de gestión</v>
      </c>
      <c r="B160" s="66"/>
      <c r="C160" s="66"/>
      <c r="D160" s="66"/>
      <c r="E160" s="66"/>
      <c r="F160" s="71"/>
      <c r="G160" s="71"/>
      <c r="H160" s="71"/>
      <c r="I160" s="71"/>
    </row>
    <row r="161" spans="1:9" ht="15">
      <c r="A161" s="35" t="str">
        <f>HLOOKUP(INDICE!$F$2,Nombres!$C$3:$D$636,74,FALSE)</f>
        <v>(Millones de pesos mexicanos)</v>
      </c>
      <c r="B161" s="30"/>
      <c r="C161" s="30"/>
      <c r="D161" s="30"/>
      <c r="E161" s="30"/>
      <c r="F161" s="69"/>
      <c r="G161" s="44"/>
      <c r="H161" s="44"/>
      <c r="I161" s="44"/>
    </row>
    <row r="162" spans="1:9" ht="15.75">
      <c r="A162" s="30"/>
      <c r="B162" s="53">
        <f aca="true" t="shared" si="27" ref="B162:I162">+B$30</f>
        <v>44651</v>
      </c>
      <c r="C162" s="53">
        <f t="shared" si="27"/>
        <v>44742</v>
      </c>
      <c r="D162" s="53">
        <f t="shared" si="27"/>
        <v>44834</v>
      </c>
      <c r="E162" s="67">
        <f t="shared" si="27"/>
        <v>44926</v>
      </c>
      <c r="F162" s="53">
        <f t="shared" si="27"/>
        <v>45016</v>
      </c>
      <c r="G162" s="53">
        <f t="shared" si="27"/>
        <v>45107</v>
      </c>
      <c r="H162" s="53">
        <f t="shared" si="27"/>
        <v>45199</v>
      </c>
      <c r="I162" s="53">
        <f t="shared" si="27"/>
        <v>45291</v>
      </c>
    </row>
    <row r="163" spans="1:9" ht="15">
      <c r="A163" s="43" t="str">
        <f>HLOOKUP(INDICE!$F$2,Nombres!$C$3:$D$636,66,FALSE)</f>
        <v>Préstamos y anticipos a la clientela bruto (*)</v>
      </c>
      <c r="B163" s="44">
        <v>1382178.6061449437</v>
      </c>
      <c r="C163" s="44">
        <v>1446563.0672261908</v>
      </c>
      <c r="D163" s="44">
        <v>1488151.7354509246</v>
      </c>
      <c r="E163" s="45">
        <v>1537648.956995221</v>
      </c>
      <c r="F163" s="44">
        <v>1570111.462220879</v>
      </c>
      <c r="G163" s="44">
        <v>1606888.0730558634</v>
      </c>
      <c r="H163" s="44">
        <v>1660562.6517688488</v>
      </c>
      <c r="I163" s="44">
        <v>1706804.4989352645</v>
      </c>
    </row>
    <row r="164" spans="1:9" ht="15">
      <c r="A164" s="43" t="str">
        <f>HLOOKUP(INDICE!$F$2,Nombres!$C$3:$D$636,67,FALSE)</f>
        <v>Depósitos de clientes en gestión (**)</v>
      </c>
      <c r="B164" s="44">
        <v>1530733.8192467673</v>
      </c>
      <c r="C164" s="44">
        <v>1513721.4357923213</v>
      </c>
      <c r="D164" s="44">
        <v>1486981.468843496</v>
      </c>
      <c r="E164" s="45">
        <v>1608353.9247582192</v>
      </c>
      <c r="F164" s="44">
        <v>1564563.6435306515</v>
      </c>
      <c r="G164" s="44">
        <v>1545599.7037984335</v>
      </c>
      <c r="H164" s="44">
        <v>1575656.2518973595</v>
      </c>
      <c r="I164" s="44">
        <v>1702412.6025770188</v>
      </c>
    </row>
    <row r="165" spans="1:9" ht="15">
      <c r="A165" s="43" t="str">
        <f>HLOOKUP(INDICE!$F$2,Nombres!$C$3:$D$636,68,FALSE)</f>
        <v>Fondos de inversión y carteras gestionadas</v>
      </c>
      <c r="B165" s="44">
        <v>706300.0305128762</v>
      </c>
      <c r="C165" s="44">
        <v>711567.52827619</v>
      </c>
      <c r="D165" s="44">
        <v>731365.0832727632</v>
      </c>
      <c r="E165" s="45">
        <v>742755.4820074316</v>
      </c>
      <c r="F165" s="44">
        <v>805024.5837895662</v>
      </c>
      <c r="G165" s="44">
        <v>849454.6513367423</v>
      </c>
      <c r="H165" s="44">
        <v>898231.3737561011</v>
      </c>
      <c r="I165" s="44">
        <v>918595.539827106</v>
      </c>
    </row>
    <row r="166" spans="1:9" ht="15">
      <c r="A166" s="43" t="str">
        <f>HLOOKUP(INDICE!$F$2,Nombres!$C$3:$D$636,69,FALSE)</f>
        <v>Fondos de pensiones</v>
      </c>
      <c r="B166" s="44">
        <v>0</v>
      </c>
      <c r="C166" s="44">
        <v>0</v>
      </c>
      <c r="D166" s="44">
        <v>0</v>
      </c>
      <c r="E166" s="45">
        <v>0</v>
      </c>
      <c r="F166" s="44">
        <v>0</v>
      </c>
      <c r="G166" s="44">
        <v>0</v>
      </c>
      <c r="H166" s="44">
        <v>0</v>
      </c>
      <c r="I166" s="44">
        <v>0</v>
      </c>
    </row>
    <row r="167" spans="1:15" ht="15">
      <c r="A167" s="43" t="str">
        <f>HLOOKUP(INDICE!$F$2,Nombres!$C$3:$D$636,70,FALSE)</f>
        <v>Otros recursos fuera de balance</v>
      </c>
      <c r="B167" s="44">
        <v>54365.22614154609</v>
      </c>
      <c r="C167" s="44">
        <v>62177.19958384019</v>
      </c>
      <c r="D167" s="44">
        <v>59141.79479176696</v>
      </c>
      <c r="E167" s="45">
        <v>53850.33786973818</v>
      </c>
      <c r="F167" s="44">
        <v>67118.85576974467</v>
      </c>
      <c r="G167" s="44">
        <v>72302.18428770152</v>
      </c>
      <c r="H167" s="44">
        <v>77633.46640361765</v>
      </c>
      <c r="I167" s="44">
        <v>78487.36669895663</v>
      </c>
      <c r="N167" s="73"/>
      <c r="O167" s="73"/>
    </row>
    <row r="168" spans="1:15" ht="15">
      <c r="A168" s="62" t="str">
        <f>HLOOKUP(INDICE!$F$2,Nombres!$C$3:$D$636,71,FALSE)</f>
        <v>(*) No incluye las adquisiciones temporales de activos.</v>
      </c>
      <c r="B168" s="58"/>
      <c r="C168" s="58"/>
      <c r="D168" s="58"/>
      <c r="E168" s="58"/>
      <c r="F168" s="44"/>
      <c r="G168" s="44"/>
      <c r="H168" s="44"/>
      <c r="I168" s="44"/>
      <c r="N168" s="73"/>
      <c r="O168" s="73"/>
    </row>
    <row r="169" spans="1:15" ht="15">
      <c r="A169" s="62"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391</v>
      </c>
    </row>
  </sheetData>
  <sheetProtection/>
  <mergeCells count="6">
    <mergeCell ref="B118:E118"/>
    <mergeCell ref="F118:I118"/>
    <mergeCell ref="B6:E6"/>
    <mergeCell ref="F6:I6"/>
    <mergeCell ref="B62:E62"/>
    <mergeCell ref="F62:I62"/>
  </mergeCells>
  <conditionalFormatting sqref="B26:I26">
    <cfRule type="cellIs" priority="3" dxfId="132" operator="notBetween">
      <formula>0.5</formula>
      <formula>-0.5</formula>
    </cfRule>
  </conditionalFormatting>
  <conditionalFormatting sqref="B82:I82">
    <cfRule type="cellIs" priority="2" dxfId="132" operator="notBetween">
      <formula>0.5</formula>
      <formula>-0.5</formula>
    </cfRule>
  </conditionalFormatting>
  <conditionalFormatting sqref="B138:I138">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8">
      <c r="A1" s="29" t="str">
        <f>HLOOKUP(INDICE!$F$2,Nombres!$C$3:$D$636,12,FALSE)</f>
        <v>Turquía </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1">
        <f>+España!B6</f>
        <v>2022</v>
      </c>
      <c r="C6" s="301"/>
      <c r="D6" s="301"/>
      <c r="E6" s="302"/>
      <c r="F6" s="301">
        <f>+España!F6</f>
        <v>2023</v>
      </c>
      <c r="G6" s="301"/>
      <c r="H6" s="301"/>
      <c r="I6" s="301"/>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491.72099998999977</v>
      </c>
      <c r="C8" s="41">
        <v>661.5430000000001</v>
      </c>
      <c r="D8" s="41">
        <v>807.5929998499998</v>
      </c>
      <c r="E8" s="42">
        <v>650.3160000100005</v>
      </c>
      <c r="F8" s="50">
        <v>626.46199913</v>
      </c>
      <c r="G8" s="50">
        <v>353.7579997000001</v>
      </c>
      <c r="H8" s="50">
        <v>601.2410000199995</v>
      </c>
      <c r="I8" s="50">
        <v>287.589</v>
      </c>
    </row>
    <row r="9" spans="1:9" ht="15">
      <c r="A9" s="43" t="str">
        <f>HLOOKUP(INDICE!$F$2,Nombres!$C$3:$D$636,34,FALSE)</f>
        <v>Comisiones netas</v>
      </c>
      <c r="B9" s="44">
        <v>136.62699999</v>
      </c>
      <c r="C9" s="44">
        <v>165.56400004</v>
      </c>
      <c r="D9" s="44">
        <v>161.24599966</v>
      </c>
      <c r="E9" s="45">
        <v>138.3319996799999</v>
      </c>
      <c r="F9" s="44">
        <v>171.99399953</v>
      </c>
      <c r="G9" s="44">
        <v>113.22899994999997</v>
      </c>
      <c r="H9" s="44">
        <v>344.51800036000003</v>
      </c>
      <c r="I9" s="44">
        <v>368.5529997699999</v>
      </c>
    </row>
    <row r="10" spans="1:9" ht="15">
      <c r="A10" s="43" t="str">
        <f>HLOOKUP(INDICE!$F$2,Nombres!$C$3:$D$636,35,FALSE)</f>
        <v>Resultados de operaciones financieras</v>
      </c>
      <c r="B10" s="44">
        <v>174.91700000000003</v>
      </c>
      <c r="C10" s="44">
        <v>220.159</v>
      </c>
      <c r="D10" s="44">
        <v>196.23599941000003</v>
      </c>
      <c r="E10" s="45">
        <v>150.14099987999998</v>
      </c>
      <c r="F10" s="44">
        <v>223.76600002</v>
      </c>
      <c r="G10" s="44">
        <v>170.65500057999998</v>
      </c>
      <c r="H10" s="44">
        <v>403.89599999999996</v>
      </c>
      <c r="I10" s="44">
        <v>139.05100009</v>
      </c>
    </row>
    <row r="11" spans="1:9" ht="15">
      <c r="A11" s="43" t="str">
        <f>HLOOKUP(INDICE!$F$2,Nombres!$C$3:$D$636,36,FALSE)</f>
        <v>Otros ingresos y cargas de explotación</v>
      </c>
      <c r="B11" s="44">
        <v>-303.35600001</v>
      </c>
      <c r="C11" s="44">
        <v>-211.69399998000011</v>
      </c>
      <c r="D11" s="44">
        <v>-153.327</v>
      </c>
      <c r="E11" s="45">
        <v>-113.98099851</v>
      </c>
      <c r="F11" s="44">
        <v>-220.45699999999997</v>
      </c>
      <c r="G11" s="44">
        <v>40.11899999999992</v>
      </c>
      <c r="H11" s="44">
        <v>-518.816</v>
      </c>
      <c r="I11" s="44">
        <v>-124.90899999000027</v>
      </c>
    </row>
    <row r="12" spans="1:9" ht="15">
      <c r="A12" s="41" t="str">
        <f>HLOOKUP(INDICE!$F$2,Nombres!$C$3:$D$636,37,FALSE)</f>
        <v>Margen bruto</v>
      </c>
      <c r="B12" s="41">
        <f>+SUM(B8:B11)</f>
        <v>499.90899996999974</v>
      </c>
      <c r="C12" s="41">
        <f aca="true" t="shared" si="0" ref="C12:I12">+SUM(C8:C11)</f>
        <v>835.5720000599999</v>
      </c>
      <c r="D12" s="41">
        <f t="shared" si="0"/>
        <v>1011.7479989199999</v>
      </c>
      <c r="E12" s="42">
        <f t="shared" si="0"/>
        <v>824.8080010600004</v>
      </c>
      <c r="F12" s="50">
        <f t="shared" si="0"/>
        <v>801.76499868</v>
      </c>
      <c r="G12" s="50">
        <f t="shared" si="0"/>
        <v>677.7610002299999</v>
      </c>
      <c r="H12" s="50">
        <f t="shared" si="0"/>
        <v>830.8390003799996</v>
      </c>
      <c r="I12" s="50">
        <f t="shared" si="0"/>
        <v>670.2839998699997</v>
      </c>
    </row>
    <row r="13" spans="1:9" ht="15">
      <c r="A13" s="43" t="str">
        <f>HLOOKUP(INDICE!$F$2,Nombres!$C$3:$D$636,38,FALSE)</f>
        <v>Gastos de explotación</v>
      </c>
      <c r="B13" s="44">
        <v>-237.80315695</v>
      </c>
      <c r="C13" s="44">
        <v>-259.20114091000005</v>
      </c>
      <c r="D13" s="44">
        <v>-289.1236217</v>
      </c>
      <c r="E13" s="45">
        <v>-275.04751940999995</v>
      </c>
      <c r="F13" s="44">
        <v>-398.72017852</v>
      </c>
      <c r="G13" s="44">
        <v>-192.34164598</v>
      </c>
      <c r="H13" s="44">
        <v>-455.22347044999987</v>
      </c>
      <c r="I13" s="44">
        <v>-353.80440037000005</v>
      </c>
    </row>
    <row r="14" spans="1:9" ht="15">
      <c r="A14" s="43" t="str">
        <f>HLOOKUP(INDICE!$F$2,Nombres!$C$3:$D$636,39,FALSE)</f>
        <v>  Gastos de administración</v>
      </c>
      <c r="B14" s="44">
        <v>-208.48513495000003</v>
      </c>
      <c r="C14" s="44">
        <v>-224.76311991</v>
      </c>
      <c r="D14" s="44">
        <v>-256.8875997</v>
      </c>
      <c r="E14" s="45">
        <v>-242.47249641000002</v>
      </c>
      <c r="F14" s="44">
        <v>-362.3051565299999</v>
      </c>
      <c r="G14" s="44">
        <v>-167.89062495000005</v>
      </c>
      <c r="H14" s="44">
        <v>-404.39544946999996</v>
      </c>
      <c r="I14" s="44">
        <v>-315.89137836</v>
      </c>
    </row>
    <row r="15" spans="1:9" ht="15">
      <c r="A15" s="46" t="str">
        <f>HLOOKUP(INDICE!$F$2,Nombres!$C$3:$D$636,40,FALSE)</f>
        <v>  Gastos de personal</v>
      </c>
      <c r="B15" s="44">
        <v>-131.55028511</v>
      </c>
      <c r="C15" s="44">
        <v>-148.47128487999998</v>
      </c>
      <c r="D15" s="44">
        <v>-173.76428507000003</v>
      </c>
      <c r="E15" s="45">
        <v>-139.28546218999998</v>
      </c>
      <c r="F15" s="44">
        <v>-208.75799998999997</v>
      </c>
      <c r="G15" s="44">
        <v>-115.53599999000001</v>
      </c>
      <c r="H15" s="44">
        <v>-264.39299999</v>
      </c>
      <c r="I15" s="44">
        <v>-186.54800005</v>
      </c>
    </row>
    <row r="16" spans="1:9" ht="15">
      <c r="A16" s="46" t="str">
        <f>HLOOKUP(INDICE!$F$2,Nombres!$C$3:$D$636,41,FALSE)</f>
        <v>  Otros gastos de administración</v>
      </c>
      <c r="B16" s="44">
        <v>-76.93484984</v>
      </c>
      <c r="C16" s="44">
        <v>-76.29183503</v>
      </c>
      <c r="D16" s="44">
        <v>-83.12331463000001</v>
      </c>
      <c r="E16" s="45">
        <v>-103.18703422</v>
      </c>
      <c r="F16" s="44">
        <v>-153.54715653999997</v>
      </c>
      <c r="G16" s="44">
        <v>-52.35462496000001</v>
      </c>
      <c r="H16" s="44">
        <v>-140.00244947999997</v>
      </c>
      <c r="I16" s="44">
        <v>-129.34337831000005</v>
      </c>
    </row>
    <row r="17" spans="1:9" ht="15">
      <c r="A17" s="43" t="str">
        <f>HLOOKUP(INDICE!$F$2,Nombres!$C$3:$D$636,42,FALSE)</f>
        <v>  Amortización</v>
      </c>
      <c r="B17" s="44">
        <v>-29.318022</v>
      </c>
      <c r="C17" s="44">
        <v>-34.43802099999999</v>
      </c>
      <c r="D17" s="44">
        <v>-32.236022000000006</v>
      </c>
      <c r="E17" s="45">
        <v>-32.575023</v>
      </c>
      <c r="F17" s="44">
        <v>-36.41502199</v>
      </c>
      <c r="G17" s="44">
        <v>-24.45102103</v>
      </c>
      <c r="H17" s="44">
        <v>-50.82802098</v>
      </c>
      <c r="I17" s="44">
        <v>-37.91302201</v>
      </c>
    </row>
    <row r="18" spans="1:9" ht="15">
      <c r="A18" s="41" t="str">
        <f>HLOOKUP(INDICE!$F$2,Nombres!$C$3:$D$636,43,FALSE)</f>
        <v>Margen neto</v>
      </c>
      <c r="B18" s="41">
        <f>+B12+B13</f>
        <v>262.1058430199997</v>
      </c>
      <c r="C18" s="41">
        <f aca="true" t="shared" si="1" ref="C18:I18">+C12+C13</f>
        <v>576.3708591499999</v>
      </c>
      <c r="D18" s="41">
        <f t="shared" si="1"/>
        <v>722.6243772199998</v>
      </c>
      <c r="E18" s="42">
        <f t="shared" si="1"/>
        <v>549.7604816500004</v>
      </c>
      <c r="F18" s="50">
        <f t="shared" si="1"/>
        <v>403.04482016</v>
      </c>
      <c r="G18" s="50">
        <f t="shared" si="1"/>
        <v>485.4193542499999</v>
      </c>
      <c r="H18" s="50">
        <f t="shared" si="1"/>
        <v>375.6155299299997</v>
      </c>
      <c r="I18" s="50">
        <f t="shared" si="1"/>
        <v>316.4795994999996</v>
      </c>
    </row>
    <row r="19" spans="1:9" ht="15">
      <c r="A19" s="43" t="str">
        <f>HLOOKUP(INDICE!$F$2,Nombres!$C$3:$D$636,44,FALSE)</f>
        <v>Deterioro de activos financieros no valorados a valor razonable con cambios en resultados</v>
      </c>
      <c r="B19" s="44">
        <v>-95.88099999</v>
      </c>
      <c r="C19" s="44">
        <v>-75.47300002</v>
      </c>
      <c r="D19" s="44">
        <v>-113.48000000000002</v>
      </c>
      <c r="E19" s="45">
        <v>-101.79900100000003</v>
      </c>
      <c r="F19" s="44">
        <v>-59.44499901</v>
      </c>
      <c r="G19" s="44">
        <v>4.920999009999992</v>
      </c>
      <c r="H19" s="44">
        <v>-29.66900039</v>
      </c>
      <c r="I19" s="44">
        <v>-34.04100068000001</v>
      </c>
    </row>
    <row r="20" spans="1:9" ht="15">
      <c r="A20" s="43" t="str">
        <f>HLOOKUP(INDICE!$F$2,Nombres!$C$3:$D$636,45,FALSE)</f>
        <v>Provisiones o reversión de provisiones y otros resultados</v>
      </c>
      <c r="B20" s="44">
        <v>-10.823000009999998</v>
      </c>
      <c r="C20" s="44">
        <v>-23.199999990000002</v>
      </c>
      <c r="D20" s="44">
        <v>-37.114999999999995</v>
      </c>
      <c r="E20" s="45">
        <v>-17.00899999000002</v>
      </c>
      <c r="F20" s="44">
        <v>-16.115</v>
      </c>
      <c r="G20" s="44">
        <v>-30.668999989999996</v>
      </c>
      <c r="H20" s="44">
        <v>-44.516000800000015</v>
      </c>
      <c r="I20" s="44">
        <v>-45.71199961</v>
      </c>
    </row>
    <row r="21" spans="1:9" ht="15">
      <c r="A21" s="41" t="str">
        <f>HLOOKUP(INDICE!$F$2,Nombres!$C$3:$D$636,46,FALSE)</f>
        <v>Resultado antes de impuestos</v>
      </c>
      <c r="B21" s="41">
        <f>+B18+B19+B20</f>
        <v>155.40184301999972</v>
      </c>
      <c r="C21" s="41">
        <f aca="true" t="shared" si="2" ref="C21:I21">+C18+C19+C20</f>
        <v>477.69785913999993</v>
      </c>
      <c r="D21" s="41">
        <f t="shared" si="2"/>
        <v>572.0293772199998</v>
      </c>
      <c r="E21" s="42">
        <f t="shared" si="2"/>
        <v>430.9524806600004</v>
      </c>
      <c r="F21" s="50">
        <f t="shared" si="2"/>
        <v>327.48482114999996</v>
      </c>
      <c r="G21" s="50">
        <f t="shared" si="2"/>
        <v>459.67135326999994</v>
      </c>
      <c r="H21" s="50">
        <f t="shared" si="2"/>
        <v>301.43052873999966</v>
      </c>
      <c r="I21" s="50">
        <f t="shared" si="2"/>
        <v>236.7265992099996</v>
      </c>
    </row>
    <row r="22" spans="1:9" ht="15">
      <c r="A22" s="43" t="str">
        <f>HLOOKUP(INDICE!$F$2,Nombres!$C$3:$D$636,47,FALSE)</f>
        <v>Impuesto sobre beneficios</v>
      </c>
      <c r="B22" s="44">
        <v>-308.13385291</v>
      </c>
      <c r="C22" s="44">
        <v>-326.72415774</v>
      </c>
      <c r="D22" s="44">
        <v>-255.16651371999998</v>
      </c>
      <c r="E22" s="45">
        <v>-213.46384415999998</v>
      </c>
      <c r="F22" s="44">
        <v>-4.965546149999966</v>
      </c>
      <c r="G22" s="44">
        <v>-165.49870612999996</v>
      </c>
      <c r="H22" s="44">
        <v>-487.27175884999997</v>
      </c>
      <c r="I22" s="44">
        <v>-44.65497980000003</v>
      </c>
    </row>
    <row r="23" spans="1:9" ht="15">
      <c r="A23" s="41" t="str">
        <f>HLOOKUP(INDICE!$F$2,Nombres!$C$3:$D$636,48,FALSE)</f>
        <v>Resultado del ejercicio</v>
      </c>
      <c r="B23" s="41">
        <f>+B21+B22</f>
        <v>-152.73200989000026</v>
      </c>
      <c r="C23" s="41">
        <f aca="true" t="shared" si="3" ref="C23:I23">+C21+C22</f>
        <v>150.97370139999992</v>
      </c>
      <c r="D23" s="41">
        <f t="shared" si="3"/>
        <v>316.8628634999998</v>
      </c>
      <c r="E23" s="42">
        <f t="shared" si="3"/>
        <v>217.4886365000004</v>
      </c>
      <c r="F23" s="50">
        <f t="shared" si="3"/>
        <v>322.519275</v>
      </c>
      <c r="G23" s="50">
        <f t="shared" si="3"/>
        <v>294.17264714</v>
      </c>
      <c r="H23" s="50">
        <f t="shared" si="3"/>
        <v>-185.8412301100003</v>
      </c>
      <c r="I23" s="50">
        <f t="shared" si="3"/>
        <v>192.07161940999956</v>
      </c>
    </row>
    <row r="24" spans="1:9" ht="15">
      <c r="A24" s="43" t="str">
        <f>HLOOKUP(INDICE!$F$2,Nombres!$C$3:$D$636,49,FALSE)</f>
        <v>Minoritarios</v>
      </c>
      <c r="B24" s="44">
        <v>76.85299998999999</v>
      </c>
      <c r="C24" s="44">
        <v>-15.717999969999937</v>
      </c>
      <c r="D24" s="44">
        <v>-43.423000090000045</v>
      </c>
      <c r="E24" s="45">
        <v>-45.290999649999996</v>
      </c>
      <c r="F24" s="44">
        <v>-45.441999810000006</v>
      </c>
      <c r="G24" s="44">
        <v>-46.14999868999998</v>
      </c>
      <c r="H24" s="44">
        <v>27.352000020000006</v>
      </c>
      <c r="I24" s="44">
        <v>-30.60399940000002</v>
      </c>
    </row>
    <row r="25" spans="1:9" ht="15">
      <c r="A25" s="47" t="str">
        <f>HLOOKUP(INDICE!$F$2,Nombres!$C$3:$D$636,50,FALSE)</f>
        <v>Resultado atribuido</v>
      </c>
      <c r="B25" s="47">
        <f>+B23+B24</f>
        <v>-75.87900990000027</v>
      </c>
      <c r="C25" s="47">
        <f aca="true" t="shared" si="4" ref="C25:I25">+C23+C24</f>
        <v>135.25570143</v>
      </c>
      <c r="D25" s="47">
        <f t="shared" si="4"/>
        <v>273.4398634099997</v>
      </c>
      <c r="E25" s="47">
        <f t="shared" si="4"/>
        <v>172.1976368500004</v>
      </c>
      <c r="F25" s="51">
        <f t="shared" si="4"/>
        <v>277.07727518999997</v>
      </c>
      <c r="G25" s="51">
        <f t="shared" si="4"/>
        <v>248.02264845</v>
      </c>
      <c r="H25" s="51">
        <f t="shared" si="4"/>
        <v>-158.48923009000032</v>
      </c>
      <c r="I25" s="51">
        <f t="shared" si="4"/>
        <v>161.46762000999954</v>
      </c>
    </row>
    <row r="26" spans="1:9" ht="15">
      <c r="A26" s="62"/>
      <c r="B26" s="63">
        <v>0</v>
      </c>
      <c r="C26" s="63">
        <v>0</v>
      </c>
      <c r="D26" s="63">
        <v>0</v>
      </c>
      <c r="E26" s="63">
        <v>0</v>
      </c>
      <c r="F26" s="63">
        <v>0</v>
      </c>
      <c r="G26" s="63">
        <v>0</v>
      </c>
      <c r="H26" s="63">
        <v>0</v>
      </c>
      <c r="I26" s="63">
        <v>0</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9" ht="15">
      <c r="A31" s="43" t="str">
        <f>HLOOKUP(INDICE!$F$2,Nombres!$C$3:$D$636,52,FALSE)</f>
        <v>Efectivo, saldos en efectivo en bancos centrales y otros depósitos a la vista</v>
      </c>
      <c r="B31" s="44">
        <v>7926.378000000001</v>
      </c>
      <c r="C31" s="44">
        <v>8050.876</v>
      </c>
      <c r="D31" s="44">
        <v>8109.888</v>
      </c>
      <c r="E31" s="45">
        <v>6061.198</v>
      </c>
      <c r="F31" s="44">
        <v>8479.194</v>
      </c>
      <c r="G31" s="44">
        <v>7759.051</v>
      </c>
      <c r="H31" s="44">
        <v>11493.223</v>
      </c>
      <c r="I31" s="44">
        <v>9699.644</v>
      </c>
    </row>
    <row r="32" spans="1:9" ht="15">
      <c r="A32" s="43" t="str">
        <f>HLOOKUP(INDICE!$F$2,Nombres!$C$3:$D$636,53,FALSE)</f>
        <v>Activos financieros a valor razonable</v>
      </c>
      <c r="B32" s="58">
        <v>5177.576</v>
      </c>
      <c r="C32" s="58">
        <v>5598.161000000001</v>
      </c>
      <c r="D32" s="58">
        <v>5557.729000000001</v>
      </c>
      <c r="E32" s="64">
        <v>5203.253</v>
      </c>
      <c r="F32" s="44">
        <v>5109.284</v>
      </c>
      <c r="G32" s="44">
        <v>4118.526</v>
      </c>
      <c r="H32" s="44">
        <v>4134.3279999999995</v>
      </c>
      <c r="I32" s="44">
        <v>3692.0780000000004</v>
      </c>
    </row>
    <row r="33" spans="1:9" ht="15">
      <c r="A33" s="43" t="str">
        <f>HLOOKUP(INDICE!$F$2,Nombres!$C$3:$D$636,54,FALSE)</f>
        <v>Activos financieros a coste amortizado</v>
      </c>
      <c r="B33" s="44">
        <v>44006.130000000005</v>
      </c>
      <c r="C33" s="44">
        <v>48362.121</v>
      </c>
      <c r="D33" s="44">
        <v>52000.083999999995</v>
      </c>
      <c r="E33" s="45">
        <v>51621.424000000006</v>
      </c>
      <c r="F33" s="44">
        <v>54239.655999999995</v>
      </c>
      <c r="G33" s="44">
        <v>52530.938</v>
      </c>
      <c r="H33" s="44">
        <v>50310.828</v>
      </c>
      <c r="I33" s="44">
        <v>51542.74799999999</v>
      </c>
    </row>
    <row r="34" spans="1:9" ht="15">
      <c r="A34" s="43" t="str">
        <f>HLOOKUP(INDICE!$F$2,Nombres!$C$3:$D$636,55,FALSE)</f>
        <v>    de los que préstamos y anticipos a la clientela</v>
      </c>
      <c r="B34" s="44">
        <v>33726.289000000004</v>
      </c>
      <c r="C34" s="44">
        <v>35609.825999999994</v>
      </c>
      <c r="D34" s="44">
        <v>36898.085</v>
      </c>
      <c r="E34" s="45">
        <v>37442.536</v>
      </c>
      <c r="F34" s="44">
        <v>38995.194</v>
      </c>
      <c r="G34" s="44">
        <v>35672.837</v>
      </c>
      <c r="H34" s="44">
        <v>37466.437999999995</v>
      </c>
      <c r="I34" s="44">
        <v>37416.421</v>
      </c>
    </row>
    <row r="35" spans="1:9" ht="15" customHeight="1" hidden="1">
      <c r="A35" s="43"/>
      <c r="B35" s="44"/>
      <c r="C35" s="44"/>
      <c r="D35" s="44"/>
      <c r="E35" s="45"/>
      <c r="F35" s="44"/>
      <c r="G35" s="44"/>
      <c r="H35" s="44"/>
      <c r="I35" s="44"/>
    </row>
    <row r="36" spans="1:9" ht="15">
      <c r="A36" s="43" t="str">
        <f>HLOOKUP(INDICE!$F$2,Nombres!$C$3:$D$636,56,FALSE)</f>
        <v>Activos tangibles</v>
      </c>
      <c r="B36" s="44">
        <v>859.8760000000001</v>
      </c>
      <c r="C36" s="44">
        <v>921.2160000000001</v>
      </c>
      <c r="D36" s="44">
        <v>960.4679999999998</v>
      </c>
      <c r="E36" s="45">
        <v>1212.8300000000002</v>
      </c>
      <c r="F36" s="44">
        <v>1368.49</v>
      </c>
      <c r="G36" s="44">
        <v>1164.863</v>
      </c>
      <c r="H36" s="44">
        <v>1471.293</v>
      </c>
      <c r="I36" s="44">
        <v>1496.249</v>
      </c>
    </row>
    <row r="37" spans="1:9" ht="15">
      <c r="A37" s="43" t="str">
        <f>HLOOKUP(INDICE!$F$2,Nombres!$C$3:$D$636,57,FALSE)</f>
        <v>Otros activos</v>
      </c>
      <c r="B37" s="58">
        <f>+B38-B36-B33-B32-B31</f>
        <v>990.622999999996</v>
      </c>
      <c r="C37" s="58">
        <f aca="true" t="shared" si="5" ref="C37:I37">+C38-C36-C33-C32-C31</f>
        <v>1161.5330004899988</v>
      </c>
      <c r="D37" s="58">
        <f t="shared" si="5"/>
        <v>1769.8550000000005</v>
      </c>
      <c r="E37" s="64">
        <f t="shared" si="5"/>
        <v>1937.7750485200022</v>
      </c>
      <c r="F37" s="44">
        <f t="shared" si="5"/>
        <v>2025.4140000900043</v>
      </c>
      <c r="G37" s="44">
        <f t="shared" si="5"/>
        <v>1750.3199999999897</v>
      </c>
      <c r="H37" s="44">
        <f t="shared" si="5"/>
        <v>1862.6869999999908</v>
      </c>
      <c r="I37" s="44">
        <f t="shared" si="5"/>
        <v>1898.6642044900145</v>
      </c>
    </row>
    <row r="38" spans="1:9" ht="15">
      <c r="A38" s="47" t="str">
        <f>HLOOKUP(INDICE!$F$2,Nombres!$C$3:$D$636,58,FALSE)</f>
        <v>Total activo / pasivo</v>
      </c>
      <c r="B38" s="51">
        <v>58960.583</v>
      </c>
      <c r="C38" s="51">
        <v>64093.90700049</v>
      </c>
      <c r="D38" s="51">
        <v>68398.02399999999</v>
      </c>
      <c r="E38" s="79">
        <v>66036.48004852001</v>
      </c>
      <c r="F38" s="51">
        <v>71222.03800009</v>
      </c>
      <c r="G38" s="51">
        <v>67323.69799999999</v>
      </c>
      <c r="H38" s="51">
        <v>69272.359</v>
      </c>
      <c r="I38" s="51">
        <v>68329.38320449</v>
      </c>
    </row>
    <row r="39" spans="1:9" ht="15">
      <c r="A39" s="43" t="str">
        <f>HLOOKUP(INDICE!$F$2,Nombres!$C$3:$D$636,59,FALSE)</f>
        <v>Pasivos financieros mantenidos para negociar y designados a valor razonable con cambios en resultados</v>
      </c>
      <c r="B39" s="58">
        <v>2198.122</v>
      </c>
      <c r="C39" s="58">
        <v>2380.947</v>
      </c>
      <c r="D39" s="58">
        <v>2417.973</v>
      </c>
      <c r="E39" s="64">
        <v>2137.822</v>
      </c>
      <c r="F39" s="44">
        <v>2079.359</v>
      </c>
      <c r="G39" s="44">
        <v>2196.516</v>
      </c>
      <c r="H39" s="44">
        <v>2089.03</v>
      </c>
      <c r="I39" s="44">
        <v>1878.473</v>
      </c>
    </row>
    <row r="40" spans="1:9" ht="15.75" customHeight="1">
      <c r="A40" s="43" t="str">
        <f>HLOOKUP(INDICE!$F$2,Nombres!$C$3:$D$636,60,FALSE)</f>
        <v>Depósitos de bancos centrales y entidades de crédito</v>
      </c>
      <c r="B40" s="58">
        <v>3677.411</v>
      </c>
      <c r="C40" s="58">
        <v>5306.936</v>
      </c>
      <c r="D40" s="58">
        <v>3999.3920000000007</v>
      </c>
      <c r="E40" s="64">
        <v>2871.904</v>
      </c>
      <c r="F40" s="44">
        <v>2756.4519999999998</v>
      </c>
      <c r="G40" s="44">
        <v>2346.333</v>
      </c>
      <c r="H40" s="44">
        <v>2447.3729999999996</v>
      </c>
      <c r="I40" s="44">
        <v>2305.779</v>
      </c>
    </row>
    <row r="41" spans="1:9" ht="15">
      <c r="A41" s="43" t="str">
        <f>HLOOKUP(INDICE!$F$2,Nombres!$C$3:$D$636,61,FALSE)</f>
        <v>Depósitos de la clientela</v>
      </c>
      <c r="B41" s="58">
        <v>40156.687</v>
      </c>
      <c r="C41" s="58">
        <v>42688.41499999999</v>
      </c>
      <c r="D41" s="58">
        <v>47197.636</v>
      </c>
      <c r="E41" s="64">
        <v>46339.215</v>
      </c>
      <c r="F41" s="44">
        <v>51233.727</v>
      </c>
      <c r="G41" s="44">
        <v>50792.774</v>
      </c>
      <c r="H41" s="44">
        <v>51104.41</v>
      </c>
      <c r="I41" s="44">
        <v>50651.384999999995</v>
      </c>
    </row>
    <row r="42" spans="1:9" ht="15">
      <c r="A42" s="43" t="str">
        <f>HLOOKUP(INDICE!$F$2,Nombres!$C$3:$D$636,62,FALSE)</f>
        <v>Valores representativos de deuda emitidos</v>
      </c>
      <c r="B42" s="44">
        <v>3548.0527025700003</v>
      </c>
      <c r="C42" s="44">
        <v>3897.0927195699996</v>
      </c>
      <c r="D42" s="44">
        <v>3378.92576667</v>
      </c>
      <c r="E42" s="45">
        <v>3235.59943234</v>
      </c>
      <c r="F42" s="44">
        <v>2904.1294815</v>
      </c>
      <c r="G42" s="44">
        <v>2859.73232653</v>
      </c>
      <c r="H42" s="44">
        <v>2777.13241579</v>
      </c>
      <c r="I42" s="44">
        <v>2736.80204266</v>
      </c>
    </row>
    <row r="43" spans="1:9" ht="15" customHeight="1" hidden="1">
      <c r="A43" s="43"/>
      <c r="B43" s="44"/>
      <c r="C43" s="44"/>
      <c r="D43" s="44"/>
      <c r="E43" s="45"/>
      <c r="F43" s="44"/>
      <c r="G43" s="44"/>
      <c r="H43" s="44"/>
      <c r="I43" s="44"/>
    </row>
    <row r="44" spans="1:9" ht="15">
      <c r="A44" s="43" t="str">
        <f>HLOOKUP(INDICE!$F$2,Nombres!$C$3:$D$636,63,FALSE)</f>
        <v>Otros pasivos</v>
      </c>
      <c r="B44" s="58">
        <f>+B38-B39-B40-B41-B42-B45</f>
        <v>2977.226512729998</v>
      </c>
      <c r="C44" s="58">
        <f aca="true" t="shared" si="6" ref="C44:I44">+C38-C39-C40-C41-C42-C45</f>
        <v>2999.736389970005</v>
      </c>
      <c r="D44" s="58">
        <f t="shared" si="6"/>
        <v>4843.201171659995</v>
      </c>
      <c r="E44" s="64">
        <f t="shared" si="6"/>
        <v>4741.393774020011</v>
      </c>
      <c r="F44" s="44">
        <f t="shared" si="6"/>
        <v>5087.139314660004</v>
      </c>
      <c r="G44" s="44">
        <f t="shared" si="6"/>
        <v>1850.9935869899891</v>
      </c>
      <c r="H44" s="44">
        <f t="shared" si="6"/>
        <v>4333.247099799995</v>
      </c>
      <c r="I44" s="44">
        <f t="shared" si="6"/>
        <v>4319.397610970009</v>
      </c>
    </row>
    <row r="45" spans="1:9" ht="15">
      <c r="A45" s="43" t="str">
        <f>HLOOKUP(INDICE!$F$2,Nombres!$C$3:$D$636,282,FALSE)</f>
        <v>Dotación de capital regulatorio</v>
      </c>
      <c r="B45" s="44">
        <v>6403.0837847</v>
      </c>
      <c r="C45" s="44">
        <v>6820.77989095</v>
      </c>
      <c r="D45" s="44">
        <v>6560.896061669999</v>
      </c>
      <c r="E45" s="44">
        <v>6710.54584216</v>
      </c>
      <c r="F45" s="44">
        <v>7161.2312039299995</v>
      </c>
      <c r="G45" s="44">
        <v>7277.349086480001</v>
      </c>
      <c r="H45" s="44">
        <v>6521.16648441</v>
      </c>
      <c r="I45" s="44">
        <v>6437.546550860001</v>
      </c>
    </row>
    <row r="46" spans="1:9" ht="15">
      <c r="A46" s="62"/>
      <c r="B46" s="58"/>
      <c r="C46" s="58"/>
      <c r="D46" s="58"/>
      <c r="E46" s="58"/>
      <c r="F46" s="76"/>
      <c r="G46" s="76"/>
      <c r="H46" s="76"/>
      <c r="I46" s="76"/>
    </row>
    <row r="47" spans="1:9" ht="15">
      <c r="A47" s="43"/>
      <c r="B47" s="58"/>
      <c r="C47" s="58"/>
      <c r="D47" s="58"/>
      <c r="E47" s="58"/>
      <c r="F47" s="76"/>
      <c r="G47" s="76"/>
      <c r="H47" s="76"/>
      <c r="I47" s="76"/>
    </row>
    <row r="48" spans="1:9" ht="18">
      <c r="A48" s="33" t="str">
        <f>HLOOKUP(INDICE!$F$2,Nombres!$C$3:$D$636,65,FALSE)</f>
        <v>Indicadores relevantes y de gestión</v>
      </c>
      <c r="B48" s="34"/>
      <c r="C48" s="34"/>
      <c r="D48" s="34"/>
      <c r="E48" s="34"/>
      <c r="F48" s="80"/>
      <c r="G48" s="80"/>
      <c r="H48" s="80"/>
      <c r="I48" s="80"/>
    </row>
    <row r="49" spans="1:9" ht="15">
      <c r="A49" s="35" t="str">
        <f>HLOOKUP(INDICE!$F$2,Nombres!$C$3:$D$636,32,FALSE)</f>
        <v>(Millones de euros)</v>
      </c>
      <c r="B49" s="30"/>
      <c r="C49" s="30"/>
      <c r="D49" s="30"/>
      <c r="E49" s="30"/>
      <c r="F49" s="78"/>
      <c r="G49" s="76"/>
      <c r="H49" s="76"/>
      <c r="I49" s="76"/>
    </row>
    <row r="50" spans="1:9" ht="15.75">
      <c r="A50" s="30"/>
      <c r="B50" s="53">
        <f aca="true" t="shared" si="7" ref="B50:I50">+B$30</f>
        <v>44651</v>
      </c>
      <c r="C50" s="53">
        <f t="shared" si="7"/>
        <v>44742</v>
      </c>
      <c r="D50" s="53">
        <f t="shared" si="7"/>
        <v>44834</v>
      </c>
      <c r="E50" s="67">
        <f t="shared" si="7"/>
        <v>44926</v>
      </c>
      <c r="F50" s="75">
        <f t="shared" si="7"/>
        <v>45016</v>
      </c>
      <c r="G50" s="75">
        <f t="shared" si="7"/>
        <v>45107</v>
      </c>
      <c r="H50" s="75">
        <f t="shared" si="7"/>
        <v>45199</v>
      </c>
      <c r="I50" s="75">
        <f t="shared" si="7"/>
        <v>45291</v>
      </c>
    </row>
    <row r="51" spans="1:9" ht="15">
      <c r="A51" s="43" t="str">
        <f>HLOOKUP(INDICE!$F$2,Nombres!$C$3:$D$636,66,FALSE)</f>
        <v>Préstamos y anticipos a la clientela bruto (*)</v>
      </c>
      <c r="B51" s="44">
        <v>35828.403</v>
      </c>
      <c r="C51" s="44">
        <v>37754.281</v>
      </c>
      <c r="D51" s="44">
        <v>39072.556</v>
      </c>
      <c r="E51" s="45">
        <v>39547.111000000004</v>
      </c>
      <c r="F51" s="44">
        <v>41062.337999999996</v>
      </c>
      <c r="G51" s="44">
        <v>37439.632</v>
      </c>
      <c r="H51" s="44">
        <v>39206.77099999999</v>
      </c>
      <c r="I51" s="44">
        <v>39057.575</v>
      </c>
    </row>
    <row r="52" spans="1:9" ht="15">
      <c r="A52" s="43" t="str">
        <f>HLOOKUP(INDICE!$F$2,Nombres!$C$3:$D$636,67,FALSE)</f>
        <v>Depósitos de clientes en gestión (**)</v>
      </c>
      <c r="B52" s="44">
        <v>40154.911</v>
      </c>
      <c r="C52" s="44">
        <v>42686.904</v>
      </c>
      <c r="D52" s="44">
        <v>47195.384</v>
      </c>
      <c r="E52" s="45">
        <v>45591.769</v>
      </c>
      <c r="F52" s="44">
        <v>49806.140999999996</v>
      </c>
      <c r="G52" s="44">
        <v>49519.876</v>
      </c>
      <c r="H52" s="44">
        <v>49774.513</v>
      </c>
      <c r="I52" s="44">
        <v>49320.602000000006</v>
      </c>
    </row>
    <row r="53" spans="1:9" ht="15">
      <c r="A53" s="43" t="str">
        <f>HLOOKUP(INDICE!$F$2,Nombres!$C$3:$D$636,68,FALSE)</f>
        <v>Fondos de inversión y carteras gestionadas</v>
      </c>
      <c r="B53" s="44">
        <v>2088.436</v>
      </c>
      <c r="C53" s="44">
        <v>2319.513</v>
      </c>
      <c r="D53" s="44">
        <v>2667.946</v>
      </c>
      <c r="E53" s="45">
        <v>3730.904</v>
      </c>
      <c r="F53" s="44">
        <v>4270.78</v>
      </c>
      <c r="G53" s="44">
        <v>3850.658</v>
      </c>
      <c r="H53" s="44">
        <v>4483.754</v>
      </c>
      <c r="I53" s="44">
        <v>4386.247</v>
      </c>
    </row>
    <row r="54" spans="1:9" ht="15">
      <c r="A54" s="43" t="str">
        <f>HLOOKUP(INDICE!$F$2,Nombres!$C$3:$D$636,69,FALSE)</f>
        <v>Fondos de pensiones</v>
      </c>
      <c r="B54" s="44">
        <v>2333.143</v>
      </c>
      <c r="C54" s="44">
        <v>2605.557</v>
      </c>
      <c r="D54" s="44">
        <v>2902.554</v>
      </c>
      <c r="E54" s="45">
        <v>3204.8</v>
      </c>
      <c r="F54" s="44">
        <v>3220.571</v>
      </c>
      <c r="G54" s="44">
        <v>2949.631</v>
      </c>
      <c r="H54" s="44">
        <v>3409.933</v>
      </c>
      <c r="I54" s="44">
        <v>3382.217</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1">
        <f>+B$6</f>
        <v>2022</v>
      </c>
      <c r="C62" s="301"/>
      <c r="D62" s="301"/>
      <c r="E62" s="302"/>
      <c r="F62" s="301">
        <f>+F$6</f>
        <v>2023</v>
      </c>
      <c r="G62" s="301"/>
      <c r="H62" s="301"/>
      <c r="I62" s="301"/>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250.84204318885395</v>
      </c>
      <c r="C64" s="41">
        <v>420.1570626893607</v>
      </c>
      <c r="D64" s="41">
        <v>514.8663500816174</v>
      </c>
      <c r="E64" s="42">
        <v>544.9933279005799</v>
      </c>
      <c r="F64" s="50">
        <v>414.43740689041573</v>
      </c>
      <c r="G64" s="50">
        <v>438.7143542594679</v>
      </c>
      <c r="H64" s="50">
        <v>592.7584184174416</v>
      </c>
      <c r="I64" s="50">
        <v>423.1398192826749</v>
      </c>
    </row>
    <row r="65" spans="1:9" ht="15">
      <c r="A65" s="43" t="str">
        <f>HLOOKUP(INDICE!$F$2,Nombres!$C$3:$D$636,34,FALSE)</f>
        <v>Comisiones netas</v>
      </c>
      <c r="B65" s="44">
        <v>69.69080566375435</v>
      </c>
      <c r="C65" s="44">
        <v>106.03059561786729</v>
      </c>
      <c r="D65" s="44">
        <v>105.77817997665211</v>
      </c>
      <c r="E65" s="45">
        <v>118.31311177633549</v>
      </c>
      <c r="F65" s="44">
        <v>112.66649753758986</v>
      </c>
      <c r="G65" s="44">
        <v>136.03850174492445</v>
      </c>
      <c r="H65" s="44">
        <v>322.8486979853768</v>
      </c>
      <c r="I65" s="44">
        <v>426.74030234210875</v>
      </c>
    </row>
    <row r="66" spans="1:9" ht="15">
      <c r="A66" s="43" t="str">
        <f>HLOOKUP(INDICE!$F$2,Nombres!$C$3:$D$636,35,FALSE)</f>
        <v>Resultados de operaciones financieras</v>
      </c>
      <c r="B66" s="44">
        <v>87.9963056110133</v>
      </c>
      <c r="C66" s="44">
        <v>140.80922557107078</v>
      </c>
      <c r="D66" s="44">
        <v>130.07096138264035</v>
      </c>
      <c r="E66" s="45">
        <v>136.40970889397917</v>
      </c>
      <c r="F66" s="44">
        <v>146.47045487994492</v>
      </c>
      <c r="G66" s="44">
        <v>197.8209443879001</v>
      </c>
      <c r="H66" s="44">
        <v>381.4613089062585</v>
      </c>
      <c r="I66" s="44">
        <v>211.61529251589639</v>
      </c>
    </row>
    <row r="67" spans="1:9" ht="15">
      <c r="A67" s="43" t="str">
        <f>HLOOKUP(INDICE!$F$2,Nombres!$C$3:$D$636,36,FALSE)</f>
        <v>Otros ingresos y cargas de explotación</v>
      </c>
      <c r="B67" s="44">
        <v>-592.8284414984441</v>
      </c>
      <c r="C67" s="44">
        <v>-469.6954071183718</v>
      </c>
      <c r="D67" s="44">
        <v>-227.33985850270187</v>
      </c>
      <c r="E67" s="45">
        <v>-95.87169675762577</v>
      </c>
      <c r="F67" s="44">
        <v>-382.10535106339285</v>
      </c>
      <c r="G67" s="44">
        <v>131.52513209878995</v>
      </c>
      <c r="H67" s="44">
        <v>-574.8749688595856</v>
      </c>
      <c r="I67" s="44">
        <v>1.392187834188178</v>
      </c>
    </row>
    <row r="68" spans="1:9" ht="15">
      <c r="A68" s="41" t="str">
        <f>HLOOKUP(INDICE!$F$2,Nombres!$C$3:$D$636,37,FALSE)</f>
        <v>Margen bruto</v>
      </c>
      <c r="B68" s="41">
        <f>+SUM(B64:B67)</f>
        <v>-184.29928703482256</v>
      </c>
      <c r="C68" s="41">
        <f aca="true" t="shared" si="9" ref="C68:I68">+SUM(C64:C67)</f>
        <v>197.30147675992703</v>
      </c>
      <c r="D68" s="41">
        <f t="shared" si="9"/>
        <v>523.375632938208</v>
      </c>
      <c r="E68" s="42">
        <f t="shared" si="9"/>
        <v>703.8444518132688</v>
      </c>
      <c r="F68" s="50">
        <f t="shared" si="9"/>
        <v>291.4690082445576</v>
      </c>
      <c r="G68" s="50">
        <f t="shared" si="9"/>
        <v>904.0989324910825</v>
      </c>
      <c r="H68" s="50">
        <f t="shared" si="9"/>
        <v>722.1934564494914</v>
      </c>
      <c r="I68" s="50">
        <f t="shared" si="9"/>
        <v>1062.8876019748684</v>
      </c>
    </row>
    <row r="69" spans="1:9" ht="15">
      <c r="A69" s="43" t="str">
        <f>HLOOKUP(INDICE!$F$2,Nombres!$C$3:$D$636,38,FALSE)</f>
        <v>Gastos de explotación</v>
      </c>
      <c r="B69" s="44">
        <v>-126.14953936917385</v>
      </c>
      <c r="C69" s="44">
        <v>-174.2621942260743</v>
      </c>
      <c r="D69" s="44">
        <v>-196.14454548100534</v>
      </c>
      <c r="E69" s="45">
        <v>-228.58883789318466</v>
      </c>
      <c r="F69" s="44">
        <v>-267.70910801274385</v>
      </c>
      <c r="G69" s="44">
        <v>-250.08652880359492</v>
      </c>
      <c r="H69" s="44">
        <v>-441.04311444878095</v>
      </c>
      <c r="I69" s="44">
        <v>-441.25094405488034</v>
      </c>
    </row>
    <row r="70" spans="1:9" ht="15">
      <c r="A70" s="43" t="str">
        <f>HLOOKUP(INDICE!$F$2,Nombres!$C$3:$D$636,39,FALSE)</f>
        <v>  Gastos de administración</v>
      </c>
      <c r="B70" s="44">
        <v>-107.82672666004132</v>
      </c>
      <c r="C70" s="44">
        <v>-147.4374263378557</v>
      </c>
      <c r="D70" s="44">
        <v>-166.9970589613576</v>
      </c>
      <c r="E70" s="45">
        <v>-198.77280091379913</v>
      </c>
      <c r="F70" s="44">
        <v>-238.7213591969812</v>
      </c>
      <c r="G70" s="44">
        <v>-223.11935539981081</v>
      </c>
      <c r="H70" s="44">
        <v>-391.0256621556717</v>
      </c>
      <c r="I70" s="44">
        <v>-397.61623255753625</v>
      </c>
    </row>
    <row r="71" spans="1:9" ht="15">
      <c r="A71" s="46" t="str">
        <f>HLOOKUP(INDICE!$F$2,Nombres!$C$3:$D$636,40,FALSE)</f>
        <v>  Gastos de personal</v>
      </c>
      <c r="B71" s="44">
        <v>-67.86856534326822</v>
      </c>
      <c r="C71" s="44">
        <v>-96.4589206287132</v>
      </c>
      <c r="D71" s="44">
        <v>-112.16083579362035</v>
      </c>
      <c r="E71" s="45">
        <v>-118.27166028055774</v>
      </c>
      <c r="F71" s="44">
        <v>-137.83374440438573</v>
      </c>
      <c r="G71" s="44">
        <v>-144.48893752110644</v>
      </c>
      <c r="H71" s="44">
        <v>-254.4780391779165</v>
      </c>
      <c r="I71" s="44">
        <v>-238.43427891659138</v>
      </c>
    </row>
    <row r="72" spans="1:9" ht="15">
      <c r="A72" s="46" t="str">
        <f>HLOOKUP(INDICE!$F$2,Nombres!$C$3:$D$636,41,FALSE)</f>
        <v>  Otros gastos de administración</v>
      </c>
      <c r="B72" s="44">
        <v>-39.9581613167731</v>
      </c>
      <c r="C72" s="44">
        <v>-50.97850570914248</v>
      </c>
      <c r="D72" s="44">
        <v>-54.836223167737224</v>
      </c>
      <c r="E72" s="45">
        <v>-80.50114063324143</v>
      </c>
      <c r="F72" s="44">
        <v>-100.8876147925955</v>
      </c>
      <c r="G72" s="44">
        <v>-78.6304178787044</v>
      </c>
      <c r="H72" s="44">
        <v>-136.54762297775525</v>
      </c>
      <c r="I72" s="44">
        <v>-159.1819536409449</v>
      </c>
    </row>
    <row r="73" spans="1:9" ht="15">
      <c r="A73" s="43" t="str">
        <f>HLOOKUP(INDICE!$F$2,Nombres!$C$3:$D$636,42,FALSE)</f>
        <v>  Amortización</v>
      </c>
      <c r="B73" s="44">
        <v>-18.322812709132528</v>
      </c>
      <c r="C73" s="44">
        <v>-26.824767888218624</v>
      </c>
      <c r="D73" s="44">
        <v>-29.14748651964775</v>
      </c>
      <c r="E73" s="45">
        <v>-29.81603697938546</v>
      </c>
      <c r="F73" s="44">
        <v>-28.987748815762615</v>
      </c>
      <c r="G73" s="44">
        <v>-26.967173403784095</v>
      </c>
      <c r="H73" s="44">
        <v>-50.01745229310927</v>
      </c>
      <c r="I73" s="44">
        <v>-43.63471149734402</v>
      </c>
    </row>
    <row r="74" spans="1:9" ht="15">
      <c r="A74" s="41" t="str">
        <f>HLOOKUP(INDICE!$F$2,Nombres!$C$3:$D$636,43,FALSE)</f>
        <v>Margen neto</v>
      </c>
      <c r="B74" s="41">
        <f>+B68+B69</f>
        <v>-310.4488264039964</v>
      </c>
      <c r="C74" s="41">
        <f aca="true" t="shared" si="10" ref="C74:I74">+C68+C69</f>
        <v>23.039282533852713</v>
      </c>
      <c r="D74" s="41">
        <f t="shared" si="10"/>
        <v>327.23108745720265</v>
      </c>
      <c r="E74" s="42">
        <f t="shared" si="10"/>
        <v>475.2556139200842</v>
      </c>
      <c r="F74" s="50">
        <f t="shared" si="10"/>
        <v>23.75990023181373</v>
      </c>
      <c r="G74" s="50">
        <f t="shared" si="10"/>
        <v>654.0124036874876</v>
      </c>
      <c r="H74" s="50">
        <f t="shared" si="10"/>
        <v>281.1503420007104</v>
      </c>
      <c r="I74" s="50">
        <f t="shared" si="10"/>
        <v>621.636657919988</v>
      </c>
    </row>
    <row r="75" spans="1:9" ht="15">
      <c r="A75" s="43" t="str">
        <f>HLOOKUP(INDICE!$F$2,Nombres!$C$3:$D$636,44,FALSE)</f>
        <v>Deterioro de activos financieros no valorados a valor razonable con cambios en resultados</v>
      </c>
      <c r="B75" s="44">
        <v>-47.511978649076</v>
      </c>
      <c r="C75" s="44">
        <v>-52.265889459424265</v>
      </c>
      <c r="D75" s="44">
        <v>-72.26312456213486</v>
      </c>
      <c r="E75" s="45">
        <v>-84.55457644306324</v>
      </c>
      <c r="F75" s="44">
        <v>-36.063351567332575</v>
      </c>
      <c r="G75" s="44">
        <v>-12.417563885827576</v>
      </c>
      <c r="H75" s="44">
        <v>-28.629616919245343</v>
      </c>
      <c r="I75" s="44">
        <v>-41.12346869759456</v>
      </c>
    </row>
    <row r="76" spans="1:9" ht="15">
      <c r="A76" s="43" t="str">
        <f>HLOOKUP(INDICE!$F$2,Nombres!$C$3:$D$636,45,FALSE)</f>
        <v>Provisiones o reversión de provisiones y otros resultados</v>
      </c>
      <c r="B76" s="44">
        <v>-8.625797170886079</v>
      </c>
      <c r="C76" s="44">
        <v>-15.48269797475113</v>
      </c>
      <c r="D76" s="44">
        <v>-24.600957532319367</v>
      </c>
      <c r="E76" s="45">
        <v>-8.806147178556998</v>
      </c>
      <c r="F76" s="44">
        <v>-16.377685404008552</v>
      </c>
      <c r="G76" s="44">
        <v>-23.86056476107294</v>
      </c>
      <c r="H76" s="44">
        <v>-41.72851605780952</v>
      </c>
      <c r="I76" s="44">
        <v>-55.04523417710901</v>
      </c>
    </row>
    <row r="77" spans="1:9" ht="15">
      <c r="A77" s="41" t="str">
        <f>HLOOKUP(INDICE!$F$2,Nombres!$C$3:$D$636,46,FALSE)</f>
        <v>Resultado antes de impuestos</v>
      </c>
      <c r="B77" s="41">
        <f>+B74+B75+B76</f>
        <v>-366.5866022239585</v>
      </c>
      <c r="C77" s="41">
        <f aca="true" t="shared" si="11" ref="C77:I77">+C74+C75+C76</f>
        <v>-44.70930490032268</v>
      </c>
      <c r="D77" s="41">
        <f t="shared" si="11"/>
        <v>230.36700536274842</v>
      </c>
      <c r="E77" s="42">
        <f t="shared" si="11"/>
        <v>381.89489029846396</v>
      </c>
      <c r="F77" s="50">
        <f t="shared" si="11"/>
        <v>-28.681136739527396</v>
      </c>
      <c r="G77" s="50">
        <f t="shared" si="11"/>
        <v>617.734275040587</v>
      </c>
      <c r="H77" s="50">
        <f t="shared" si="11"/>
        <v>210.79220902365554</v>
      </c>
      <c r="I77" s="50">
        <f t="shared" si="11"/>
        <v>525.4679550452844</v>
      </c>
    </row>
    <row r="78" spans="1:9" ht="15">
      <c r="A78" s="43" t="str">
        <f>HLOOKUP(INDICE!$F$2,Nombres!$C$3:$D$636,47,FALSE)</f>
        <v>Impuesto sobre beneficios</v>
      </c>
      <c r="B78" s="44">
        <v>-166.71905703159513</v>
      </c>
      <c r="C78" s="44">
        <v>-217.30482734055593</v>
      </c>
      <c r="D78" s="44">
        <v>-170.23198963390172</v>
      </c>
      <c r="E78" s="45">
        <v>-199.8750331526299</v>
      </c>
      <c r="F78" s="44">
        <v>84.08550561376617</v>
      </c>
      <c r="G78" s="44">
        <v>-207.0281804759702</v>
      </c>
      <c r="H78" s="44">
        <v>-456.29399269672524</v>
      </c>
      <c r="I78" s="44">
        <v>-123.15432337107075</v>
      </c>
    </row>
    <row r="79" spans="1:9" ht="15">
      <c r="A79" s="41" t="str">
        <f>HLOOKUP(INDICE!$F$2,Nombres!$C$3:$D$636,48,FALSE)</f>
        <v>Resultado del ejercicio</v>
      </c>
      <c r="B79" s="41">
        <f>+B77+B78</f>
        <v>-533.3056592555536</v>
      </c>
      <c r="C79" s="41">
        <f aca="true" t="shared" si="12" ref="C79:I79">+C77+C78</f>
        <v>-262.0141322408786</v>
      </c>
      <c r="D79" s="41">
        <f t="shared" si="12"/>
        <v>60.135015728846696</v>
      </c>
      <c r="E79" s="42">
        <f t="shared" si="12"/>
        <v>182.01985714583407</v>
      </c>
      <c r="F79" s="50">
        <f t="shared" si="12"/>
        <v>55.40436887423878</v>
      </c>
      <c r="G79" s="50">
        <f t="shared" si="12"/>
        <v>410.7060945646168</v>
      </c>
      <c r="H79" s="50">
        <f t="shared" si="12"/>
        <v>-245.5017836730697</v>
      </c>
      <c r="I79" s="50">
        <f t="shared" si="12"/>
        <v>402.31363167421364</v>
      </c>
    </row>
    <row r="80" spans="1:9" ht="15">
      <c r="A80" s="43" t="str">
        <f>HLOOKUP(INDICE!$F$2,Nombres!$C$3:$D$636,49,FALSE)</f>
        <v>Minoritarios</v>
      </c>
      <c r="B80" s="44">
        <v>268.61324487614195</v>
      </c>
      <c r="C80" s="44">
        <v>107.69830870203876</v>
      </c>
      <c r="D80" s="44">
        <v>-18.031239459718744</v>
      </c>
      <c r="E80" s="45">
        <v>-59.330436043887815</v>
      </c>
      <c r="F80" s="44">
        <v>-7.885856019538526</v>
      </c>
      <c r="G80" s="44">
        <v>-61.89673419903907</v>
      </c>
      <c r="H80" s="44">
        <v>35.460659338622946</v>
      </c>
      <c r="I80" s="44">
        <v>-60.522067000045354</v>
      </c>
    </row>
    <row r="81" spans="1:9" ht="15">
      <c r="A81" s="47" t="str">
        <f>HLOOKUP(INDICE!$F$2,Nombres!$C$3:$D$636,50,FALSE)</f>
        <v>Resultado atribuido</v>
      </c>
      <c r="B81" s="47">
        <f>+B79+B80</f>
        <v>-264.6924143794116</v>
      </c>
      <c r="C81" s="47">
        <f aca="true" t="shared" si="13" ref="C81:I81">+C79+C80</f>
        <v>-154.31582353883985</v>
      </c>
      <c r="D81" s="47">
        <f t="shared" si="13"/>
        <v>42.10377626912795</v>
      </c>
      <c r="E81" s="47">
        <f t="shared" si="13"/>
        <v>122.68942110194625</v>
      </c>
      <c r="F81" s="51">
        <f t="shared" si="13"/>
        <v>47.51851285470025</v>
      </c>
      <c r="G81" s="51">
        <f t="shared" si="13"/>
        <v>348.80936036557773</v>
      </c>
      <c r="H81" s="51">
        <f t="shared" si="13"/>
        <v>-210.04112433444675</v>
      </c>
      <c r="I81" s="51">
        <f t="shared" si="13"/>
        <v>341.7915646741683</v>
      </c>
    </row>
    <row r="82" spans="1:9" ht="15">
      <c r="A82" s="62"/>
      <c r="B82" s="63">
        <v>0</v>
      </c>
      <c r="C82" s="63">
        <v>0</v>
      </c>
      <c r="D82" s="63">
        <v>0</v>
      </c>
      <c r="E82" s="63">
        <v>1.1368683772161603E-13</v>
      </c>
      <c r="F82" s="63">
        <v>-1.4210854715202004E-13</v>
      </c>
      <c r="G82" s="63">
        <v>0</v>
      </c>
      <c r="H82" s="63">
        <v>0</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44651</v>
      </c>
      <c r="C86" s="53">
        <f t="shared" si="14"/>
        <v>44742</v>
      </c>
      <c r="D86" s="53">
        <f t="shared" si="14"/>
        <v>44834</v>
      </c>
      <c r="E86" s="67">
        <f t="shared" si="14"/>
        <v>44926</v>
      </c>
      <c r="F86" s="53">
        <f t="shared" si="14"/>
        <v>45016</v>
      </c>
      <c r="G86" s="53">
        <f t="shared" si="14"/>
        <v>45107</v>
      </c>
      <c r="H86" s="53">
        <f t="shared" si="14"/>
        <v>45199</v>
      </c>
      <c r="I86" s="53">
        <f t="shared" si="14"/>
        <v>45291</v>
      </c>
    </row>
    <row r="87" spans="1:9" ht="15">
      <c r="A87" s="43" t="str">
        <f>HLOOKUP(INDICE!$F$2,Nombres!$C$3:$D$636,52,FALSE)</f>
        <v>Efectivo, saldos en efectivo en bancos centrales y otros depósitos a la vista</v>
      </c>
      <c r="B87" s="44">
        <v>3952.4475320940187</v>
      </c>
      <c r="C87" s="44">
        <v>4270.873946830884</v>
      </c>
      <c r="D87" s="44">
        <v>4491.45794985196</v>
      </c>
      <c r="E87" s="45">
        <v>3705.963965159934</v>
      </c>
      <c r="F87" s="44">
        <v>5417.651624529507</v>
      </c>
      <c r="G87" s="44">
        <v>6729.25060677246</v>
      </c>
      <c r="H87" s="44">
        <v>10225.498303772718</v>
      </c>
      <c r="I87" s="44">
        <v>9699.644</v>
      </c>
    </row>
    <row r="88" spans="1:9" ht="15">
      <c r="A88" s="43" t="str">
        <f>HLOOKUP(INDICE!$F$2,Nombres!$C$3:$D$636,53,FALSE)</f>
        <v>Activos financieros a valor razonable</v>
      </c>
      <c r="B88" s="58">
        <v>2581.7715838721315</v>
      </c>
      <c r="C88" s="58">
        <v>2969.7439092422646</v>
      </c>
      <c r="D88" s="58">
        <v>3078.0087345439033</v>
      </c>
      <c r="E88" s="64">
        <v>3181.395512835965</v>
      </c>
      <c r="F88" s="44">
        <v>3264.499050591674</v>
      </c>
      <c r="G88" s="44">
        <v>3571.905067321783</v>
      </c>
      <c r="H88" s="44">
        <v>3678.303636085374</v>
      </c>
      <c r="I88" s="44">
        <v>3692.0780000000004</v>
      </c>
    </row>
    <row r="89" spans="1:9" ht="15">
      <c r="A89" s="43" t="str">
        <f>HLOOKUP(INDICE!$F$2,Nombres!$C$3:$D$636,54,FALSE)</f>
        <v>Activos financieros a coste amortizado</v>
      </c>
      <c r="B89" s="44">
        <v>21943.429888848168</v>
      </c>
      <c r="C89" s="44">
        <v>25655.409745769626</v>
      </c>
      <c r="D89" s="44">
        <v>28798.941572900847</v>
      </c>
      <c r="E89" s="45">
        <v>31562.5949151046</v>
      </c>
      <c r="F89" s="44">
        <v>34655.6005726867</v>
      </c>
      <c r="G89" s="44">
        <v>45558.90229498769</v>
      </c>
      <c r="H89" s="44">
        <v>44761.44649550443</v>
      </c>
      <c r="I89" s="44">
        <v>51542.74799999999</v>
      </c>
    </row>
    <row r="90" spans="1:9" ht="15">
      <c r="A90" s="43" t="str">
        <f>HLOOKUP(INDICE!$F$2,Nombres!$C$3:$D$636,55,FALSE)</f>
        <v>    de los que préstamos y anticipos a la clientela</v>
      </c>
      <c r="B90" s="44">
        <v>16817.44016305299</v>
      </c>
      <c r="C90" s="44">
        <v>18890.500625594166</v>
      </c>
      <c r="D90" s="44">
        <v>20435.07841385274</v>
      </c>
      <c r="E90" s="45">
        <v>22893.277728297868</v>
      </c>
      <c r="F90" s="44">
        <v>24915.384188985805</v>
      </c>
      <c r="G90" s="44">
        <v>30938.25005500609</v>
      </c>
      <c r="H90" s="44">
        <v>33333.817521630415</v>
      </c>
      <c r="I90" s="44">
        <v>37416.421</v>
      </c>
    </row>
    <row r="91" spans="1:9" ht="15" customHeight="1" hidden="1">
      <c r="A91" s="43"/>
      <c r="B91" s="44"/>
      <c r="C91" s="44"/>
      <c r="D91" s="44"/>
      <c r="E91" s="45"/>
      <c r="F91" s="44"/>
      <c r="G91" s="44"/>
      <c r="H91" s="44"/>
      <c r="I91" s="44"/>
    </row>
    <row r="92" spans="1:9" ht="15">
      <c r="A92" s="43" t="str">
        <f>HLOOKUP(INDICE!$F$2,Nombres!$C$3:$D$636,56,FALSE)</f>
        <v>Activos tangibles</v>
      </c>
      <c r="B92" s="44">
        <v>555.6707382411688</v>
      </c>
      <c r="C92" s="44">
        <v>617.5946664053793</v>
      </c>
      <c r="D92" s="44">
        <v>660.0618778286118</v>
      </c>
      <c r="E92" s="45">
        <v>804.6102823406577</v>
      </c>
      <c r="F92" s="44">
        <v>1018.3382638427404</v>
      </c>
      <c r="G92" s="44">
        <v>1055.3034811604348</v>
      </c>
      <c r="H92" s="44">
        <v>1360.2587890304865</v>
      </c>
      <c r="I92" s="44">
        <v>1496.249</v>
      </c>
    </row>
    <row r="93" spans="1:9" ht="15">
      <c r="A93" s="43" t="str">
        <f>HLOOKUP(INDICE!$F$2,Nombres!$C$3:$D$636,57,FALSE)</f>
        <v>Otros activos</v>
      </c>
      <c r="B93" s="58">
        <f>+B94-B92-B89-B88-B87</f>
        <v>510.9188730861847</v>
      </c>
      <c r="C93" s="58">
        <f aca="true" t="shared" si="15" ref="C93:I93">+C94-C92-C89-C88-C87</f>
        <v>630.2826437482954</v>
      </c>
      <c r="D93" s="58">
        <f t="shared" si="15"/>
        <v>1019.9783334143785</v>
      </c>
      <c r="E93" s="64">
        <f t="shared" si="15"/>
        <v>1212.91973997794</v>
      </c>
      <c r="F93" s="44">
        <f t="shared" si="15"/>
        <v>1319.6747620816577</v>
      </c>
      <c r="G93" s="44">
        <f t="shared" si="15"/>
        <v>1525.1338648294304</v>
      </c>
      <c r="H93" s="44">
        <f t="shared" si="15"/>
        <v>1663.914870008226</v>
      </c>
      <c r="I93" s="44">
        <f t="shared" si="15"/>
        <v>1898.6642044900145</v>
      </c>
    </row>
    <row r="94" spans="1:9" ht="15">
      <c r="A94" s="47" t="str">
        <f>HLOOKUP(INDICE!$F$2,Nombres!$C$3:$D$636,58,FALSE)</f>
        <v>Total activo / pasivo</v>
      </c>
      <c r="B94" s="47">
        <v>29544.238616141673</v>
      </c>
      <c r="C94" s="47">
        <v>34143.90491199645</v>
      </c>
      <c r="D94" s="47">
        <v>38048.448468539704</v>
      </c>
      <c r="E94" s="47">
        <v>40467.484415419094</v>
      </c>
      <c r="F94" s="47">
        <v>45675.76427373228</v>
      </c>
      <c r="G94" s="47">
        <v>58440.4953150718</v>
      </c>
      <c r="H94" s="47">
        <v>61689.422094401234</v>
      </c>
      <c r="I94" s="47">
        <v>68329.38320449</v>
      </c>
    </row>
    <row r="95" spans="1:9" ht="15">
      <c r="A95" s="43" t="str">
        <f>HLOOKUP(INDICE!$F$2,Nombres!$C$3:$D$636,59,FALSE)</f>
        <v>Pasivos financieros mantenidos para negociar y designados a valor razonable con cambios en resultados</v>
      </c>
      <c r="B95" s="58">
        <v>1096.0822047777142</v>
      </c>
      <c r="C95" s="58">
        <v>1263.058145608646</v>
      </c>
      <c r="D95" s="58">
        <v>1339.1336666273805</v>
      </c>
      <c r="E95" s="64">
        <v>1307.1163977692433</v>
      </c>
      <c r="F95" s="44">
        <v>1328.5747046629729</v>
      </c>
      <c r="G95" s="44">
        <v>1904.9889768459334</v>
      </c>
      <c r="H95" s="44">
        <v>1858.6059560081899</v>
      </c>
      <c r="I95" s="44">
        <v>1878.473</v>
      </c>
    </row>
    <row r="96" spans="1:9" ht="15">
      <c r="A96" s="43" t="str">
        <f>HLOOKUP(INDICE!$F$2,Nombres!$C$3:$D$636,60,FALSE)</f>
        <v>Depósitos de bancos centrales y entidades de crédito</v>
      </c>
      <c r="B96" s="58">
        <v>1833.7220394290302</v>
      </c>
      <c r="C96" s="58">
        <v>2815.2532345422915</v>
      </c>
      <c r="D96" s="58">
        <v>2214.9628938123847</v>
      </c>
      <c r="E96" s="64">
        <v>1755.9519975091848</v>
      </c>
      <c r="F96" s="44">
        <v>1761.1929454306166</v>
      </c>
      <c r="G96" s="44">
        <v>2034.9218949508445</v>
      </c>
      <c r="H96" s="44">
        <v>2177.4230309634772</v>
      </c>
      <c r="I96" s="44">
        <v>2305.779</v>
      </c>
    </row>
    <row r="97" spans="1:9" ht="15">
      <c r="A97" s="43" t="str">
        <f>HLOOKUP(INDICE!$F$2,Nombres!$C$3:$D$636,61,FALSE)</f>
        <v>Depósitos de la clientela</v>
      </c>
      <c r="B97" s="58">
        <v>20023.924979381747</v>
      </c>
      <c r="C97" s="58">
        <v>22645.590300360447</v>
      </c>
      <c r="D97" s="58">
        <v>26139.226266308375</v>
      </c>
      <c r="E97" s="64">
        <v>28332.923782360966</v>
      </c>
      <c r="F97" s="44">
        <v>32735.008104809407</v>
      </c>
      <c r="G97" s="44">
        <v>44051.431709774355</v>
      </c>
      <c r="H97" s="44">
        <v>45467.49486808926</v>
      </c>
      <c r="I97" s="44">
        <v>50651.384999999995</v>
      </c>
    </row>
    <row r="98" spans="1:9" ht="15">
      <c r="A98" s="43" t="str">
        <f>HLOOKUP(INDICE!$F$2,Nombres!$C$3:$D$636,62,FALSE)</f>
        <v>Valores representativos de deuda emitidos</v>
      </c>
      <c r="B98" s="44">
        <v>1769.218191210703</v>
      </c>
      <c r="C98" s="44">
        <v>2067.3516477456405</v>
      </c>
      <c r="D98" s="44">
        <v>1871.3332411828128</v>
      </c>
      <c r="E98" s="45">
        <v>1978.3242358926368</v>
      </c>
      <c r="F98" s="44">
        <v>1855.5492188635512</v>
      </c>
      <c r="G98" s="44">
        <v>2480.1815961138573</v>
      </c>
      <c r="H98" s="44">
        <v>2470.8093462567354</v>
      </c>
      <c r="I98" s="44">
        <v>2736.80204266</v>
      </c>
    </row>
    <row r="99" spans="1:9" ht="15" customHeight="1" hidden="1">
      <c r="A99" s="43"/>
      <c r="B99" s="44"/>
      <c r="C99" s="44"/>
      <c r="D99" s="44"/>
      <c r="E99" s="45"/>
      <c r="F99" s="44"/>
      <c r="G99" s="44"/>
      <c r="H99" s="44"/>
      <c r="I99" s="44"/>
    </row>
    <row r="100" spans="1:9" ht="15">
      <c r="A100" s="43" t="str">
        <f>HLOOKUP(INDICE!$F$2,Nombres!$C$3:$D$636,63,FALSE)</f>
        <v>Otros pasivos</v>
      </c>
      <c r="B100" s="58">
        <f>+B94-B95-B96-B97-B98-B101</f>
        <v>1628.426477678183</v>
      </c>
      <c r="C100" s="58">
        <f aca="true" t="shared" si="16" ref="C100:I100">+C94-C95-C96-C97-C98-C101</f>
        <v>1734.3259340428758</v>
      </c>
      <c r="D100" s="58">
        <f t="shared" si="16"/>
        <v>2836.4511802186203</v>
      </c>
      <c r="E100" s="64">
        <f t="shared" si="16"/>
        <v>2977.5781283971064</v>
      </c>
      <c r="F100" s="44">
        <f t="shared" si="16"/>
        <v>3404.6379497002254</v>
      </c>
      <c r="G100" s="44">
        <f t="shared" si="16"/>
        <v>1652.1745706375596</v>
      </c>
      <c r="H100" s="44">
        <f t="shared" si="16"/>
        <v>3908.0800618995327</v>
      </c>
      <c r="I100" s="44">
        <f t="shared" si="16"/>
        <v>4319.397610970009</v>
      </c>
    </row>
    <row r="101" spans="1:9" ht="15">
      <c r="A101" s="43" t="str">
        <f>HLOOKUP(INDICE!$F$2,Nombres!$C$3:$D$636,282,FALSE)</f>
        <v>Dotación de capital regulatorio</v>
      </c>
      <c r="B101" s="44">
        <v>3192.8647236642946</v>
      </c>
      <c r="C101" s="44">
        <v>3618.3256496965487</v>
      </c>
      <c r="D101" s="44">
        <v>3647.341220390132</v>
      </c>
      <c r="E101" s="44">
        <v>4115.589873489962</v>
      </c>
      <c r="F101" s="44">
        <v>4590.801350265514</v>
      </c>
      <c r="G101" s="44">
        <v>6316.796566749252</v>
      </c>
      <c r="H101" s="44">
        <v>5807.00883118403</v>
      </c>
      <c r="I101" s="44">
        <v>6437.546550860001</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44651</v>
      </c>
      <c r="C106" s="53">
        <f t="shared" si="17"/>
        <v>44742</v>
      </c>
      <c r="D106" s="53">
        <f t="shared" si="17"/>
        <v>44834</v>
      </c>
      <c r="E106" s="67">
        <f t="shared" si="17"/>
        <v>44926</v>
      </c>
      <c r="F106" s="53">
        <f t="shared" si="17"/>
        <v>45016</v>
      </c>
      <c r="G106" s="53">
        <f t="shared" si="17"/>
        <v>45107</v>
      </c>
      <c r="H106" s="53">
        <f t="shared" si="17"/>
        <v>45199</v>
      </c>
      <c r="I106" s="53">
        <f t="shared" si="17"/>
        <v>45291</v>
      </c>
    </row>
    <row r="107" spans="1:9" ht="15">
      <c r="A107" s="43" t="str">
        <f>HLOOKUP(INDICE!$F$2,Nombres!$C$3:$D$636,66,FALSE)</f>
        <v>Préstamos y anticipos a la clientela bruto (*)</v>
      </c>
      <c r="B107" s="44">
        <v>17865.64847351715</v>
      </c>
      <c r="C107" s="44">
        <v>20028.103165945202</v>
      </c>
      <c r="D107" s="44">
        <v>21639.354608502104</v>
      </c>
      <c r="E107" s="45">
        <v>24180.066101153614</v>
      </c>
      <c r="F107" s="44">
        <v>26236.154305784217</v>
      </c>
      <c r="G107" s="44">
        <v>32470.551663255934</v>
      </c>
      <c r="H107" s="44">
        <v>34882.18843025193</v>
      </c>
      <c r="I107" s="44">
        <v>39057.575</v>
      </c>
    </row>
    <row r="108" spans="1:9" ht="15">
      <c r="A108" s="43" t="str">
        <f>HLOOKUP(INDICE!$F$2,Nombres!$C$3:$D$636,67,FALSE)</f>
        <v>Depósitos de clientes en gestión (**)</v>
      </c>
      <c r="B108" s="44">
        <v>20023.03938613638</v>
      </c>
      <c r="C108" s="44">
        <v>22644.788736588544</v>
      </c>
      <c r="D108" s="44">
        <v>26137.97905262267</v>
      </c>
      <c r="E108" s="45">
        <v>27875.917107788886</v>
      </c>
      <c r="F108" s="44">
        <v>31822.873813265236</v>
      </c>
      <c r="G108" s="44">
        <v>42947.47587305419</v>
      </c>
      <c r="H108" s="44">
        <v>44284.28807590465</v>
      </c>
      <c r="I108" s="44">
        <v>49320.602000000006</v>
      </c>
    </row>
    <row r="109" spans="1:9" ht="15">
      <c r="A109" s="43" t="str">
        <f>HLOOKUP(INDICE!$F$2,Nombres!$C$3:$D$636,68,FALSE)</f>
        <v>Fondos de inversión y carteras gestionadas</v>
      </c>
      <c r="B109" s="44">
        <v>1041.3878462692928</v>
      </c>
      <c r="C109" s="44">
        <v>1230.4682920263017</v>
      </c>
      <c r="D109" s="44">
        <v>1477.5749395646076</v>
      </c>
      <c r="E109" s="45">
        <v>2281.165502508095</v>
      </c>
      <c r="F109" s="44">
        <v>2728.749714301634</v>
      </c>
      <c r="G109" s="44">
        <v>3339.5891692132486</v>
      </c>
      <c r="H109" s="44">
        <v>3989.1872733639757</v>
      </c>
      <c r="I109" s="44">
        <v>4386.247</v>
      </c>
    </row>
    <row r="110" spans="1:9" ht="15">
      <c r="A110" s="43" t="str">
        <f>HLOOKUP(INDICE!$F$2,Nombres!$C$3:$D$636,69,FALSE)</f>
        <v>Fondos de pensiones</v>
      </c>
      <c r="B110" s="44">
        <v>1163.4097304433924</v>
      </c>
      <c r="C110" s="44">
        <v>1382.21052072878</v>
      </c>
      <c r="D110" s="44">
        <v>1607.5066928389895</v>
      </c>
      <c r="E110" s="45">
        <v>1959.4927134115333</v>
      </c>
      <c r="F110" s="44">
        <v>2057.734698611993</v>
      </c>
      <c r="G110" s="44">
        <v>2558.1486958269584</v>
      </c>
      <c r="H110" s="44">
        <v>3033.810803764846</v>
      </c>
      <c r="I110" s="44">
        <v>3382.217</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HLOOKUP(INDICE!$F$2,Nombres!$C$3:$D$636,77,FALSE)</f>
        <v>(Millones de liras turcas)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1">
        <f>+B$6</f>
        <v>2022</v>
      </c>
      <c r="C118" s="301"/>
      <c r="D118" s="301"/>
      <c r="E118" s="302"/>
      <c r="F118" s="301">
        <f>+F$6</f>
        <v>2023</v>
      </c>
      <c r="G118" s="301"/>
      <c r="H118" s="301"/>
      <c r="I118" s="301"/>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7984.370673066187</v>
      </c>
      <c r="C120" s="41">
        <v>11912.103729912464</v>
      </c>
      <c r="D120" s="41">
        <v>15421.139150641178</v>
      </c>
      <c r="E120" s="42">
        <v>16399.000355130935</v>
      </c>
      <c r="F120" s="50">
        <v>13036.521394293313</v>
      </c>
      <c r="G120" s="50">
        <v>13928.519305398997</v>
      </c>
      <c r="H120" s="50">
        <v>18077.49842197349</v>
      </c>
      <c r="I120" s="50">
        <v>14266.884492251802</v>
      </c>
    </row>
    <row r="121" spans="1:9" ht="15">
      <c r="A121" s="43" t="str">
        <f>HLOOKUP(INDICE!$F$2,Nombres!$C$3:$D$636,34,FALSE)</f>
        <v>Comisiones netas</v>
      </c>
      <c r="B121" s="44">
        <v>2219.170072850806</v>
      </c>
      <c r="C121" s="44">
        <v>2996.504286845563</v>
      </c>
      <c r="D121" s="44">
        <v>3132.4320903463604</v>
      </c>
      <c r="E121" s="45">
        <v>3574.414693272105</v>
      </c>
      <c r="F121" s="44">
        <v>3582.695857508028</v>
      </c>
      <c r="G121" s="44">
        <v>4377.920612559932</v>
      </c>
      <c r="H121" s="44">
        <v>10204.24728204291</v>
      </c>
      <c r="I121" s="44">
        <v>14200.457229492611</v>
      </c>
    </row>
    <row r="122" spans="1:9" ht="15">
      <c r="A122" s="43" t="str">
        <f>HLOOKUP(INDICE!$F$2,Nombres!$C$3:$D$636,35,FALSE)</f>
        <v>Resultados de operaciones financieras</v>
      </c>
      <c r="B122" s="44">
        <v>2843.792037335866</v>
      </c>
      <c r="C122" s="44">
        <v>3985.033567464518</v>
      </c>
      <c r="D122" s="44">
        <v>3838.1417238681247</v>
      </c>
      <c r="E122" s="45">
        <v>4065.0601163117767</v>
      </c>
      <c r="F122" s="44">
        <v>4665.416546586612</v>
      </c>
      <c r="G122" s="44">
        <v>6420.526734248186</v>
      </c>
      <c r="H122" s="44">
        <v>12021.92777609659</v>
      </c>
      <c r="I122" s="44">
        <v>7366.082528289164</v>
      </c>
    </row>
    <row r="123" spans="1:9" ht="15">
      <c r="A123" s="43" t="str">
        <f>HLOOKUP(INDICE!$F$2,Nombres!$C$3:$D$636,36,FALSE)</f>
        <v>Otros ingresos y cargas de explotación</v>
      </c>
      <c r="B123" s="44">
        <v>-4937.368536376534</v>
      </c>
      <c r="C123" s="44">
        <v>-3978.9817955351737</v>
      </c>
      <c r="D123" s="44">
        <v>-3164.033233882611</v>
      </c>
      <c r="E123" s="45">
        <v>-3524.908682650352</v>
      </c>
      <c r="F123" s="44">
        <v>-4597.245514813606</v>
      </c>
      <c r="G123" s="44">
        <v>-480.60870658986073</v>
      </c>
      <c r="H123" s="44">
        <v>-15215.206076537492</v>
      </c>
      <c r="I123" s="44">
        <v>-6589.9245899673715</v>
      </c>
    </row>
    <row r="124" spans="1:9" ht="15">
      <c r="A124" s="41" t="str">
        <f>HLOOKUP(INDICE!$F$2,Nombres!$C$3:$D$636,37,FALSE)</f>
        <v>Margen bruto</v>
      </c>
      <c r="B124" s="41">
        <f>+SUM(B120:B123)</f>
        <v>8109.964246876325</v>
      </c>
      <c r="C124" s="41">
        <f aca="true" t="shared" si="19" ref="C124:I124">+SUM(C120:C123)</f>
        <v>14914.65978868737</v>
      </c>
      <c r="D124" s="41">
        <f t="shared" si="19"/>
        <v>19227.67973097305</v>
      </c>
      <c r="E124" s="42">
        <f t="shared" si="19"/>
        <v>20513.566482064463</v>
      </c>
      <c r="F124" s="50">
        <f t="shared" si="19"/>
        <v>16687.388283574342</v>
      </c>
      <c r="G124" s="50">
        <f t="shared" si="19"/>
        <v>24246.357945617256</v>
      </c>
      <c r="H124" s="50">
        <f t="shared" si="19"/>
        <v>25088.4674035755</v>
      </c>
      <c r="I124" s="50">
        <f t="shared" si="19"/>
        <v>29243.499660066213</v>
      </c>
    </row>
    <row r="125" spans="1:9" ht="15">
      <c r="A125" s="43" t="str">
        <f>HLOOKUP(INDICE!$F$2,Nombres!$C$3:$D$636,38,FALSE)</f>
        <v>Gastos de explotación</v>
      </c>
      <c r="B125" s="44">
        <v>-3856.0286582633553</v>
      </c>
      <c r="C125" s="44">
        <v>-4696.176632754803</v>
      </c>
      <c r="D125" s="44">
        <v>-5565.864149058144</v>
      </c>
      <c r="E125" s="45">
        <v>-6778.651719747641</v>
      </c>
      <c r="F125" s="44">
        <v>-8300.127756597496</v>
      </c>
      <c r="G125" s="44">
        <v>-8024.211383337111</v>
      </c>
      <c r="H125" s="44">
        <v>-13614.924178966612</v>
      </c>
      <c r="I125" s="44">
        <v>-14860.760398704188</v>
      </c>
    </row>
    <row r="126" spans="1:9" ht="15">
      <c r="A126" s="43" t="str">
        <f>HLOOKUP(INDICE!$F$2,Nombres!$C$3:$D$636,39,FALSE)</f>
        <v>  Gastos de administración</v>
      </c>
      <c r="B126" s="44">
        <v>-3380.52319117532</v>
      </c>
      <c r="C126" s="44">
        <v>-4073.5851726070514</v>
      </c>
      <c r="D126" s="44">
        <v>-4938.568872738388</v>
      </c>
      <c r="E126" s="45">
        <v>-5966.492445958412</v>
      </c>
      <c r="F126" s="44">
        <v>-7542.205530046736</v>
      </c>
      <c r="G126" s="44">
        <v>-7098.334164375726</v>
      </c>
      <c r="H126" s="44">
        <v>-12097.421160431495</v>
      </c>
      <c r="I126" s="44">
        <v>-13268.3277530156</v>
      </c>
    </row>
    <row r="127" spans="1:9" ht="15">
      <c r="A127" s="46" t="str">
        <f>HLOOKUP(INDICE!$F$2,Nombres!$C$3:$D$636,40,FALSE)</f>
        <v>  Gastos de personal</v>
      </c>
      <c r="B127" s="44">
        <v>-2132.377900234281</v>
      </c>
      <c r="C127" s="44">
        <v>-2683.87051961705</v>
      </c>
      <c r="D127" s="44">
        <v>-3330.9030264493813</v>
      </c>
      <c r="E127" s="45">
        <v>-3521.16125324525</v>
      </c>
      <c r="F127" s="44">
        <v>-4344.464123194133</v>
      </c>
      <c r="G127" s="44">
        <v>-4600.387729488601</v>
      </c>
      <c r="H127" s="44">
        <v>-7891.762171377917</v>
      </c>
      <c r="I127" s="44">
        <v>-7964.580603675053</v>
      </c>
    </row>
    <row r="128" spans="1:9" ht="15">
      <c r="A128" s="46" t="str">
        <f>HLOOKUP(INDICE!$F$2,Nombres!$C$3:$D$636,41,FALSE)</f>
        <v>  Otros gastos de administración</v>
      </c>
      <c r="B128" s="44">
        <v>-1248.1452909410395</v>
      </c>
      <c r="C128" s="44">
        <v>-1389.7146529900017</v>
      </c>
      <c r="D128" s="44">
        <v>-1607.665846289006</v>
      </c>
      <c r="E128" s="45">
        <v>-2445.3311927131604</v>
      </c>
      <c r="F128" s="44">
        <v>-3197.741406852604</v>
      </c>
      <c r="G128" s="44">
        <v>-2497.9464348871247</v>
      </c>
      <c r="H128" s="44">
        <v>-4205.65898905358</v>
      </c>
      <c r="I128" s="44">
        <v>-5303.747149340545</v>
      </c>
    </row>
    <row r="129" spans="1:9" ht="15">
      <c r="A129" s="43" t="str">
        <f>HLOOKUP(INDICE!$F$2,Nombres!$C$3:$D$636,42,FALSE)</f>
        <v>  Amortización</v>
      </c>
      <c r="B129" s="44">
        <v>-475.50546708803546</v>
      </c>
      <c r="C129" s="44">
        <v>-622.5914601477508</v>
      </c>
      <c r="D129" s="44">
        <v>-627.2952763197571</v>
      </c>
      <c r="E129" s="45">
        <v>-812.1592737892307</v>
      </c>
      <c r="F129" s="44">
        <v>-757.9222265507597</v>
      </c>
      <c r="G129" s="44">
        <v>-925.8772189613856</v>
      </c>
      <c r="H129" s="44">
        <v>-1517.503018535115</v>
      </c>
      <c r="I129" s="44">
        <v>-1592.4326456885897</v>
      </c>
    </row>
    <row r="130" spans="1:9" ht="15">
      <c r="A130" s="41" t="str">
        <f>HLOOKUP(INDICE!$F$2,Nombres!$C$3:$D$636,43,FALSE)</f>
        <v>Margen neto</v>
      </c>
      <c r="B130" s="41">
        <f>+B124+B125</f>
        <v>4253.93558861297</v>
      </c>
      <c r="C130" s="41">
        <f aca="true" t="shared" si="20" ref="C130:I130">+C124+C125</f>
        <v>10218.483155932567</v>
      </c>
      <c r="D130" s="41">
        <f t="shared" si="20"/>
        <v>13661.815581914907</v>
      </c>
      <c r="E130" s="42">
        <f t="shared" si="20"/>
        <v>13734.914762316821</v>
      </c>
      <c r="F130" s="50">
        <f t="shared" si="20"/>
        <v>8387.260526976846</v>
      </c>
      <c r="G130" s="50">
        <f t="shared" si="20"/>
        <v>16222.146562280144</v>
      </c>
      <c r="H130" s="50">
        <f t="shared" si="20"/>
        <v>11473.54322460889</v>
      </c>
      <c r="I130" s="50">
        <f t="shared" si="20"/>
        <v>14382.739261362025</v>
      </c>
    </row>
    <row r="131" spans="1:9" ht="15">
      <c r="A131" s="43" t="str">
        <f>HLOOKUP(INDICE!$F$2,Nombres!$C$3:$D$636,44,FALSE)</f>
        <v>Deterioro de activos financieros no valorados a valor razonable con cambios en resultados</v>
      </c>
      <c r="B131" s="44">
        <v>-1560.0697863285266</v>
      </c>
      <c r="C131" s="44">
        <v>-1409.2385700027787</v>
      </c>
      <c r="D131" s="44">
        <v>-2181.3812838063163</v>
      </c>
      <c r="E131" s="45">
        <v>-2548.167318311701</v>
      </c>
      <c r="F131" s="44">
        <v>-1250.0872622362563</v>
      </c>
      <c r="G131" s="44">
        <v>-409.49714435543694</v>
      </c>
      <c r="H131" s="44">
        <v>-860.0493969248158</v>
      </c>
      <c r="I131" s="44">
        <v>-1387.9568817817612</v>
      </c>
    </row>
    <row r="132" spans="1:9" ht="15">
      <c r="A132" s="43" t="str">
        <f>HLOOKUP(INDICE!$F$2,Nombres!$C$3:$D$636,45,FALSE)</f>
        <v>Provisiones o reversión de provisiones y otros resultados</v>
      </c>
      <c r="B132" s="44">
        <v>-176.10807576008972</v>
      </c>
      <c r="C132" s="44">
        <v>-414.09356780461087</v>
      </c>
      <c r="D132" s="44">
        <v>-698.0207741786018</v>
      </c>
      <c r="E132" s="45">
        <v>-475.0050557967588</v>
      </c>
      <c r="F132" s="44">
        <v>-336.43324756264764</v>
      </c>
      <c r="G132" s="44">
        <v>-994.4858248465473</v>
      </c>
      <c r="H132" s="44">
        <v>-1330.1318103142514</v>
      </c>
      <c r="I132" s="44">
        <v>-1814.7211292887373</v>
      </c>
    </row>
    <row r="133" spans="1:9" ht="15">
      <c r="A133" s="41" t="str">
        <f>HLOOKUP(INDICE!$F$2,Nombres!$C$3:$D$636,46,FALSE)</f>
        <v>Resultado antes de impuestos</v>
      </c>
      <c r="B133" s="41">
        <f>+B130+B131+B132</f>
        <v>2517.757726524353</v>
      </c>
      <c r="C133" s="41">
        <f aca="true" t="shared" si="21" ref="C133:I133">+C130+C131+C132</f>
        <v>8395.151018125176</v>
      </c>
      <c r="D133" s="41">
        <f t="shared" si="21"/>
        <v>10782.413523929989</v>
      </c>
      <c r="E133" s="42">
        <f t="shared" si="21"/>
        <v>10711.74238820836</v>
      </c>
      <c r="F133" s="50">
        <f t="shared" si="21"/>
        <v>6800.740017177942</v>
      </c>
      <c r="G133" s="50">
        <f t="shared" si="21"/>
        <v>14818.16359307816</v>
      </c>
      <c r="H133" s="50">
        <f t="shared" si="21"/>
        <v>9283.362017369822</v>
      </c>
      <c r="I133" s="50">
        <f t="shared" si="21"/>
        <v>11180.061250291526</v>
      </c>
    </row>
    <row r="134" spans="1:9" ht="15">
      <c r="A134" s="43" t="str">
        <f>HLOOKUP(INDICE!$F$2,Nombres!$C$3:$D$636,47,FALSE)</f>
        <v>Impuesto sobre beneficios</v>
      </c>
      <c r="B134" s="44">
        <v>-5014.49947887421</v>
      </c>
      <c r="C134" s="44">
        <v>-5971.20947581308</v>
      </c>
      <c r="D134" s="44">
        <v>-5088.490819968889</v>
      </c>
      <c r="E134" s="45">
        <v>-5901.5640876184825</v>
      </c>
      <c r="F134" s="44">
        <v>-96.39797976041245</v>
      </c>
      <c r="G134" s="44">
        <v>-4571.317441992932</v>
      </c>
      <c r="H134" s="44">
        <v>-14266.338398707723</v>
      </c>
      <c r="I134" s="44">
        <v>-3704.9453705931487</v>
      </c>
    </row>
    <row r="135" spans="1:9" ht="15">
      <c r="A135" s="41" t="str">
        <f>HLOOKUP(INDICE!$F$2,Nombres!$C$3:$D$636,48,FALSE)</f>
        <v>Resultado del ejercicio</v>
      </c>
      <c r="B135" s="41">
        <f>+B133+B134</f>
        <v>-2496.7417523498566</v>
      </c>
      <c r="C135" s="41">
        <f aca="true" t="shared" si="22" ref="C135:I135">+C133+C134</f>
        <v>2423.9415423120963</v>
      </c>
      <c r="D135" s="41">
        <f t="shared" si="22"/>
        <v>5693.9227039611</v>
      </c>
      <c r="E135" s="42">
        <f t="shared" si="22"/>
        <v>4810.178300589878</v>
      </c>
      <c r="F135" s="50">
        <f t="shared" si="22"/>
        <v>6704.342037417529</v>
      </c>
      <c r="G135" s="50">
        <f t="shared" si="22"/>
        <v>10246.846151085228</v>
      </c>
      <c r="H135" s="50">
        <f t="shared" si="22"/>
        <v>-4982.976381337901</v>
      </c>
      <c r="I135" s="50">
        <f t="shared" si="22"/>
        <v>7475.115879698378</v>
      </c>
    </row>
    <row r="136" spans="1:9" ht="15">
      <c r="A136" s="43" t="str">
        <f>HLOOKUP(INDICE!$F$2,Nombres!$C$3:$D$636,49,FALSE)</f>
        <v>Minoritarios</v>
      </c>
      <c r="B136" s="44">
        <v>1256.3325964271485</v>
      </c>
      <c r="C136" s="44">
        <v>-183.04769133979153</v>
      </c>
      <c r="D136" s="44">
        <v>-732.7922673901845</v>
      </c>
      <c r="E136" s="45">
        <v>-842.9678548377824</v>
      </c>
      <c r="F136" s="44">
        <v>-944.5719145202634</v>
      </c>
      <c r="G136" s="44">
        <v>-1576.6655093115182</v>
      </c>
      <c r="H136" s="44">
        <v>732.3798876312177</v>
      </c>
      <c r="I136" s="44">
        <v>-1182.173745525534</v>
      </c>
    </row>
    <row r="137" spans="1:9" ht="15">
      <c r="A137" s="47" t="str">
        <f>HLOOKUP(INDICE!$F$2,Nombres!$C$3:$D$636,50,FALSE)</f>
        <v>Resultado atribuido</v>
      </c>
      <c r="B137" s="47">
        <f>+B135+B136</f>
        <v>-1240.4091559227081</v>
      </c>
      <c r="C137" s="47">
        <f aca="true" t="shared" si="23" ref="C137:I137">+C135+C136</f>
        <v>2240.893850972305</v>
      </c>
      <c r="D137" s="47">
        <f t="shared" si="23"/>
        <v>4961.130436570915</v>
      </c>
      <c r="E137" s="47">
        <f t="shared" si="23"/>
        <v>3967.2104457520954</v>
      </c>
      <c r="F137" s="51">
        <f t="shared" si="23"/>
        <v>5759.7701228972655</v>
      </c>
      <c r="G137" s="51">
        <f t="shared" si="23"/>
        <v>8670.18064177371</v>
      </c>
      <c r="H137" s="51">
        <f t="shared" si="23"/>
        <v>-4250.596493706684</v>
      </c>
      <c r="I137" s="51">
        <f t="shared" si="23"/>
        <v>6292.942134172844</v>
      </c>
    </row>
    <row r="138" spans="1:9" ht="15">
      <c r="A138" s="62"/>
      <c r="B138" s="63">
        <v>0</v>
      </c>
      <c r="C138" s="63">
        <v>0</v>
      </c>
      <c r="D138" s="63">
        <v>0</v>
      </c>
      <c r="E138" s="63">
        <v>-5.4569682106375694E-12</v>
      </c>
      <c r="F138" s="63">
        <v>0</v>
      </c>
      <c r="G138" s="63">
        <v>0</v>
      </c>
      <c r="H138" s="63">
        <v>0</v>
      </c>
      <c r="I138" s="63">
        <v>1.3642420526593924E-11</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HLOOKUP(INDICE!$F$2,Nombres!$C$3:$D$636,77,FALSE)</f>
        <v>(Millones de liras turcas)</v>
      </c>
      <c r="B141" s="30"/>
      <c r="C141" s="52"/>
      <c r="D141" s="52"/>
      <c r="E141" s="52"/>
      <c r="F141" s="69"/>
      <c r="G141" s="44"/>
      <c r="H141" s="44"/>
      <c r="I141" s="44"/>
    </row>
    <row r="142" spans="1:9" ht="15.75">
      <c r="A142" s="30"/>
      <c r="B142" s="53">
        <f aca="true" t="shared" si="24" ref="B142:I142">+B$30</f>
        <v>44651</v>
      </c>
      <c r="C142" s="53">
        <f t="shared" si="24"/>
        <v>44742</v>
      </c>
      <c r="D142" s="53">
        <f t="shared" si="24"/>
        <v>44834</v>
      </c>
      <c r="E142" s="67">
        <f t="shared" si="24"/>
        <v>44926</v>
      </c>
      <c r="F142" s="53">
        <f t="shared" si="24"/>
        <v>45016</v>
      </c>
      <c r="G142" s="53">
        <f t="shared" si="24"/>
        <v>45107</v>
      </c>
      <c r="H142" s="53">
        <f t="shared" si="24"/>
        <v>45199</v>
      </c>
      <c r="I142" s="53">
        <f t="shared" si="24"/>
        <v>45291</v>
      </c>
    </row>
    <row r="143" spans="1:9" ht="15">
      <c r="A143" s="43" t="str">
        <f>HLOOKUP(INDICE!$F$2,Nombres!$C$3:$D$636,52,FALSE)</f>
        <v>Efectivo, saldos en efectivo en bancos centrales y otros depósitos a la vista</v>
      </c>
      <c r="B143" s="44">
        <v>129059.66450961103</v>
      </c>
      <c r="C143" s="44">
        <v>139457.27407260635</v>
      </c>
      <c r="D143" s="44">
        <v>146660.02558161994</v>
      </c>
      <c r="E143" s="45">
        <v>121011.2119501936</v>
      </c>
      <c r="F143" s="44">
        <v>176903.1202600908</v>
      </c>
      <c r="G143" s="44">
        <v>219730.89298696633</v>
      </c>
      <c r="H143" s="44">
        <v>333894.2186613475</v>
      </c>
      <c r="I143" s="44">
        <v>316723.4454949075</v>
      </c>
    </row>
    <row r="144" spans="1:9" ht="15">
      <c r="A144" s="43" t="str">
        <f>HLOOKUP(INDICE!$F$2,Nombres!$C$3:$D$636,53,FALSE)</f>
        <v>Activos financieros a valor razonable</v>
      </c>
      <c r="B144" s="58">
        <v>84302.84570493786</v>
      </c>
      <c r="C144" s="58">
        <v>96971.34484242162</v>
      </c>
      <c r="D144" s="58">
        <v>100506.5270094619</v>
      </c>
      <c r="E144" s="64">
        <v>103882.4258196945</v>
      </c>
      <c r="F144" s="44">
        <v>106596.01394837265</v>
      </c>
      <c r="G144" s="44">
        <v>116633.7733532153</v>
      </c>
      <c r="H144" s="44">
        <v>120108.01645889333</v>
      </c>
      <c r="I144" s="44">
        <v>120557.79214123188</v>
      </c>
    </row>
    <row r="145" spans="1:9" ht="15">
      <c r="A145" s="43" t="str">
        <f>HLOOKUP(INDICE!$F$2,Nombres!$C$3:$D$636,54,FALSE)</f>
        <v>Activos financieros a coste amortizado</v>
      </c>
      <c r="B145" s="44">
        <v>716521.0105001717</v>
      </c>
      <c r="C145" s="44">
        <v>837728.6599656425</v>
      </c>
      <c r="D145" s="44">
        <v>940374.7190696573</v>
      </c>
      <c r="E145" s="45">
        <v>1030616.5680175455</v>
      </c>
      <c r="F145" s="44">
        <v>1131612.7910546635</v>
      </c>
      <c r="G145" s="44">
        <v>1487639.3925214522</v>
      </c>
      <c r="H145" s="44">
        <v>1461599.9885554682</v>
      </c>
      <c r="I145" s="44">
        <v>1683030.5047108692</v>
      </c>
    </row>
    <row r="146" spans="1:9" ht="15">
      <c r="A146" s="43" t="str">
        <f>HLOOKUP(INDICE!$F$2,Nombres!$C$3:$D$636,55,FALSE)</f>
        <v>    de los que préstamos y anticipos a la clientela</v>
      </c>
      <c r="B146" s="44">
        <v>549141.555385598</v>
      </c>
      <c r="C146" s="44">
        <v>616833.4059746821</v>
      </c>
      <c r="D146" s="44">
        <v>667268.6589522304</v>
      </c>
      <c r="E146" s="45">
        <v>747536.4869863604</v>
      </c>
      <c r="F146" s="44">
        <v>813564.5314575385</v>
      </c>
      <c r="G146" s="44">
        <v>1010229.7728663587</v>
      </c>
      <c r="H146" s="44">
        <v>1088452.476910421</v>
      </c>
      <c r="I146" s="44">
        <v>1221762.1365493427</v>
      </c>
    </row>
    <row r="147" spans="1:9" ht="15" customHeight="1" hidden="1">
      <c r="A147" s="43"/>
      <c r="B147" s="44"/>
      <c r="C147" s="44"/>
      <c r="D147" s="44"/>
      <c r="E147" s="45"/>
      <c r="F147" s="44"/>
      <c r="G147" s="44"/>
      <c r="H147" s="44"/>
      <c r="I147" s="44"/>
    </row>
    <row r="148" spans="1:9" ht="15">
      <c r="A148" s="43" t="str">
        <f>HLOOKUP(INDICE!$F$2,Nombres!$C$3:$D$636,56,FALSE)</f>
        <v>Activos tangibles</v>
      </c>
      <c r="B148" s="44">
        <v>14000.758994822892</v>
      </c>
      <c r="C148" s="44">
        <v>15957.303552069381</v>
      </c>
      <c r="D148" s="44">
        <v>17369.199358897105</v>
      </c>
      <c r="E148" s="45">
        <v>24214.029666998722</v>
      </c>
      <c r="F148" s="44">
        <v>28551.080567885543</v>
      </c>
      <c r="G148" s="44">
        <v>32988.104756300294</v>
      </c>
      <c r="H148" s="44">
        <v>42743.121460090864</v>
      </c>
      <c r="I148" s="44">
        <v>48857.16822166977</v>
      </c>
    </row>
    <row r="149" spans="1:9" ht="15">
      <c r="A149" s="43" t="str">
        <f>HLOOKUP(INDICE!$F$2,Nombres!$C$3:$D$636,57,FALSE)</f>
        <v>Otros activos</v>
      </c>
      <c r="B149" s="58">
        <f>+B150-B148-B145-B144-B143</f>
        <v>16129.620872926316</v>
      </c>
      <c r="C149" s="58">
        <f aca="true" t="shared" si="25" ref="C149:I149">+C150-C148-C145-C144-C143</f>
        <v>20120.074634575023</v>
      </c>
      <c r="D149" s="58">
        <f t="shared" si="25"/>
        <v>32006.23480567918</v>
      </c>
      <c r="E149" s="64">
        <f t="shared" si="25"/>
        <v>38687.48506619496</v>
      </c>
      <c r="F149" s="44">
        <f t="shared" si="25"/>
        <v>42256.61736650849</v>
      </c>
      <c r="G149" s="44">
        <f t="shared" si="25"/>
        <v>49567.83717660137</v>
      </c>
      <c r="H149" s="44">
        <f t="shared" si="25"/>
        <v>54113.66511166189</v>
      </c>
      <c r="I149" s="44">
        <f t="shared" si="25"/>
        <v>61997.27213534014</v>
      </c>
    </row>
    <row r="150" spans="1:9" ht="15">
      <c r="A150" s="47" t="str">
        <f>HLOOKUP(INDICE!$F$2,Nombres!$C$3:$D$636,58,FALSE)</f>
        <v>Total activo / pasivo</v>
      </c>
      <c r="B150" s="47">
        <v>960013.9005824698</v>
      </c>
      <c r="C150" s="47">
        <v>1110234.657067315</v>
      </c>
      <c r="D150" s="47">
        <v>1236916.7058253153</v>
      </c>
      <c r="E150" s="70">
        <v>1318411.7205206272</v>
      </c>
      <c r="F150" s="51">
        <v>1485919.623197521</v>
      </c>
      <c r="G150" s="51">
        <v>1906560.0007945355</v>
      </c>
      <c r="H150" s="51">
        <v>2012459.0102474617</v>
      </c>
      <c r="I150" s="51">
        <v>2231166.1827040184</v>
      </c>
    </row>
    <row r="151" spans="1:9" ht="15">
      <c r="A151" s="43" t="str">
        <f>HLOOKUP(INDICE!$F$2,Nombres!$C$3:$D$636,59,FALSE)</f>
        <v>Pasivos financieros mantenidos para negociar y designados a valor razonable con cambios en resultados</v>
      </c>
      <c r="B151" s="58">
        <v>35790.48184065852</v>
      </c>
      <c r="C151" s="58">
        <v>41242.763934179326</v>
      </c>
      <c r="D151" s="58">
        <v>43726.86552954446</v>
      </c>
      <c r="E151" s="64">
        <v>42681.40244779775</v>
      </c>
      <c r="F151" s="44">
        <v>43382.082688626084</v>
      </c>
      <c r="G151" s="44">
        <v>62203.79555955481</v>
      </c>
      <c r="H151" s="44">
        <v>60689.24614184503</v>
      </c>
      <c r="I151" s="44">
        <v>61337.966716010946</v>
      </c>
    </row>
    <row r="152" spans="1:9" ht="15">
      <c r="A152" s="43" t="str">
        <f>HLOOKUP(INDICE!$F$2,Nombres!$C$3:$D$636,60,FALSE)</f>
        <v>Depósitos de bancos centrales y entidades de crédito</v>
      </c>
      <c r="B152" s="58">
        <v>59876.70912539791</v>
      </c>
      <c r="C152" s="58">
        <v>91926.7453923997</v>
      </c>
      <c r="D152" s="58">
        <v>72325.40486760435</v>
      </c>
      <c r="E152" s="64">
        <v>57337.276169596975</v>
      </c>
      <c r="F152" s="44">
        <v>57508.40936616945</v>
      </c>
      <c r="G152" s="44">
        <v>66446.5081277063</v>
      </c>
      <c r="H152" s="44">
        <v>71099.61197201847</v>
      </c>
      <c r="I152" s="44">
        <v>75290.83226454521</v>
      </c>
    </row>
    <row r="153" spans="1:9" ht="15">
      <c r="A153" s="43" t="str">
        <f>HLOOKUP(INDICE!$F$2,Nombres!$C$3:$D$636,61,FALSE)</f>
        <v>Depósitos de la clientela</v>
      </c>
      <c r="B153" s="58">
        <v>653843.2247411691</v>
      </c>
      <c r="C153" s="58">
        <v>739448.7246332152</v>
      </c>
      <c r="D153" s="58">
        <v>853526.769192372</v>
      </c>
      <c r="E153" s="64">
        <v>925157.7935534512</v>
      </c>
      <c r="F153" s="44">
        <v>1068899.493142115</v>
      </c>
      <c r="G153" s="44">
        <v>1438415.8047556547</v>
      </c>
      <c r="H153" s="44">
        <v>1484654.6566702093</v>
      </c>
      <c r="I153" s="44">
        <v>1653924.7395357061</v>
      </c>
    </row>
    <row r="154" spans="1:9" ht="15">
      <c r="A154" s="43" t="str">
        <f>HLOOKUP(INDICE!$F$2,Nombres!$C$3:$D$636,62,FALSE)</f>
        <v>Valores representativos de deuda emitidos</v>
      </c>
      <c r="B154" s="44">
        <v>57770.458519149965</v>
      </c>
      <c r="C154" s="44">
        <v>67505.44008868505</v>
      </c>
      <c r="D154" s="44">
        <v>61104.83145737857</v>
      </c>
      <c r="E154" s="45">
        <v>64598.419106721456</v>
      </c>
      <c r="F154" s="44">
        <v>60589.43419818791</v>
      </c>
      <c r="G154" s="44">
        <v>80985.61767568375</v>
      </c>
      <c r="H154" s="44">
        <v>80679.5846638756</v>
      </c>
      <c r="I154" s="44">
        <v>89365.07077876013</v>
      </c>
    </row>
    <row r="155" spans="1:9" ht="15" customHeight="1" hidden="1">
      <c r="A155" s="43"/>
      <c r="B155" s="44"/>
      <c r="C155" s="44"/>
      <c r="D155" s="44"/>
      <c r="E155" s="45"/>
      <c r="F155" s="44"/>
      <c r="G155" s="44"/>
      <c r="H155" s="44"/>
      <c r="I155" s="44"/>
    </row>
    <row r="156" spans="1:9" ht="15.75" customHeight="1">
      <c r="A156" s="43" t="str">
        <f>HLOOKUP(INDICE!$F$2,Nombres!$C$3:$D$636,63,FALSE)</f>
        <v>Otros pasivos</v>
      </c>
      <c r="B156" s="58">
        <f>+B150-B151-B152-B153-B154-B157</f>
        <v>48476.095248302954</v>
      </c>
      <c r="C156" s="58">
        <f aca="true" t="shared" si="26" ref="C156:I156">+C150-C151-C152-C153-C154-C157</f>
        <v>51961.43374728589</v>
      </c>
      <c r="D156" s="58">
        <f t="shared" si="26"/>
        <v>87584.9343089062</v>
      </c>
      <c r="E156" s="64">
        <f t="shared" si="26"/>
        <v>94661.45255892666</v>
      </c>
      <c r="F156" s="44">
        <f t="shared" si="26"/>
        <v>106134.0049491892</v>
      </c>
      <c r="G156" s="44">
        <f t="shared" si="26"/>
        <v>52418.84268868202</v>
      </c>
      <c r="H156" s="44">
        <f t="shared" si="26"/>
        <v>125886.89479480835</v>
      </c>
      <c r="I156" s="44">
        <f t="shared" si="26"/>
        <v>141041.7221300999</v>
      </c>
    </row>
    <row r="157" spans="1:9" ht="15.75" customHeight="1">
      <c r="A157" s="43" t="str">
        <f>HLOOKUP(INDICE!$F$2,Nombres!$C$3:$D$636,282,FALSE)</f>
        <v>Dotación de capital regulatorio</v>
      </c>
      <c r="B157" s="44">
        <v>104256.93110779127</v>
      </c>
      <c r="C157" s="44">
        <v>118149.54927154962</v>
      </c>
      <c r="D157" s="44">
        <v>118647.90046950977</v>
      </c>
      <c r="E157" s="44">
        <v>133975.37668413314</v>
      </c>
      <c r="F157" s="44">
        <v>149406.19885323342</v>
      </c>
      <c r="G157" s="44">
        <v>206089.4319872539</v>
      </c>
      <c r="H157" s="44">
        <v>189449.016004705</v>
      </c>
      <c r="I157" s="44">
        <v>210205.8512788961</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8"/>
      <c r="G160" s="68"/>
      <c r="H160" s="68"/>
      <c r="I160" s="68"/>
    </row>
    <row r="161" spans="1:9" ht="15">
      <c r="A161" s="35" t="str">
        <f>HLOOKUP(INDICE!$F$2,Nombres!$C$3:$D$636,77,FALSE)</f>
        <v>(Millones de liras turcas)</v>
      </c>
      <c r="B161" s="30"/>
      <c r="C161" s="30"/>
      <c r="D161" s="30"/>
      <c r="E161" s="30"/>
      <c r="F161" s="69"/>
      <c r="G161" s="44"/>
      <c r="H161" s="44"/>
      <c r="I161" s="44"/>
    </row>
    <row r="162" spans="1:9" ht="15.75">
      <c r="A162" s="30"/>
      <c r="B162" s="53">
        <f aca="true" t="shared" si="27" ref="B162:I162">+B$30</f>
        <v>44651</v>
      </c>
      <c r="C162" s="53">
        <f t="shared" si="27"/>
        <v>44742</v>
      </c>
      <c r="D162" s="53">
        <f t="shared" si="27"/>
        <v>44834</v>
      </c>
      <c r="E162" s="67">
        <f t="shared" si="27"/>
        <v>44926</v>
      </c>
      <c r="F162" s="53">
        <f t="shared" si="27"/>
        <v>45016</v>
      </c>
      <c r="G162" s="53">
        <f t="shared" si="27"/>
        <v>45107</v>
      </c>
      <c r="H162" s="53">
        <f t="shared" si="27"/>
        <v>45199</v>
      </c>
      <c r="I162" s="53">
        <f t="shared" si="27"/>
        <v>45291</v>
      </c>
    </row>
    <row r="163" spans="1:9" ht="15">
      <c r="A163" s="43" t="str">
        <f>HLOOKUP(INDICE!$F$2,Nombres!$C$3:$D$636,66,FALSE)</f>
        <v>Préstamos y anticipos a la clientela bruto (*)</v>
      </c>
      <c r="B163" s="44">
        <v>583368.8061678539</v>
      </c>
      <c r="C163" s="44">
        <v>653979.6554848434</v>
      </c>
      <c r="D163" s="44">
        <v>706592.0099635504</v>
      </c>
      <c r="E163" s="45">
        <v>789554.1164038583</v>
      </c>
      <c r="F163" s="44">
        <v>856691.7701581657</v>
      </c>
      <c r="G163" s="44">
        <v>1060264.1705104657</v>
      </c>
      <c r="H163" s="44">
        <v>1139011.5870264918</v>
      </c>
      <c r="I163" s="44">
        <v>1275350.9022264902</v>
      </c>
    </row>
    <row r="164" spans="1:9" ht="15">
      <c r="A164" s="43" t="str">
        <f>HLOOKUP(INDICE!$F$2,Nombres!$C$3:$D$636,67,FALSE)</f>
        <v>Depósitos de clientes en gestión (**)</v>
      </c>
      <c r="B164" s="44">
        <v>653814.3073763689</v>
      </c>
      <c r="C164" s="44">
        <v>739422.5510912151</v>
      </c>
      <c r="D164" s="44">
        <v>853486.0437991716</v>
      </c>
      <c r="E164" s="45">
        <v>910235.108908052</v>
      </c>
      <c r="F164" s="44">
        <v>1039115.4809070344</v>
      </c>
      <c r="G164" s="44">
        <v>1402368.2244238171</v>
      </c>
      <c r="H164" s="44">
        <v>1446019.286964508</v>
      </c>
      <c r="I164" s="44">
        <v>1610470.5491586109</v>
      </c>
    </row>
    <row r="165" spans="1:9" ht="15">
      <c r="A165" s="43" t="str">
        <f>HLOOKUP(INDICE!$F$2,Nombres!$C$3:$D$636,68,FALSE)</f>
        <v>Fondos de inversión y carteras gestionadas</v>
      </c>
      <c r="B165" s="44">
        <v>34004.5414828556</v>
      </c>
      <c r="C165" s="44">
        <v>40178.60418617469</v>
      </c>
      <c r="D165" s="44">
        <v>48247.40225886973</v>
      </c>
      <c r="E165" s="45">
        <v>74487.12526959607</v>
      </c>
      <c r="F165" s="44">
        <v>89102.1372956428</v>
      </c>
      <c r="G165" s="44">
        <v>109047.93910072325</v>
      </c>
      <c r="H165" s="44">
        <v>130259.33095526742</v>
      </c>
      <c r="I165" s="44">
        <v>143224.5619150251</v>
      </c>
    </row>
    <row r="166" spans="1:9" ht="15">
      <c r="A166" s="43" t="str">
        <f>HLOOKUP(INDICE!$F$2,Nombres!$C$3:$D$636,69,FALSE)</f>
        <v>Fondos de pensiones</v>
      </c>
      <c r="B166" s="44">
        <v>37988.93426896212</v>
      </c>
      <c r="C166" s="44">
        <v>45133.458354196235</v>
      </c>
      <c r="D166" s="44">
        <v>52490.07679169346</v>
      </c>
      <c r="E166" s="45">
        <v>63983.511519996624</v>
      </c>
      <c r="F166" s="44">
        <v>67191.41688693064</v>
      </c>
      <c r="G166" s="44">
        <v>83531.48517931362</v>
      </c>
      <c r="H166" s="44">
        <v>99063.32755594706</v>
      </c>
      <c r="I166" s="44">
        <v>110439.86992217957</v>
      </c>
    </row>
    <row r="167" spans="1:15" ht="15">
      <c r="A167" s="43" t="str">
        <f>HLOOKUP(INDICE!$F$2,Nombres!$C$3:$D$636,70,FALSE)</f>
        <v>Otros recursos fuera de balance</v>
      </c>
      <c r="B167" s="44">
        <v>0</v>
      </c>
      <c r="C167" s="44">
        <v>0</v>
      </c>
      <c r="D167" s="44">
        <v>0</v>
      </c>
      <c r="E167" s="45">
        <v>0</v>
      </c>
      <c r="F167" s="44">
        <v>0</v>
      </c>
      <c r="G167" s="44">
        <v>0</v>
      </c>
      <c r="H167" s="44">
        <v>0</v>
      </c>
      <c r="I167" s="44">
        <v>0</v>
      </c>
      <c r="N167" s="73"/>
      <c r="O167" s="73"/>
    </row>
    <row r="168" spans="1:15" ht="15">
      <c r="A168" s="62" t="str">
        <f>HLOOKUP(INDICE!$F$2,Nombres!$C$3:$D$636,71,FALSE)</f>
        <v>(*) No incluye las adquisiciones temporales de activos.</v>
      </c>
      <c r="B168" s="58"/>
      <c r="C168" s="58"/>
      <c r="D168" s="58"/>
      <c r="E168" s="58"/>
      <c r="F168" s="44"/>
      <c r="G168" s="44"/>
      <c r="H168" s="44"/>
      <c r="I168" s="44"/>
      <c r="N168" s="73"/>
      <c r="O168" s="73"/>
    </row>
    <row r="169" spans="1:15" ht="15">
      <c r="A169" s="62"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391</v>
      </c>
    </row>
  </sheetData>
  <sheetProtection/>
  <mergeCells count="6">
    <mergeCell ref="B6:E6"/>
    <mergeCell ref="F6:I6"/>
    <mergeCell ref="B62:E62"/>
    <mergeCell ref="F62:I62"/>
    <mergeCell ref="B118:E118"/>
    <mergeCell ref="F118:I118"/>
  </mergeCells>
  <conditionalFormatting sqref="B26:I26">
    <cfRule type="cellIs" priority="3" dxfId="132" operator="notBetween">
      <formula>0.5</formula>
      <formula>-0.5</formula>
    </cfRule>
  </conditionalFormatting>
  <conditionalFormatting sqref="B82:I82">
    <cfRule type="cellIs" priority="2" dxfId="132" operator="notBetween">
      <formula>0.5</formula>
      <formula>-0.5</formula>
    </cfRule>
  </conditionalFormatting>
  <conditionalFormatting sqref="B138:I138">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O998"/>
  <sheetViews>
    <sheetView showGridLines="0" zoomScalePageLayoutView="0" workbookViewId="0" topLeftCell="A1">
      <selection activeCell="A1" sqref="A1"/>
    </sheetView>
  </sheetViews>
  <sheetFormatPr defaultColWidth="11.421875" defaultRowHeight="15"/>
  <cols>
    <col min="1" max="1" width="66.57421875" style="31" customWidth="1"/>
    <col min="2" max="16384" width="11.421875" style="31" customWidth="1"/>
  </cols>
  <sheetData>
    <row r="1" spans="1:9" ht="18">
      <c r="A1" s="29" t="str">
        <f>HLOOKUP(INDICE!$F$2,Nombres!$C$3:$D$636,283,FALSE)</f>
        <v>América del Sur </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1">
        <f>+España!B6</f>
        <v>2022</v>
      </c>
      <c r="C6" s="301"/>
      <c r="D6" s="301"/>
      <c r="E6" s="302"/>
      <c r="F6" s="301">
        <f>+España!F6</f>
        <v>2023</v>
      </c>
      <c r="G6" s="301"/>
      <c r="H6" s="301"/>
      <c r="I6" s="301"/>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809.3452602399998</v>
      </c>
      <c r="C8" s="41">
        <v>1039.8659387700002</v>
      </c>
      <c r="D8" s="41">
        <v>1224.3587979000001</v>
      </c>
      <c r="E8" s="42">
        <v>1064.0967855</v>
      </c>
      <c r="F8" s="50">
        <v>1189.6238201899998</v>
      </c>
      <c r="G8" s="50">
        <v>1313.1792896700003</v>
      </c>
      <c r="H8" s="50">
        <v>1389.3750772999995</v>
      </c>
      <c r="I8" s="50">
        <v>501.51407992999975</v>
      </c>
    </row>
    <row r="9" spans="1:9" ht="15">
      <c r="A9" s="43" t="str">
        <f>HLOOKUP(INDICE!$F$2,Nombres!$C$3:$D$636,34,FALSE)</f>
        <v>Comisiones netas</v>
      </c>
      <c r="B9" s="44">
        <v>178.10568923</v>
      </c>
      <c r="C9" s="44">
        <v>222.69375806000002</v>
      </c>
      <c r="D9" s="44">
        <v>207.64165207999997</v>
      </c>
      <c r="E9" s="45">
        <v>169.65302934</v>
      </c>
      <c r="F9" s="44">
        <v>184.20062958999998</v>
      </c>
      <c r="G9" s="44">
        <v>226.99328598000002</v>
      </c>
      <c r="H9" s="44">
        <v>172.5963452</v>
      </c>
      <c r="I9" s="44">
        <v>115.87230009000004</v>
      </c>
    </row>
    <row r="10" spans="1:9" ht="15">
      <c r="A10" s="43" t="str">
        <f>HLOOKUP(INDICE!$F$2,Nombres!$C$3:$D$636,35,FALSE)</f>
        <v>Resultados de operaciones financieras</v>
      </c>
      <c r="B10" s="44">
        <v>93.22845095000001</v>
      </c>
      <c r="C10" s="44">
        <v>109.64612033999998</v>
      </c>
      <c r="D10" s="44">
        <v>151.86050311999998</v>
      </c>
      <c r="E10" s="45">
        <v>92.00741371000004</v>
      </c>
      <c r="F10" s="44">
        <v>127.07239331</v>
      </c>
      <c r="G10" s="44">
        <v>140.85826972</v>
      </c>
      <c r="H10" s="44">
        <v>117.69353204999999</v>
      </c>
      <c r="I10" s="44">
        <v>247.53606767000008</v>
      </c>
    </row>
    <row r="11" spans="1:9" ht="15">
      <c r="A11" s="43" t="str">
        <f>HLOOKUP(INDICE!$F$2,Nombres!$C$3:$D$636,36,FALSE)</f>
        <v>Otros ingresos y cargas de explotación</v>
      </c>
      <c r="B11" s="44">
        <v>-195.408</v>
      </c>
      <c r="C11" s="44">
        <v>-275.768</v>
      </c>
      <c r="D11" s="44">
        <v>-379.40400000000005</v>
      </c>
      <c r="E11" s="45">
        <v>-246.5109979899999</v>
      </c>
      <c r="F11" s="44">
        <v>-326.20599999999996</v>
      </c>
      <c r="G11" s="44">
        <v>-440.79600000000005</v>
      </c>
      <c r="H11" s="44">
        <v>-517.799</v>
      </c>
      <c r="I11" s="44">
        <v>-110.40700000000027</v>
      </c>
    </row>
    <row r="12" spans="1:9" ht="15">
      <c r="A12" s="41" t="str">
        <f>HLOOKUP(INDICE!$F$2,Nombres!$C$3:$D$636,37,FALSE)</f>
        <v>Margen bruto</v>
      </c>
      <c r="B12" s="41">
        <f>+SUM(B8:B11)</f>
        <v>885.2714004199998</v>
      </c>
      <c r="C12" s="41">
        <f aca="true" t="shared" si="0" ref="C12:I12">+SUM(C8:C11)</f>
        <v>1096.43781717</v>
      </c>
      <c r="D12" s="41">
        <f t="shared" si="0"/>
        <v>1204.4569531000002</v>
      </c>
      <c r="E12" s="42">
        <f t="shared" si="0"/>
        <v>1079.2462305600002</v>
      </c>
      <c r="F12" s="50">
        <f t="shared" si="0"/>
        <v>1174.69084309</v>
      </c>
      <c r="G12" s="50">
        <f t="shared" si="0"/>
        <v>1240.2348453700004</v>
      </c>
      <c r="H12" s="50">
        <f t="shared" si="0"/>
        <v>1161.8659545499995</v>
      </c>
      <c r="I12" s="50">
        <f t="shared" si="0"/>
        <v>754.5154476899996</v>
      </c>
    </row>
    <row r="13" spans="1:9" ht="15">
      <c r="A13" s="43" t="str">
        <f>HLOOKUP(INDICE!$F$2,Nombres!$C$3:$D$636,38,FALSE)</f>
        <v>Gastos de explotación</v>
      </c>
      <c r="B13" s="44">
        <v>-412.59203234999995</v>
      </c>
      <c r="C13" s="44">
        <v>-510.32738589</v>
      </c>
      <c r="D13" s="44">
        <v>-570.29523092</v>
      </c>
      <c r="E13" s="45">
        <v>-482.55111457</v>
      </c>
      <c r="F13" s="44">
        <v>-533.12801333</v>
      </c>
      <c r="G13" s="44">
        <v>-549.6739455500001</v>
      </c>
      <c r="H13" s="44">
        <v>-594.03156414</v>
      </c>
      <c r="I13" s="44">
        <v>-257.1600846</v>
      </c>
    </row>
    <row r="14" spans="1:9" ht="15">
      <c r="A14" s="43" t="str">
        <f>HLOOKUP(INDICE!$F$2,Nombres!$C$3:$D$636,39,FALSE)</f>
        <v>  Gastos de administración</v>
      </c>
      <c r="B14" s="44">
        <v>-377.96503235</v>
      </c>
      <c r="C14" s="44">
        <v>-462.43138589000006</v>
      </c>
      <c r="D14" s="44">
        <v>-523.0342309199999</v>
      </c>
      <c r="E14" s="45">
        <v>-442.17611457</v>
      </c>
      <c r="F14" s="44">
        <v>-490.18801333</v>
      </c>
      <c r="G14" s="44">
        <v>-503.58394555</v>
      </c>
      <c r="H14" s="44">
        <v>-547.1505641399999</v>
      </c>
      <c r="I14" s="44">
        <v>-227.60308460000005</v>
      </c>
    </row>
    <row r="15" spans="1:9" ht="15">
      <c r="A15" s="46" t="str">
        <f>HLOOKUP(INDICE!$F$2,Nombres!$C$3:$D$636,40,FALSE)</f>
        <v>  Gastos de personal</v>
      </c>
      <c r="B15" s="44">
        <v>-200.55323161000004</v>
      </c>
      <c r="C15" s="44">
        <v>-246.03636455999998</v>
      </c>
      <c r="D15" s="44">
        <v>-267.32569603999997</v>
      </c>
      <c r="E15" s="45">
        <v>-232.22820937</v>
      </c>
      <c r="F15" s="44">
        <v>-251.67365672</v>
      </c>
      <c r="G15" s="44">
        <v>-253.56663949</v>
      </c>
      <c r="H15" s="44">
        <v>-273.69444550000003</v>
      </c>
      <c r="I15" s="44">
        <v>-125.11981570000003</v>
      </c>
    </row>
    <row r="16" spans="1:9" ht="15">
      <c r="A16" s="46" t="str">
        <f>HLOOKUP(INDICE!$F$2,Nombres!$C$3:$D$636,41,FALSE)</f>
        <v>  Otros gastos de administración</v>
      </c>
      <c r="B16" s="44">
        <v>-177.41180074</v>
      </c>
      <c r="C16" s="44">
        <v>-216.39502133000002</v>
      </c>
      <c r="D16" s="44">
        <v>-255.70853488</v>
      </c>
      <c r="E16" s="45">
        <v>-209.94790519999998</v>
      </c>
      <c r="F16" s="44">
        <v>-238.51435661</v>
      </c>
      <c r="G16" s="44">
        <v>-250.01730606</v>
      </c>
      <c r="H16" s="44">
        <v>-273.45611864</v>
      </c>
      <c r="I16" s="44">
        <v>-102.48326890000003</v>
      </c>
    </row>
    <row r="17" spans="1:9" ht="15">
      <c r="A17" s="43" t="str">
        <f>HLOOKUP(INDICE!$F$2,Nombres!$C$3:$D$636,42,FALSE)</f>
        <v>  Amortización</v>
      </c>
      <c r="B17" s="44">
        <v>-34.627</v>
      </c>
      <c r="C17" s="44">
        <v>-47.896</v>
      </c>
      <c r="D17" s="44">
        <v>-47.26100000000001</v>
      </c>
      <c r="E17" s="45">
        <v>-40.374999999999986</v>
      </c>
      <c r="F17" s="44">
        <v>-42.940000000000005</v>
      </c>
      <c r="G17" s="44">
        <v>-46.09</v>
      </c>
      <c r="H17" s="44">
        <v>-46.881</v>
      </c>
      <c r="I17" s="44">
        <v>-29.557000000000002</v>
      </c>
    </row>
    <row r="18" spans="1:9" ht="15">
      <c r="A18" s="41" t="str">
        <f>HLOOKUP(INDICE!$F$2,Nombres!$C$3:$D$636,43,FALSE)</f>
        <v>Margen neto</v>
      </c>
      <c r="B18" s="41">
        <f>+B12+B13</f>
        <v>472.6793680699999</v>
      </c>
      <c r="C18" s="41">
        <f aca="true" t="shared" si="1" ref="C18:I18">+C12+C13</f>
        <v>586.1104312800001</v>
      </c>
      <c r="D18" s="41">
        <f t="shared" si="1"/>
        <v>634.1617221800002</v>
      </c>
      <c r="E18" s="42">
        <f t="shared" si="1"/>
        <v>596.6951159900002</v>
      </c>
      <c r="F18" s="50">
        <f t="shared" si="1"/>
        <v>641.56282976</v>
      </c>
      <c r="G18" s="50">
        <f t="shared" si="1"/>
        <v>690.5608998200003</v>
      </c>
      <c r="H18" s="50">
        <f t="shared" si="1"/>
        <v>567.8343904099995</v>
      </c>
      <c r="I18" s="50">
        <f t="shared" si="1"/>
        <v>497.3553630899996</v>
      </c>
    </row>
    <row r="19" spans="1:9" ht="15">
      <c r="A19" s="43" t="str">
        <f>HLOOKUP(INDICE!$F$2,Nombres!$C$3:$D$636,44,FALSE)</f>
        <v>Deterioro de activos financieros no valorados a valor razonable con cambios en resultados</v>
      </c>
      <c r="B19" s="44">
        <v>-140.98599999999996</v>
      </c>
      <c r="C19" s="44">
        <v>-130.73500000000004</v>
      </c>
      <c r="D19" s="44">
        <v>-210.06500000000003</v>
      </c>
      <c r="E19" s="45">
        <v>-280.007</v>
      </c>
      <c r="F19" s="44">
        <v>-227.27700000000004</v>
      </c>
      <c r="G19" s="44">
        <v>-311.43000000000006</v>
      </c>
      <c r="H19" s="44">
        <v>-324.798</v>
      </c>
      <c r="I19" s="44">
        <v>-270.56600000000003</v>
      </c>
    </row>
    <row r="20" spans="1:9" ht="15">
      <c r="A20" s="43" t="str">
        <f>HLOOKUP(INDICE!$F$2,Nombres!$C$3:$D$636,45,FALSE)</f>
        <v>Provisiones o reversión de provisiones y otros resultados</v>
      </c>
      <c r="B20" s="44">
        <v>-16.292266</v>
      </c>
      <c r="C20" s="44">
        <v>-25.30676299999998</v>
      </c>
      <c r="D20" s="44">
        <v>-21.757181000000003</v>
      </c>
      <c r="E20" s="45">
        <v>-30.31696924</v>
      </c>
      <c r="F20" s="44">
        <v>-8.828408989999998</v>
      </c>
      <c r="G20" s="44">
        <v>-4.385500999999999</v>
      </c>
      <c r="H20" s="44">
        <v>-2.0352150000000027</v>
      </c>
      <c r="I20" s="44">
        <v>-42.33229800000002</v>
      </c>
    </row>
    <row r="21" spans="1:9" ht="15">
      <c r="A21" s="41" t="str">
        <f>HLOOKUP(INDICE!$F$2,Nombres!$C$3:$D$636,46,FALSE)</f>
        <v>Resultado antes de impuestos</v>
      </c>
      <c r="B21" s="41">
        <f>+B18+B19+B20</f>
        <v>315.4011020699999</v>
      </c>
      <c r="C21" s="41">
        <f aca="true" t="shared" si="2" ref="C21:I21">+C18+C19+C20</f>
        <v>430.06866828000005</v>
      </c>
      <c r="D21" s="41">
        <f t="shared" si="2"/>
        <v>402.33954118000014</v>
      </c>
      <c r="E21" s="42">
        <f t="shared" si="2"/>
        <v>286.3711467500002</v>
      </c>
      <c r="F21" s="50">
        <f t="shared" si="2"/>
        <v>405.45742076999994</v>
      </c>
      <c r="G21" s="50">
        <f t="shared" si="2"/>
        <v>374.7453988200002</v>
      </c>
      <c r="H21" s="50">
        <f t="shared" si="2"/>
        <v>241.00117540999952</v>
      </c>
      <c r="I21" s="50">
        <f t="shared" si="2"/>
        <v>184.45706508999956</v>
      </c>
    </row>
    <row r="22" spans="1:9" ht="15">
      <c r="A22" s="43" t="str">
        <f>HLOOKUP(INDICE!$F$2,Nombres!$C$3:$D$636,47,FALSE)</f>
        <v>Impuesto sobre beneficios</v>
      </c>
      <c r="B22" s="44">
        <v>-89.37330450000002</v>
      </c>
      <c r="C22" s="44">
        <v>-55.141245510000005</v>
      </c>
      <c r="D22" s="44">
        <v>-96.94336594</v>
      </c>
      <c r="E22" s="45">
        <v>-106.01119015999998</v>
      </c>
      <c r="F22" s="44">
        <v>-123.59758569999998</v>
      </c>
      <c r="G22" s="44">
        <v>-104.49910759</v>
      </c>
      <c r="H22" s="44">
        <v>-36.96350717999999</v>
      </c>
      <c r="I22" s="44">
        <v>-25.936401169999996</v>
      </c>
    </row>
    <row r="23" spans="1:9" ht="15">
      <c r="A23" s="41" t="str">
        <f>HLOOKUP(INDICE!$F$2,Nombres!$C$3:$D$636,48,FALSE)</f>
        <v>Resultado del ejercicio</v>
      </c>
      <c r="B23" s="41">
        <f>+B21+B22</f>
        <v>226.0277975699999</v>
      </c>
      <c r="C23" s="41">
        <f aca="true" t="shared" si="3" ref="C23:I23">+C21+C22</f>
        <v>374.92742277</v>
      </c>
      <c r="D23" s="41">
        <f t="shared" si="3"/>
        <v>305.39617524000016</v>
      </c>
      <c r="E23" s="42">
        <f t="shared" si="3"/>
        <v>180.35995659000022</v>
      </c>
      <c r="F23" s="50">
        <f t="shared" si="3"/>
        <v>281.85983507</v>
      </c>
      <c r="G23" s="50">
        <f t="shared" si="3"/>
        <v>270.2462912300002</v>
      </c>
      <c r="H23" s="50">
        <f t="shared" si="3"/>
        <v>204.03766822999953</v>
      </c>
      <c r="I23" s="50">
        <f t="shared" si="3"/>
        <v>158.52066391999955</v>
      </c>
    </row>
    <row r="24" spans="1:9" ht="15">
      <c r="A24" s="43" t="str">
        <f>HLOOKUP(INDICE!$F$2,Nombres!$C$3:$D$636,49,FALSE)</f>
        <v>Minoritarios</v>
      </c>
      <c r="B24" s="44">
        <v>-66.08792096</v>
      </c>
      <c r="C24" s="44">
        <v>-117.33203138</v>
      </c>
      <c r="D24" s="44">
        <v>-97.91284262</v>
      </c>
      <c r="E24" s="45">
        <v>-67.78877473</v>
      </c>
      <c r="F24" s="44">
        <v>-98.3022067</v>
      </c>
      <c r="G24" s="44">
        <v>-87.05372560999999</v>
      </c>
      <c r="H24" s="44">
        <v>-74.48317503999999</v>
      </c>
      <c r="I24" s="44">
        <v>-42.15933989000001</v>
      </c>
    </row>
    <row r="25" spans="1:9" ht="15">
      <c r="A25" s="47" t="str">
        <f>HLOOKUP(INDICE!$F$2,Nombres!$C$3:$D$636,50,FALSE)</f>
        <v>Resultado atribuido</v>
      </c>
      <c r="B25" s="47">
        <f>+B23+B24</f>
        <v>159.93987660999989</v>
      </c>
      <c r="C25" s="47">
        <f aca="true" t="shared" si="4" ref="C25:I25">+C23+C24</f>
        <v>257.59539139000003</v>
      </c>
      <c r="D25" s="47">
        <f t="shared" si="4"/>
        <v>207.48333262000017</v>
      </c>
      <c r="E25" s="47">
        <f t="shared" si="4"/>
        <v>112.57118186000022</v>
      </c>
      <c r="F25" s="51">
        <f t="shared" si="4"/>
        <v>183.55762836999997</v>
      </c>
      <c r="G25" s="51">
        <f t="shared" si="4"/>
        <v>183.19256562000024</v>
      </c>
      <c r="H25" s="51">
        <f t="shared" si="4"/>
        <v>129.55449318999953</v>
      </c>
      <c r="I25" s="51">
        <f t="shared" si="4"/>
        <v>116.36132402999954</v>
      </c>
    </row>
    <row r="26" spans="1:9" ht="15">
      <c r="A26" s="62"/>
      <c r="B26" s="63">
        <v>0</v>
      </c>
      <c r="C26" s="63">
        <v>0</v>
      </c>
      <c r="D26" s="63">
        <v>0</v>
      </c>
      <c r="E26" s="63">
        <v>0</v>
      </c>
      <c r="F26" s="63">
        <v>0</v>
      </c>
      <c r="G26" s="63">
        <v>0</v>
      </c>
      <c r="H26" s="63">
        <v>-2.8421709430404007E-13</v>
      </c>
      <c r="I26" s="63">
        <v>-4.121147867408581E-13</v>
      </c>
    </row>
    <row r="27" spans="1:15" ht="15">
      <c r="A27" s="41"/>
      <c r="B27" s="41"/>
      <c r="C27" s="41"/>
      <c r="D27" s="41"/>
      <c r="E27" s="41"/>
      <c r="F27" s="41"/>
      <c r="G27" s="41"/>
      <c r="H27" s="41"/>
      <c r="I27" s="41"/>
      <c r="N27" s="159"/>
      <c r="O27" s="159"/>
    </row>
    <row r="28" spans="1:15" ht="18">
      <c r="A28" s="33" t="str">
        <f>HLOOKUP(INDICE!$F$2,Nombres!$C$3:$D$636,51,FALSE)</f>
        <v>Balances</v>
      </c>
      <c r="B28" s="34"/>
      <c r="C28" s="34"/>
      <c r="D28" s="34"/>
      <c r="E28" s="34"/>
      <c r="F28" s="34"/>
      <c r="G28" s="34"/>
      <c r="H28" s="34"/>
      <c r="I28" s="34"/>
      <c r="N28" s="159"/>
      <c r="O28" s="159"/>
    </row>
    <row r="29" spans="1:9" ht="15">
      <c r="A29" s="35"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10" ht="15">
      <c r="A31" s="43" t="str">
        <f>HLOOKUP(INDICE!$F$2,Nombres!$C$3:$D$636,52,FALSE)</f>
        <v>Efectivo, saldos en efectivo en bancos centrales y otros depósitos a la vista</v>
      </c>
      <c r="B31" s="44">
        <v>8269.488</v>
      </c>
      <c r="C31" s="44">
        <v>8882.579</v>
      </c>
      <c r="D31" s="44">
        <v>9752.209</v>
      </c>
      <c r="E31" s="45">
        <v>7694.839000000001</v>
      </c>
      <c r="F31" s="44">
        <v>7645.817</v>
      </c>
      <c r="G31" s="44">
        <v>8238.399</v>
      </c>
      <c r="H31" s="44">
        <v>7228.185</v>
      </c>
      <c r="I31" s="44">
        <v>6585.093999999999</v>
      </c>
      <c r="J31" s="81"/>
    </row>
    <row r="32" spans="1:10" ht="15">
      <c r="A32" s="43" t="str">
        <f>HLOOKUP(INDICE!$F$2,Nombres!$C$3:$D$636,53,FALSE)</f>
        <v>Activos financieros a valor razonable</v>
      </c>
      <c r="B32" s="58">
        <v>10160.704</v>
      </c>
      <c r="C32" s="58">
        <v>11217.654999999999</v>
      </c>
      <c r="D32" s="58">
        <v>11849.345</v>
      </c>
      <c r="E32" s="64">
        <v>10738.556</v>
      </c>
      <c r="F32" s="44">
        <v>10559.294</v>
      </c>
      <c r="G32" s="44">
        <v>12043.437</v>
      </c>
      <c r="H32" s="44">
        <v>11519.141</v>
      </c>
      <c r="I32" s="44">
        <v>10507.946</v>
      </c>
      <c r="J32" s="81"/>
    </row>
    <row r="33" spans="1:10" ht="15">
      <c r="A33" s="43" t="str">
        <f>HLOOKUP(INDICE!$F$2,Nombres!$C$3:$D$636,54,FALSE)</f>
        <v>Activos financieros a coste amortizado</v>
      </c>
      <c r="B33" s="44">
        <v>40379.396</v>
      </c>
      <c r="C33" s="44">
        <v>43153.240999999995</v>
      </c>
      <c r="D33" s="44">
        <v>44189.292</v>
      </c>
      <c r="E33" s="45">
        <v>40448.375</v>
      </c>
      <c r="F33" s="44">
        <v>41733.51099999999</v>
      </c>
      <c r="G33" s="44">
        <v>44106.899000000005</v>
      </c>
      <c r="H33" s="44">
        <v>44999.981</v>
      </c>
      <c r="I33" s="44">
        <v>44507.674999999996</v>
      </c>
      <c r="J33" s="81"/>
    </row>
    <row r="34" spans="1:10" ht="15">
      <c r="A34" s="43" t="str">
        <f>HLOOKUP(INDICE!$F$2,Nombres!$C$3:$D$636,55,FALSE)</f>
        <v>    de los que préstamos y anticipos a la clientela</v>
      </c>
      <c r="B34" s="44">
        <v>38008.44</v>
      </c>
      <c r="C34" s="44">
        <v>40208.93</v>
      </c>
      <c r="D34" s="44">
        <v>40973.68</v>
      </c>
      <c r="E34" s="45">
        <v>38436.994</v>
      </c>
      <c r="F34" s="44">
        <v>39185.032</v>
      </c>
      <c r="G34" s="44">
        <v>41548.27100000001</v>
      </c>
      <c r="H34" s="44">
        <v>42118.891</v>
      </c>
      <c r="I34" s="44">
        <v>41212.78799999999</v>
      </c>
      <c r="J34" s="81"/>
    </row>
    <row r="35" spans="1:10" ht="15" customHeight="1" hidden="1">
      <c r="A35" s="43"/>
      <c r="B35" s="44"/>
      <c r="C35" s="44"/>
      <c r="D35" s="44"/>
      <c r="E35" s="45"/>
      <c r="F35" s="44"/>
      <c r="G35" s="44"/>
      <c r="H35" s="44"/>
      <c r="I35" s="44"/>
      <c r="J35" s="81"/>
    </row>
    <row r="36" spans="1:10" ht="15">
      <c r="A36" s="43" t="str">
        <f>HLOOKUP(INDICE!$F$2,Nombres!$C$3:$D$636,56,FALSE)</f>
        <v>Activos tangibles</v>
      </c>
      <c r="B36" s="44">
        <v>992.9409999999999</v>
      </c>
      <c r="C36" s="44">
        <v>1099.981</v>
      </c>
      <c r="D36" s="44">
        <v>1177.8210000000001</v>
      </c>
      <c r="E36" s="45">
        <v>1087.7910000000002</v>
      </c>
      <c r="F36" s="44">
        <v>1069.88</v>
      </c>
      <c r="G36" s="44">
        <v>1104.807</v>
      </c>
      <c r="H36" s="44">
        <v>1115.255</v>
      </c>
      <c r="I36" s="44">
        <v>939.124</v>
      </c>
      <c r="J36" s="81"/>
    </row>
    <row r="37" spans="1:10" ht="15">
      <c r="A37" s="43" t="str">
        <f>HLOOKUP(INDICE!$F$2,Nombres!$C$3:$D$636,57,FALSE)</f>
        <v>Otros activos</v>
      </c>
      <c r="B37" s="58">
        <f aca="true" t="shared" si="5" ref="B37:I37">+B38-B36-B33-B32-B31</f>
        <v>1836.6017084499945</v>
      </c>
      <c r="C37" s="58">
        <f t="shared" si="5"/>
        <v>1976.416111430006</v>
      </c>
      <c r="D37" s="58">
        <f t="shared" si="5"/>
        <v>2075.2930126600004</v>
      </c>
      <c r="E37" s="64">
        <f t="shared" si="5"/>
        <v>1981.2534565900014</v>
      </c>
      <c r="F37" s="44">
        <f t="shared" si="5"/>
        <v>2054.0121032600046</v>
      </c>
      <c r="G37" s="44">
        <f t="shared" si="5"/>
        <v>2047.8171198199816</v>
      </c>
      <c r="H37" s="44">
        <f t="shared" si="5"/>
        <v>2273.8467527699986</v>
      </c>
      <c r="I37" s="44">
        <f t="shared" si="5"/>
        <v>2239.0017676600055</v>
      </c>
      <c r="J37" s="81"/>
    </row>
    <row r="38" spans="1:10" ht="15">
      <c r="A38" s="47" t="str">
        <f>HLOOKUP(INDICE!$F$2,Nombres!$C$3:$D$636,58,FALSE)</f>
        <v>Total activo / pasivo</v>
      </c>
      <c r="B38" s="47">
        <v>61639.13070844999</v>
      </c>
      <c r="C38" s="47">
        <v>66329.87211143</v>
      </c>
      <c r="D38" s="47">
        <v>69043.96001266</v>
      </c>
      <c r="E38" s="47">
        <v>61950.81445659</v>
      </c>
      <c r="F38" s="51">
        <v>63062.51410325999</v>
      </c>
      <c r="G38" s="51">
        <v>67541.35911981999</v>
      </c>
      <c r="H38" s="51">
        <v>67136.40875277</v>
      </c>
      <c r="I38" s="51">
        <v>64778.84076766</v>
      </c>
      <c r="J38" s="81"/>
    </row>
    <row r="39" spans="1:10" ht="15">
      <c r="A39" s="43" t="str">
        <f>HLOOKUP(INDICE!$F$2,Nombres!$C$3:$D$636,59,FALSE)</f>
        <v>Pasivos financieros mantenidos para negociar y designados a valor razonable con cambios en resultados</v>
      </c>
      <c r="B39" s="58">
        <v>2583.813</v>
      </c>
      <c r="C39" s="58">
        <v>3104.51</v>
      </c>
      <c r="D39" s="58">
        <v>3560.7909999999997</v>
      </c>
      <c r="E39" s="64">
        <v>2813.4749999999995</v>
      </c>
      <c r="F39" s="44">
        <v>2389.8540000000003</v>
      </c>
      <c r="G39" s="44">
        <v>4031.6409999999996</v>
      </c>
      <c r="H39" s="44">
        <v>3209.0889999999995</v>
      </c>
      <c r="I39" s="44">
        <v>3288.8640000000005</v>
      </c>
      <c r="J39" s="81"/>
    </row>
    <row r="40" spans="1:10" ht="15.75" customHeight="1">
      <c r="A40" s="43" t="str">
        <f>HLOOKUP(INDICE!$F$2,Nombres!$C$3:$D$636,60,FALSE)</f>
        <v>Depósitos de bancos centrales y entidades de crédito</v>
      </c>
      <c r="B40" s="58">
        <v>6513.56600001</v>
      </c>
      <c r="C40" s="58">
        <v>5653.09799999</v>
      </c>
      <c r="D40" s="58">
        <v>6112.710000000001</v>
      </c>
      <c r="E40" s="64">
        <v>5610.171</v>
      </c>
      <c r="F40" s="44">
        <v>5395.4490000000005</v>
      </c>
      <c r="G40" s="44">
        <v>5809.396</v>
      </c>
      <c r="H40" s="44">
        <v>5120.5549999899995</v>
      </c>
      <c r="I40" s="44">
        <v>5140.477000000001</v>
      </c>
      <c r="J40" s="81"/>
    </row>
    <row r="41" spans="1:10" ht="15">
      <c r="A41" s="43" t="str">
        <f>HLOOKUP(INDICE!$F$2,Nombres!$C$3:$D$636,61,FALSE)</f>
        <v>Depósitos de la clientela</v>
      </c>
      <c r="B41" s="58">
        <v>38875.17499999</v>
      </c>
      <c r="C41" s="58">
        <v>43314.07300001</v>
      </c>
      <c r="D41" s="58">
        <v>44547.035</v>
      </c>
      <c r="E41" s="64">
        <v>40042.234</v>
      </c>
      <c r="F41" s="44">
        <v>40781.55</v>
      </c>
      <c r="G41" s="44">
        <v>43085.598</v>
      </c>
      <c r="H41" s="44">
        <v>44535.17800001</v>
      </c>
      <c r="I41" s="44">
        <v>42567.369</v>
      </c>
      <c r="J41" s="81"/>
    </row>
    <row r="42" spans="1:10" ht="15">
      <c r="A42" s="43" t="str">
        <f>HLOOKUP(INDICE!$F$2,Nombres!$C$3:$D$636,62,FALSE)</f>
        <v>Valores representativos de deuda emitidos</v>
      </c>
      <c r="B42" s="44">
        <v>3383.66458862</v>
      </c>
      <c r="C42" s="44">
        <v>3818.33995903</v>
      </c>
      <c r="D42" s="44">
        <v>3278.1200854899994</v>
      </c>
      <c r="E42" s="45">
        <v>2956.3270422799997</v>
      </c>
      <c r="F42" s="44">
        <v>3070.4411996899994</v>
      </c>
      <c r="G42" s="44">
        <v>3211.3943392700003</v>
      </c>
      <c r="H42" s="44">
        <v>3054.7382036699996</v>
      </c>
      <c r="I42" s="44">
        <v>2986.4408249700004</v>
      </c>
      <c r="J42" s="81"/>
    </row>
    <row r="43" spans="1:10" ht="15" customHeight="1" hidden="1">
      <c r="A43" s="43"/>
      <c r="B43" s="44"/>
      <c r="C43" s="44"/>
      <c r="D43" s="44"/>
      <c r="E43" s="45"/>
      <c r="F43" s="44"/>
      <c r="G43" s="44"/>
      <c r="H43" s="44"/>
      <c r="I43" s="44"/>
      <c r="J43" s="81"/>
    </row>
    <row r="44" spans="1:10" ht="15">
      <c r="A44" s="43" t="str">
        <f>HLOOKUP(INDICE!$F$2,Nombres!$C$3:$D$636,63,FALSE)</f>
        <v>Otros pasivos</v>
      </c>
      <c r="B44" s="58">
        <f aca="true" t="shared" si="6" ref="B44:I44">+B38-B39-B40-B41-B42-B45</f>
        <v>4687.64166705999</v>
      </c>
      <c r="C44" s="58">
        <f t="shared" si="6"/>
        <v>4394.066132869995</v>
      </c>
      <c r="D44" s="58">
        <f>+D38-D39-D40-D41-D42-D45</f>
        <v>5239.9782503299975</v>
      </c>
      <c r="E44" s="64">
        <f t="shared" si="6"/>
        <v>4654.624145960002</v>
      </c>
      <c r="F44" s="44">
        <f t="shared" si="6"/>
        <v>5536.628315459991</v>
      </c>
      <c r="G44" s="44">
        <f t="shared" si="6"/>
        <v>5122.497346589984</v>
      </c>
      <c r="H44" s="44">
        <f t="shared" si="6"/>
        <v>5188.858478420003</v>
      </c>
      <c r="I44" s="44">
        <f t="shared" si="6"/>
        <v>4502.152793260004</v>
      </c>
      <c r="J44" s="81"/>
    </row>
    <row r="45" spans="1:10" ht="15">
      <c r="A45" s="43" t="str">
        <f>HLOOKUP(INDICE!$F$2,Nombres!$C$3:$D$636,282,FALSE)</f>
        <v>Dotación de capital regulatorio</v>
      </c>
      <c r="B45" s="44">
        <v>5595.270452769999</v>
      </c>
      <c r="C45" s="44">
        <v>6045.78501953</v>
      </c>
      <c r="D45" s="58">
        <v>6305.325676840001</v>
      </c>
      <c r="E45" s="64">
        <v>5873.983268350001</v>
      </c>
      <c r="F45" s="44">
        <v>5888.591588109999</v>
      </c>
      <c r="G45" s="44">
        <v>6280.83243396</v>
      </c>
      <c r="H45" s="44">
        <v>6027.99007068</v>
      </c>
      <c r="I45" s="44">
        <v>6293.53714943</v>
      </c>
      <c r="J45" s="81"/>
    </row>
    <row r="46" spans="1:10" ht="15">
      <c r="A46" s="62"/>
      <c r="B46" s="58"/>
      <c r="C46" s="58"/>
      <c r="D46" s="58"/>
      <c r="E46" s="58"/>
      <c r="F46" s="44"/>
      <c r="G46" s="44"/>
      <c r="H46" s="44"/>
      <c r="I46" s="44"/>
      <c r="J46" s="81"/>
    </row>
    <row r="47" spans="1:10" ht="15">
      <c r="A47" s="43"/>
      <c r="B47" s="58"/>
      <c r="C47" s="58"/>
      <c r="D47" s="58"/>
      <c r="E47" s="58"/>
      <c r="F47" s="44"/>
      <c r="G47" s="44"/>
      <c r="H47" s="44"/>
      <c r="I47" s="44"/>
      <c r="J47" s="81"/>
    </row>
    <row r="48" spans="1:10" ht="18">
      <c r="A48" s="33" t="str">
        <f>HLOOKUP(INDICE!$F$2,Nombres!$C$3:$D$636,65,FALSE)</f>
        <v>Indicadores relevantes y de gestión</v>
      </c>
      <c r="B48" s="34"/>
      <c r="C48" s="34"/>
      <c r="D48" s="34"/>
      <c r="E48" s="34"/>
      <c r="F48" s="68"/>
      <c r="G48" s="68"/>
      <c r="H48" s="68"/>
      <c r="I48" s="68"/>
      <c r="J48" s="81"/>
    </row>
    <row r="49" spans="1:10" ht="15">
      <c r="A49" s="35" t="str">
        <f>HLOOKUP(INDICE!$F$2,Nombres!$C$3:$D$636,32,FALSE)</f>
        <v>(Millones de euros)</v>
      </c>
      <c r="B49" s="30"/>
      <c r="C49" s="30"/>
      <c r="D49" s="30"/>
      <c r="E49" s="30"/>
      <c r="F49" s="69"/>
      <c r="G49" s="44"/>
      <c r="H49" s="44"/>
      <c r="I49" s="44"/>
      <c r="J49" s="81"/>
    </row>
    <row r="50" spans="1:10" ht="15.75">
      <c r="A50" s="30"/>
      <c r="B50" s="53">
        <f aca="true" t="shared" si="7" ref="B50:I50">+B$30</f>
        <v>44651</v>
      </c>
      <c r="C50" s="53">
        <f t="shared" si="7"/>
        <v>44742</v>
      </c>
      <c r="D50" s="53">
        <f t="shared" si="7"/>
        <v>44834</v>
      </c>
      <c r="E50" s="67">
        <f t="shared" si="7"/>
        <v>44926</v>
      </c>
      <c r="F50" s="53">
        <f t="shared" si="7"/>
        <v>45016</v>
      </c>
      <c r="G50" s="53">
        <f t="shared" si="7"/>
        <v>45107</v>
      </c>
      <c r="H50" s="53">
        <f t="shared" si="7"/>
        <v>45199</v>
      </c>
      <c r="I50" s="53">
        <f t="shared" si="7"/>
        <v>45291</v>
      </c>
      <c r="J50" s="81"/>
    </row>
    <row r="51" spans="1:10" ht="15">
      <c r="A51" s="43" t="str">
        <f>HLOOKUP(INDICE!$F$2,Nombres!$C$3:$D$636,66,FALSE)</f>
        <v>Préstamos y anticipos a la clientela bruto (*)</v>
      </c>
      <c r="B51" s="44">
        <v>39832.729999999996</v>
      </c>
      <c r="C51" s="44">
        <v>42094.554000000004</v>
      </c>
      <c r="D51" s="44">
        <v>42871.12900000001</v>
      </c>
      <c r="E51" s="45">
        <v>40205.166000000005</v>
      </c>
      <c r="F51" s="44">
        <v>41018.973</v>
      </c>
      <c r="G51" s="44">
        <v>43455.298</v>
      </c>
      <c r="H51" s="44">
        <v>44136.65400000001</v>
      </c>
      <c r="I51" s="44">
        <v>43189.22099999999</v>
      </c>
      <c r="J51" s="81"/>
    </row>
    <row r="52" spans="1:10" ht="15">
      <c r="A52" s="43" t="str">
        <f>HLOOKUP(INDICE!$F$2,Nombres!$C$3:$D$636,67,FALSE)</f>
        <v>Depósitos de clientes en gestión (**)</v>
      </c>
      <c r="B52" s="44">
        <v>38875.174999990006</v>
      </c>
      <c r="C52" s="44">
        <v>43314.073000009994</v>
      </c>
      <c r="D52" s="44">
        <v>44547.035</v>
      </c>
      <c r="E52" s="45">
        <v>40042.234</v>
      </c>
      <c r="F52" s="44">
        <v>40781.549999999996</v>
      </c>
      <c r="G52" s="44">
        <v>43085.598</v>
      </c>
      <c r="H52" s="44">
        <v>44535.178000010004</v>
      </c>
      <c r="I52" s="44">
        <v>42567.369000000006</v>
      </c>
      <c r="J52" s="81"/>
    </row>
    <row r="53" spans="1:10" ht="15">
      <c r="A53" s="43" t="str">
        <f>HLOOKUP(INDICE!$F$2,Nombres!$C$3:$D$636,68,FALSE)</f>
        <v>Fondos de inversión y carteras gestionadas</v>
      </c>
      <c r="B53" s="44">
        <v>6100.543357240001</v>
      </c>
      <c r="C53" s="44">
        <v>5744.49304466</v>
      </c>
      <c r="D53" s="44">
        <v>6143.737032859998</v>
      </c>
      <c r="E53" s="45">
        <v>5804.15867674</v>
      </c>
      <c r="F53" s="44">
        <v>6180.335767650001</v>
      </c>
      <c r="G53" s="44">
        <v>5925.125525009999</v>
      </c>
      <c r="H53" s="44">
        <v>6345.412967390001</v>
      </c>
      <c r="I53" s="44">
        <v>5524.733802600001</v>
      </c>
      <c r="J53" s="81"/>
    </row>
    <row r="54" spans="1:10" ht="15">
      <c r="A54" s="43" t="str">
        <f>HLOOKUP(INDICE!$F$2,Nombres!$C$3:$D$636,69,FALSE)</f>
        <v>Fondos de pensiones</v>
      </c>
      <c r="B54" s="44">
        <v>10877.21268134</v>
      </c>
      <c r="C54" s="44">
        <v>11766.86765503</v>
      </c>
      <c r="D54" s="44">
        <v>12831.88276355</v>
      </c>
      <c r="E54" s="45">
        <v>11955.83686405</v>
      </c>
      <c r="F54" s="44">
        <v>11790.91146365</v>
      </c>
      <c r="G54" s="44">
        <v>0</v>
      </c>
      <c r="H54" s="44">
        <v>0</v>
      </c>
      <c r="I54" s="44">
        <v>0</v>
      </c>
      <c r="J54" s="81"/>
    </row>
    <row r="55" spans="1:10" ht="15">
      <c r="A55" s="43" t="str">
        <f>HLOOKUP(INDICE!$F$2,Nombres!$C$3:$D$636,70,FALSE)</f>
        <v>Otros recursos fuera de balance</v>
      </c>
      <c r="B55" s="44">
        <v>0</v>
      </c>
      <c r="C55" s="44">
        <v>0</v>
      </c>
      <c r="D55" s="44">
        <v>0</v>
      </c>
      <c r="E55" s="45">
        <v>0</v>
      </c>
      <c r="F55" s="44">
        <v>0</v>
      </c>
      <c r="G55" s="44">
        <v>0</v>
      </c>
      <c r="H55" s="44">
        <v>0</v>
      </c>
      <c r="I55" s="44">
        <v>0</v>
      </c>
      <c r="J55" s="81"/>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1">
        <f>+B$6</f>
        <v>2022</v>
      </c>
      <c r="C62" s="301"/>
      <c r="D62" s="301"/>
      <c r="E62" s="302"/>
      <c r="F62" s="301">
        <f>+F$6</f>
        <v>2023</v>
      </c>
      <c r="G62" s="301"/>
      <c r="H62" s="301"/>
      <c r="I62" s="301"/>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549.0925229593616</v>
      </c>
      <c r="C64" s="41">
        <v>680.8424526534011</v>
      </c>
      <c r="D64" s="41">
        <v>842.2404986589069</v>
      </c>
      <c r="E64" s="42">
        <v>907.048339533142</v>
      </c>
      <c r="F64" s="50">
        <v>789.939816792696</v>
      </c>
      <c r="G64" s="50">
        <v>976.1836803491253</v>
      </c>
      <c r="H64" s="50">
        <v>1262.926056970988</v>
      </c>
      <c r="I64" s="50">
        <v>1364.6427129771907</v>
      </c>
    </row>
    <row r="65" spans="1:9" ht="15">
      <c r="A65" s="43" t="str">
        <f>HLOOKUP(INDICE!$F$2,Nombres!$C$3:$D$636,34,FALSE)</f>
        <v>Comisiones netas</v>
      </c>
      <c r="B65" s="44">
        <v>131.06318555540392</v>
      </c>
      <c r="C65" s="44">
        <v>156.31972525199433</v>
      </c>
      <c r="D65" s="44">
        <v>162.88264389774767</v>
      </c>
      <c r="E65" s="45">
        <v>172.55418741714553</v>
      </c>
      <c r="F65" s="44">
        <v>152.01876332786878</v>
      </c>
      <c r="G65" s="44">
        <v>178.85323668981164</v>
      </c>
      <c r="H65" s="44">
        <v>174.35977557076671</v>
      </c>
      <c r="I65" s="44">
        <v>194.43078527155288</v>
      </c>
    </row>
    <row r="66" spans="1:9" ht="15">
      <c r="A66" s="43" t="str">
        <f>HLOOKUP(INDICE!$F$2,Nombres!$C$3:$D$636,35,FALSE)</f>
        <v>Resultados de operaciones financieras</v>
      </c>
      <c r="B66" s="44">
        <v>65.50998686281632</v>
      </c>
      <c r="C66" s="44">
        <v>88.1645984020387</v>
      </c>
      <c r="D66" s="44">
        <v>114.13550379152824</v>
      </c>
      <c r="E66" s="45">
        <v>97.1432078243626</v>
      </c>
      <c r="F66" s="44">
        <v>105.73947050524302</v>
      </c>
      <c r="G66" s="44">
        <v>108.23709352801264</v>
      </c>
      <c r="H66" s="44">
        <v>106.15289295346506</v>
      </c>
      <c r="I66" s="44">
        <v>313.0308057632793</v>
      </c>
    </row>
    <row r="67" spans="1:9" ht="15">
      <c r="A67" s="43" t="str">
        <f>HLOOKUP(INDICE!$F$2,Nombres!$C$3:$D$636,36,FALSE)</f>
        <v>Otros ingresos y cargas de explotación</v>
      </c>
      <c r="B67" s="44">
        <v>-158.48701849202595</v>
      </c>
      <c r="C67" s="44">
        <v>-237.83687931339045</v>
      </c>
      <c r="D67" s="44">
        <v>-333.38894214412306</v>
      </c>
      <c r="E67" s="45">
        <v>-227.4413746759045</v>
      </c>
      <c r="F67" s="44">
        <v>-276.833747978877</v>
      </c>
      <c r="G67" s="44">
        <v>-399.4385212066388</v>
      </c>
      <c r="H67" s="44">
        <v>-494.3378020189084</v>
      </c>
      <c r="I67" s="44">
        <v>-224.59792879557602</v>
      </c>
    </row>
    <row r="68" spans="1:9" ht="15">
      <c r="A68" s="41" t="str">
        <f>HLOOKUP(INDICE!$F$2,Nombres!$C$3:$D$636,37,FALSE)</f>
        <v>Margen bruto</v>
      </c>
      <c r="B68" s="41">
        <f>+SUM(B64:B67)</f>
        <v>587.1786768855559</v>
      </c>
      <c r="C68" s="41">
        <f aca="true" t="shared" si="9" ref="C68:I68">+SUM(C64:C67)</f>
        <v>687.4898969940436</v>
      </c>
      <c r="D68" s="41">
        <f t="shared" si="9"/>
        <v>785.8697042040596</v>
      </c>
      <c r="E68" s="42">
        <f t="shared" si="9"/>
        <v>949.3043600987456</v>
      </c>
      <c r="F68" s="50">
        <f t="shared" si="9"/>
        <v>770.8643026469308</v>
      </c>
      <c r="G68" s="50">
        <f t="shared" si="9"/>
        <v>863.8354893603107</v>
      </c>
      <c r="H68" s="50">
        <f t="shared" si="9"/>
        <v>1049.1009234763112</v>
      </c>
      <c r="I68" s="50">
        <f t="shared" si="9"/>
        <v>1647.506375216447</v>
      </c>
    </row>
    <row r="69" spans="1:9" ht="15">
      <c r="A69" s="43" t="str">
        <f>HLOOKUP(INDICE!$F$2,Nombres!$C$3:$D$636,38,FALSE)</f>
        <v>Gastos de explotación</v>
      </c>
      <c r="B69" s="44">
        <v>-299.577896589744</v>
      </c>
      <c r="C69" s="44">
        <v>-355.71305725276727</v>
      </c>
      <c r="D69" s="44">
        <v>-435.6418778319568</v>
      </c>
      <c r="E69" s="45">
        <v>-455.67374952883824</v>
      </c>
      <c r="F69" s="44">
        <v>-407.6308978009491</v>
      </c>
      <c r="G69" s="44">
        <v>-452.86988045442524</v>
      </c>
      <c r="H69" s="44">
        <v>-548.8594858425793</v>
      </c>
      <c r="I69" s="44">
        <v>-524.6333435220464</v>
      </c>
    </row>
    <row r="70" spans="1:9" ht="15">
      <c r="A70" s="43" t="str">
        <f>HLOOKUP(INDICE!$F$2,Nombres!$C$3:$D$636,39,FALSE)</f>
        <v>  Gastos de administración</v>
      </c>
      <c r="B70" s="44">
        <v>-268.21381591053705</v>
      </c>
      <c r="C70" s="44">
        <v>-312.6249874898899</v>
      </c>
      <c r="D70" s="44">
        <v>-392.5892498678546</v>
      </c>
      <c r="E70" s="45">
        <v>-415.7439871370817</v>
      </c>
      <c r="F70" s="44">
        <v>-366.9059440197111</v>
      </c>
      <c r="G70" s="44">
        <v>-408.4772293291486</v>
      </c>
      <c r="H70" s="44">
        <v>-502.7921327943783</v>
      </c>
      <c r="I70" s="44">
        <v>-490.350301476762</v>
      </c>
    </row>
    <row r="71" spans="1:9" ht="15">
      <c r="A71" s="46" t="str">
        <f>HLOOKUP(INDICE!$F$2,Nombres!$C$3:$D$636,40,FALSE)</f>
        <v>  Gastos de personal</v>
      </c>
      <c r="B71" s="44">
        <v>-141.75979421925112</v>
      </c>
      <c r="C71" s="44">
        <v>-164.96224238762787</v>
      </c>
      <c r="D71" s="44">
        <v>-199.51047874993367</v>
      </c>
      <c r="E71" s="45">
        <v>-216.3153853523402</v>
      </c>
      <c r="F71" s="44">
        <v>-186.77007672751802</v>
      </c>
      <c r="G71" s="44">
        <v>-204.91992115474736</v>
      </c>
      <c r="H71" s="44">
        <v>-251.8001698122892</v>
      </c>
      <c r="I71" s="44">
        <v>-260.56438971544543</v>
      </c>
    </row>
    <row r="72" spans="1:9" ht="15">
      <c r="A72" s="46" t="str">
        <f>HLOOKUP(INDICE!$F$2,Nombres!$C$3:$D$636,41,FALSE)</f>
        <v>  Otros gastos de administración</v>
      </c>
      <c r="B72" s="44">
        <v>-126.45402169128594</v>
      </c>
      <c r="C72" s="44">
        <v>-147.66274510226205</v>
      </c>
      <c r="D72" s="44">
        <v>-193.07877111792092</v>
      </c>
      <c r="E72" s="45">
        <v>-199.4286017847415</v>
      </c>
      <c r="F72" s="44">
        <v>-180.13586729219315</v>
      </c>
      <c r="G72" s="44">
        <v>-203.55730817440121</v>
      </c>
      <c r="H72" s="44">
        <v>-250.9919629820891</v>
      </c>
      <c r="I72" s="44">
        <v>-229.78591176131656</v>
      </c>
    </row>
    <row r="73" spans="1:9" ht="15">
      <c r="A73" s="43" t="str">
        <f>HLOOKUP(INDICE!$F$2,Nombres!$C$3:$D$636,42,FALSE)</f>
        <v>  Amortización</v>
      </c>
      <c r="B73" s="44">
        <v>-31.364080679206943</v>
      </c>
      <c r="C73" s="44">
        <v>-43.088069762877325</v>
      </c>
      <c r="D73" s="44">
        <v>-43.05262796410217</v>
      </c>
      <c r="E73" s="45">
        <v>-39.9297623917565</v>
      </c>
      <c r="F73" s="44">
        <v>-40.72495378123801</v>
      </c>
      <c r="G73" s="44">
        <v>-44.39265112527659</v>
      </c>
      <c r="H73" s="44">
        <v>-46.06735304820097</v>
      </c>
      <c r="I73" s="44">
        <v>-34.28304204528443</v>
      </c>
    </row>
    <row r="74" spans="1:9" ht="15">
      <c r="A74" s="41" t="str">
        <f>HLOOKUP(INDICE!$F$2,Nombres!$C$3:$D$636,43,FALSE)</f>
        <v>Margen neto</v>
      </c>
      <c r="B74" s="41">
        <f>+B68+B69</f>
        <v>287.6007802958119</v>
      </c>
      <c r="C74" s="41">
        <f aca="true" t="shared" si="10" ref="C74:I74">+C68+C69</f>
        <v>331.7768397412764</v>
      </c>
      <c r="D74" s="41">
        <f t="shared" si="10"/>
        <v>350.22782637210287</v>
      </c>
      <c r="E74" s="42">
        <f t="shared" si="10"/>
        <v>493.6306105699074</v>
      </c>
      <c r="F74" s="50">
        <f t="shared" si="10"/>
        <v>363.2334048459817</v>
      </c>
      <c r="G74" s="50">
        <f t="shared" si="10"/>
        <v>410.96560890588546</v>
      </c>
      <c r="H74" s="50">
        <f t="shared" si="10"/>
        <v>500.24143763373195</v>
      </c>
      <c r="I74" s="50">
        <f t="shared" si="10"/>
        <v>1122.8730316944007</v>
      </c>
    </row>
    <row r="75" spans="1:9" ht="15">
      <c r="A75" s="43" t="str">
        <f>HLOOKUP(INDICE!$F$2,Nombres!$C$3:$D$636,44,FALSE)</f>
        <v>Deterioro de activos financieros no valorados a valor razonable con cambios en resultados</v>
      </c>
      <c r="B75" s="44">
        <v>-101.10551520566612</v>
      </c>
      <c r="C75" s="44">
        <v>-115.84379328342862</v>
      </c>
      <c r="D75" s="44">
        <v>-175.5014909013746</v>
      </c>
      <c r="E75" s="45">
        <v>-254.4283719590501</v>
      </c>
      <c r="F75" s="44">
        <v>-199.0657128120252</v>
      </c>
      <c r="G75" s="44">
        <v>-264.54369019260815</v>
      </c>
      <c r="H75" s="44">
        <v>-329.9396379234115</v>
      </c>
      <c r="I75" s="44">
        <v>-340.52195907195517</v>
      </c>
    </row>
    <row r="76" spans="1:9" ht="15">
      <c r="A76" s="43" t="str">
        <f>HLOOKUP(INDICE!$F$2,Nombres!$C$3:$D$636,45,FALSE)</f>
        <v>Provisiones o reversión de provisiones y otros resultados</v>
      </c>
      <c r="B76" s="44">
        <v>-12.703306372114376</v>
      </c>
      <c r="C76" s="44">
        <v>-14.814476665827495</v>
      </c>
      <c r="D76" s="44">
        <v>-20.764564199852302</v>
      </c>
      <c r="E76" s="45">
        <v>-20.71748843493654</v>
      </c>
      <c r="F76" s="44">
        <v>-4.268119644232742</v>
      </c>
      <c r="G76" s="44">
        <v>1.8283944355872563</v>
      </c>
      <c r="H76" s="44">
        <v>-5.524947619523506</v>
      </c>
      <c r="I76" s="44">
        <v>-49.61675016183102</v>
      </c>
    </row>
    <row r="77" spans="1:9" ht="15">
      <c r="A77" s="41" t="str">
        <f>HLOOKUP(INDICE!$F$2,Nombres!$C$3:$D$636,46,FALSE)</f>
        <v>Resultado antes de impuestos</v>
      </c>
      <c r="B77" s="41">
        <f>+B74+B75+B76</f>
        <v>173.7919587180314</v>
      </c>
      <c r="C77" s="41">
        <f aca="true" t="shared" si="11" ref="C77:I77">+C74+C75+C76</f>
        <v>201.11856979202025</v>
      </c>
      <c r="D77" s="41">
        <f t="shared" si="11"/>
        <v>153.96177127087594</v>
      </c>
      <c r="E77" s="42">
        <f t="shared" si="11"/>
        <v>218.48475017592074</v>
      </c>
      <c r="F77" s="50">
        <f t="shared" si="11"/>
        <v>159.89957238972374</v>
      </c>
      <c r="G77" s="50">
        <f t="shared" si="11"/>
        <v>148.25031314886456</v>
      </c>
      <c r="H77" s="50">
        <f t="shared" si="11"/>
        <v>164.77685209079692</v>
      </c>
      <c r="I77" s="50">
        <f t="shared" si="11"/>
        <v>732.7343224606145</v>
      </c>
    </row>
    <row r="78" spans="1:9" ht="15">
      <c r="A78" s="43" t="str">
        <f>HLOOKUP(INDICE!$F$2,Nombres!$C$3:$D$636,47,FALSE)</f>
        <v>Impuesto sobre beneficios</v>
      </c>
      <c r="B78" s="44">
        <v>-47.455033193160716</v>
      </c>
      <c r="C78" s="44">
        <v>26.462040488801208</v>
      </c>
      <c r="D78" s="44">
        <v>-10.449084608089148</v>
      </c>
      <c r="E78" s="45">
        <v>-82.05045849037757</v>
      </c>
      <c r="F78" s="44">
        <v>-37.27254512988631</v>
      </c>
      <c r="G78" s="44">
        <v>-26.18074275199617</v>
      </c>
      <c r="H78" s="44">
        <v>-11.524101855948821</v>
      </c>
      <c r="I78" s="44">
        <v>-216.01921190216868</v>
      </c>
    </row>
    <row r="79" spans="1:9" ht="15">
      <c r="A79" s="41" t="str">
        <f>HLOOKUP(INDICE!$F$2,Nombres!$C$3:$D$636,48,FALSE)</f>
        <v>Resultado del ejercicio</v>
      </c>
      <c r="B79" s="41">
        <f>+B77+B78</f>
        <v>126.33692552487068</v>
      </c>
      <c r="C79" s="41">
        <f aca="true" t="shared" si="12" ref="C79:I79">+C77+C78</f>
        <v>227.58061028082147</v>
      </c>
      <c r="D79" s="41">
        <f t="shared" si="12"/>
        <v>143.5126866627868</v>
      </c>
      <c r="E79" s="42">
        <f t="shared" si="12"/>
        <v>136.43429168554317</v>
      </c>
      <c r="F79" s="50">
        <f t="shared" si="12"/>
        <v>122.62702725983743</v>
      </c>
      <c r="G79" s="50">
        <f t="shared" si="12"/>
        <v>122.06957039686839</v>
      </c>
      <c r="H79" s="50">
        <f t="shared" si="12"/>
        <v>153.2527502348481</v>
      </c>
      <c r="I79" s="50">
        <f t="shared" si="12"/>
        <v>516.7151105584459</v>
      </c>
    </row>
    <row r="80" spans="1:9" ht="15">
      <c r="A80" s="43" t="str">
        <f>HLOOKUP(INDICE!$F$2,Nombres!$C$3:$D$636,49,FALSE)</f>
        <v>Minoritarios</v>
      </c>
      <c r="B80" s="44">
        <v>-36.59454388457187</v>
      </c>
      <c r="C80" s="44">
        <v>-71.96962819548406</v>
      </c>
      <c r="D80" s="44">
        <v>-46.11641447181854</v>
      </c>
      <c r="E80" s="45">
        <v>-51.23252244624479</v>
      </c>
      <c r="F80" s="44">
        <v>-45.07706026750176</v>
      </c>
      <c r="G80" s="44">
        <v>-37.59627518078214</v>
      </c>
      <c r="H80" s="44">
        <v>-57.863055412475575</v>
      </c>
      <c r="I80" s="44">
        <v>-161.46205637924055</v>
      </c>
    </row>
    <row r="81" spans="1:9" ht="15">
      <c r="A81" s="47" t="str">
        <f>HLOOKUP(INDICE!$F$2,Nombres!$C$3:$D$636,50,FALSE)</f>
        <v>Resultado atribuido</v>
      </c>
      <c r="B81" s="47">
        <f>+B79+B80</f>
        <v>89.74238164029882</v>
      </c>
      <c r="C81" s="47">
        <f aca="true" t="shared" si="13" ref="C81:I81">+C79+C80</f>
        <v>155.6109820853374</v>
      </c>
      <c r="D81" s="47">
        <f t="shared" si="13"/>
        <v>97.39627219096826</v>
      </c>
      <c r="E81" s="47">
        <f t="shared" si="13"/>
        <v>85.20176923929839</v>
      </c>
      <c r="F81" s="51">
        <f t="shared" si="13"/>
        <v>77.54996699233567</v>
      </c>
      <c r="G81" s="51">
        <f t="shared" si="13"/>
        <v>84.47329521608624</v>
      </c>
      <c r="H81" s="51">
        <f t="shared" si="13"/>
        <v>95.38969482237252</v>
      </c>
      <c r="I81" s="51">
        <f t="shared" si="13"/>
        <v>355.2530541792053</v>
      </c>
    </row>
    <row r="82" spans="1:9" ht="15">
      <c r="A82" s="62"/>
      <c r="B82" s="63">
        <v>0</v>
      </c>
      <c r="C82" s="63">
        <v>0</v>
      </c>
      <c r="D82" s="63">
        <v>0</v>
      </c>
      <c r="E82" s="63">
        <v>1.1368683772161603E-13</v>
      </c>
      <c r="F82" s="63">
        <v>0</v>
      </c>
      <c r="G82" s="63">
        <v>0</v>
      </c>
      <c r="H82" s="63">
        <v>-2.2737367544323206E-13</v>
      </c>
      <c r="I82" s="63">
        <v>0</v>
      </c>
    </row>
    <row r="83" spans="1:15" ht="15">
      <c r="A83" s="41"/>
      <c r="B83" s="41"/>
      <c r="C83" s="41"/>
      <c r="D83" s="41"/>
      <c r="E83" s="41"/>
      <c r="F83" s="50"/>
      <c r="G83" s="50"/>
      <c r="H83" s="50"/>
      <c r="I83" s="50"/>
      <c r="N83" s="159"/>
      <c r="O83" s="159"/>
    </row>
    <row r="84" spans="1:15" ht="18">
      <c r="A84" s="33" t="str">
        <f>HLOOKUP(INDICE!$F$2,Nombres!$C$3:$D$636,51,FALSE)</f>
        <v>Balances</v>
      </c>
      <c r="B84" s="34"/>
      <c r="C84" s="34"/>
      <c r="D84" s="34"/>
      <c r="E84" s="34"/>
      <c r="F84" s="68"/>
      <c r="G84" s="68"/>
      <c r="H84" s="68"/>
      <c r="I84" s="68"/>
      <c r="N84" s="159"/>
      <c r="O84" s="159"/>
    </row>
    <row r="85" spans="1:15" ht="15">
      <c r="A85" s="35" t="str">
        <f>HLOOKUP(INDICE!$F$2,Nombres!$C$3:$D$636,73,FALSE)</f>
        <v>(Millones de euros constantes)</v>
      </c>
      <c r="B85" s="30"/>
      <c r="C85" s="52"/>
      <c r="D85" s="52"/>
      <c r="E85" s="52"/>
      <c r="F85" s="69"/>
      <c r="G85" s="44"/>
      <c r="H85" s="44"/>
      <c r="I85" s="44"/>
      <c r="N85" s="159"/>
      <c r="O85" s="159"/>
    </row>
    <row r="86" spans="1:9" ht="15.75">
      <c r="A86" s="30"/>
      <c r="B86" s="53">
        <f aca="true" t="shared" si="14" ref="B86:I86">+B$30</f>
        <v>44651</v>
      </c>
      <c r="C86" s="53">
        <f t="shared" si="14"/>
        <v>44742</v>
      </c>
      <c r="D86" s="53">
        <f t="shared" si="14"/>
        <v>44834</v>
      </c>
      <c r="E86" s="67">
        <f t="shared" si="14"/>
        <v>44926</v>
      </c>
      <c r="F86" s="53">
        <f t="shared" si="14"/>
        <v>45016</v>
      </c>
      <c r="G86" s="53">
        <f t="shared" si="14"/>
        <v>45107</v>
      </c>
      <c r="H86" s="53">
        <f t="shared" si="14"/>
        <v>45199</v>
      </c>
      <c r="I86" s="53">
        <f t="shared" si="14"/>
        <v>45291</v>
      </c>
    </row>
    <row r="87" spans="1:9" ht="15">
      <c r="A87" s="43" t="str">
        <f>HLOOKUP(INDICE!$F$2,Nombres!$C$3:$D$636,52,FALSE)</f>
        <v>Efectivo, saldos en efectivo en bancos centrales y otros depósitos a la vista</v>
      </c>
      <c r="B87" s="44">
        <v>6904.988180469912</v>
      </c>
      <c r="C87" s="44">
        <v>7454.096203938263</v>
      </c>
      <c r="D87" s="44">
        <v>8347.862677361676</v>
      </c>
      <c r="E87" s="45">
        <v>6771.845715830997</v>
      </c>
      <c r="F87" s="44">
        <v>6672.00075084126</v>
      </c>
      <c r="G87" s="44">
        <v>7288.012500462046</v>
      </c>
      <c r="H87" s="44">
        <v>6405.419561984981</v>
      </c>
      <c r="I87" s="44">
        <v>6585.093999999999</v>
      </c>
    </row>
    <row r="88" spans="1:9" ht="15">
      <c r="A88" s="43" t="str">
        <f>HLOOKUP(INDICE!$F$2,Nombres!$C$3:$D$636,53,FALSE)</f>
        <v>Activos financieros a valor razonable</v>
      </c>
      <c r="B88" s="58">
        <v>7643.490196690183</v>
      </c>
      <c r="C88" s="58">
        <v>8216.66933687991</v>
      </c>
      <c r="D88" s="58">
        <v>8603.94885585304</v>
      </c>
      <c r="E88" s="64">
        <v>8620.119742727682</v>
      </c>
      <c r="F88" s="44">
        <v>8773.035613980574</v>
      </c>
      <c r="G88" s="44">
        <v>9489.562706527628</v>
      </c>
      <c r="H88" s="44">
        <v>9511.24987758736</v>
      </c>
      <c r="I88" s="44">
        <v>10507.946</v>
      </c>
    </row>
    <row r="89" spans="1:9" ht="15">
      <c r="A89" s="43" t="str">
        <f>HLOOKUP(INDICE!$F$2,Nombres!$C$3:$D$636,54,FALSE)</f>
        <v>Activos financieros a coste amortizado</v>
      </c>
      <c r="B89" s="44">
        <v>36460.16287574763</v>
      </c>
      <c r="C89" s="44">
        <v>37960.124477043995</v>
      </c>
      <c r="D89" s="44">
        <v>39299.19156402658</v>
      </c>
      <c r="E89" s="45">
        <v>39564.50589580445</v>
      </c>
      <c r="F89" s="44">
        <v>40557.56811063041</v>
      </c>
      <c r="G89" s="44">
        <v>40987.46663608165</v>
      </c>
      <c r="H89" s="44">
        <v>41956.96818236018</v>
      </c>
      <c r="I89" s="44">
        <v>44507.674999999996</v>
      </c>
    </row>
    <row r="90" spans="1:9" ht="15">
      <c r="A90" s="43" t="str">
        <f>HLOOKUP(INDICE!$F$2,Nombres!$C$3:$D$636,55,FALSE)</f>
        <v>    de los que préstamos y anticipos a la clientela</v>
      </c>
      <c r="B90" s="44">
        <v>34898.535602470016</v>
      </c>
      <c r="C90" s="44">
        <v>36120.91158800679</v>
      </c>
      <c r="D90" s="44">
        <v>37046.99067801904</v>
      </c>
      <c r="E90" s="45">
        <v>37935.22228631599</v>
      </c>
      <c r="F90" s="44">
        <v>38602.296311515325</v>
      </c>
      <c r="G90" s="44">
        <v>39080.31840878074</v>
      </c>
      <c r="H90" s="44">
        <v>39752.358056116806</v>
      </c>
      <c r="I90" s="44">
        <v>41212.78799999999</v>
      </c>
    </row>
    <row r="91" spans="1:9" ht="15" customHeight="1" hidden="1">
      <c r="A91" s="43"/>
      <c r="B91" s="44"/>
      <c r="C91" s="44"/>
      <c r="D91" s="44"/>
      <c r="E91" s="45"/>
      <c r="F91" s="44"/>
      <c r="G91" s="44"/>
      <c r="H91" s="44"/>
      <c r="I91" s="44"/>
    </row>
    <row r="92" spans="1:9" ht="15">
      <c r="A92" s="43" t="str">
        <f>HLOOKUP(INDICE!$F$2,Nombres!$C$3:$D$636,56,FALSE)</f>
        <v>Activos tangibles</v>
      </c>
      <c r="B92" s="44">
        <v>867.3745210496378</v>
      </c>
      <c r="C92" s="44">
        <v>938.9524330644316</v>
      </c>
      <c r="D92" s="44">
        <v>1000.2159138861721</v>
      </c>
      <c r="E92" s="45">
        <v>972.4854903647282</v>
      </c>
      <c r="F92" s="44">
        <v>986.3577648113331</v>
      </c>
      <c r="G92" s="44">
        <v>1011.952416778209</v>
      </c>
      <c r="H92" s="44">
        <v>1055.510187191504</v>
      </c>
      <c r="I92" s="44">
        <v>939.124</v>
      </c>
    </row>
    <row r="93" spans="1:9" ht="15">
      <c r="A93" s="43" t="str">
        <f>HLOOKUP(INDICE!$F$2,Nombres!$C$3:$D$636,57,FALSE)</f>
        <v>Otros activos</v>
      </c>
      <c r="B93" s="58">
        <f>+B94-B92-B89-B88-B87</f>
        <v>1563.2080347897763</v>
      </c>
      <c r="C93" s="58">
        <f aca="true" t="shared" si="15" ref="C93:I93">+C94-C92-C89-C88-C87</f>
        <v>1700.738731847161</v>
      </c>
      <c r="D93" s="58">
        <f t="shared" si="15"/>
        <v>1843.2654042568738</v>
      </c>
      <c r="E93" s="64">
        <f t="shared" si="15"/>
        <v>1886.8073696584734</v>
      </c>
      <c r="F93" s="44">
        <f t="shared" si="15"/>
        <v>1910.6521552293561</v>
      </c>
      <c r="G93" s="44">
        <f t="shared" si="15"/>
        <v>1884.2154622273774</v>
      </c>
      <c r="H93" s="44">
        <f t="shared" si="15"/>
        <v>2100.950903539385</v>
      </c>
      <c r="I93" s="44">
        <f t="shared" si="15"/>
        <v>2239.0017676600055</v>
      </c>
    </row>
    <row r="94" spans="1:9" ht="15">
      <c r="A94" s="47" t="str">
        <f>HLOOKUP(INDICE!$F$2,Nombres!$C$3:$D$636,58,FALSE)</f>
        <v>Total activo / pasivo</v>
      </c>
      <c r="B94" s="47">
        <v>53439.223808747134</v>
      </c>
      <c r="C94" s="47">
        <v>56270.58118277376</v>
      </c>
      <c r="D94" s="47">
        <v>59094.484415384344</v>
      </c>
      <c r="E94" s="47">
        <v>57815.76421438633</v>
      </c>
      <c r="F94" s="51">
        <v>58899.614395492936</v>
      </c>
      <c r="G94" s="51">
        <v>60661.20972207691</v>
      </c>
      <c r="H94" s="51">
        <v>61030.098712663406</v>
      </c>
      <c r="I94" s="51">
        <v>64778.84076766</v>
      </c>
    </row>
    <row r="95" spans="1:9" ht="15">
      <c r="A95" s="43" t="str">
        <f>HLOOKUP(INDICE!$F$2,Nombres!$C$3:$D$636,59,FALSE)</f>
        <v>Pasivos financieros mantenidos para negociar y designados a valor razonable con cambios en resultados</v>
      </c>
      <c r="B95" s="58">
        <v>2551.0000342011604</v>
      </c>
      <c r="C95" s="58">
        <v>3126.274427539323</v>
      </c>
      <c r="D95" s="58">
        <v>3673.970102162124</v>
      </c>
      <c r="E95" s="64">
        <v>3330.775410952025</v>
      </c>
      <c r="F95" s="44">
        <v>2773.96446535626</v>
      </c>
      <c r="G95" s="44">
        <v>4179.850731511457</v>
      </c>
      <c r="H95" s="44">
        <v>3232.518107901191</v>
      </c>
      <c r="I95" s="44">
        <v>3288.8640000000005</v>
      </c>
    </row>
    <row r="96" spans="1:9" ht="15">
      <c r="A96" s="43" t="str">
        <f>HLOOKUP(INDICE!$F$2,Nombres!$C$3:$D$636,60,FALSE)</f>
        <v>Depósitos de bancos centrales y entidades de crédito</v>
      </c>
      <c r="B96" s="58">
        <v>6339.321761674701</v>
      </c>
      <c r="C96" s="58">
        <v>5340.468689636075</v>
      </c>
      <c r="D96" s="58">
        <v>5809.212303777567</v>
      </c>
      <c r="E96" s="64">
        <v>5697.520649392444</v>
      </c>
      <c r="F96" s="44">
        <v>5381.117021756299</v>
      </c>
      <c r="G96" s="44">
        <v>5583.282585619498</v>
      </c>
      <c r="H96" s="44">
        <v>5007.2476194774</v>
      </c>
      <c r="I96" s="44">
        <v>5140.477000000001</v>
      </c>
    </row>
    <row r="97" spans="1:9" ht="15">
      <c r="A97" s="43" t="str">
        <f>HLOOKUP(INDICE!$F$2,Nombres!$C$3:$D$636,61,FALSE)</f>
        <v>Depósitos de la clientela</v>
      </c>
      <c r="B97" s="58">
        <v>33341.73815251105</v>
      </c>
      <c r="C97" s="58">
        <v>36244.90353562021</v>
      </c>
      <c r="D97" s="58">
        <v>37722.70455076219</v>
      </c>
      <c r="E97" s="64">
        <v>37097.88075295495</v>
      </c>
      <c r="F97" s="44">
        <v>38115.18284658733</v>
      </c>
      <c r="G97" s="44">
        <v>38459.34434703832</v>
      </c>
      <c r="H97" s="44">
        <v>40271.27802271098</v>
      </c>
      <c r="I97" s="44">
        <v>42567.369</v>
      </c>
    </row>
    <row r="98" spans="1:9" ht="15">
      <c r="A98" s="43" t="str">
        <f>HLOOKUP(INDICE!$F$2,Nombres!$C$3:$D$636,62,FALSE)</f>
        <v>Valores representativos de deuda emitidos</v>
      </c>
      <c r="B98" s="44">
        <v>3074.3551001796955</v>
      </c>
      <c r="C98" s="44">
        <v>3496.9672401726248</v>
      </c>
      <c r="D98" s="44">
        <v>2975.979262490219</v>
      </c>
      <c r="E98" s="45">
        <v>2868.232785323777</v>
      </c>
      <c r="F98" s="44">
        <v>2868.766716256626</v>
      </c>
      <c r="G98" s="44">
        <v>2926.8796031423803</v>
      </c>
      <c r="H98" s="44">
        <v>2909.995476213756</v>
      </c>
      <c r="I98" s="44">
        <v>2986.4408249700004</v>
      </c>
    </row>
    <row r="99" spans="1:9" ht="15" customHeight="1" hidden="1">
      <c r="A99" s="43"/>
      <c r="B99" s="44"/>
      <c r="C99" s="44"/>
      <c r="D99" s="44"/>
      <c r="E99" s="45"/>
      <c r="F99" s="44"/>
      <c r="G99" s="44"/>
      <c r="H99" s="44"/>
      <c r="I99" s="44"/>
    </row>
    <row r="100" spans="1:9" ht="15">
      <c r="A100" s="43" t="str">
        <f>HLOOKUP(INDICE!$F$2,Nombres!$C$3:$D$636,63,FALSE)</f>
        <v>Otros pasivos</v>
      </c>
      <c r="B100" s="58">
        <f>+B94-B95-B96-B97-B98-B101</f>
        <v>3306.014560636422</v>
      </c>
      <c r="C100" s="58">
        <f aca="true" t="shared" si="16" ref="C100:I100">+C94-C95-C96-C97-C98-C101</f>
        <v>2911.3708210164978</v>
      </c>
      <c r="D100" s="58">
        <f t="shared" si="16"/>
        <v>3529.434723165219</v>
      </c>
      <c r="E100" s="64">
        <f t="shared" si="16"/>
        <v>3334.8436158913237</v>
      </c>
      <c r="F100" s="44">
        <f t="shared" si="16"/>
        <v>4333.709374061125</v>
      </c>
      <c r="G100" s="44">
        <f t="shared" si="16"/>
        <v>3911.1233058443495</v>
      </c>
      <c r="H100" s="44">
        <f t="shared" si="16"/>
        <v>4031.686913770456</v>
      </c>
      <c r="I100" s="44">
        <f t="shared" si="16"/>
        <v>4502.152793260004</v>
      </c>
    </row>
    <row r="101" spans="1:9" ht="15">
      <c r="A101" s="43" t="str">
        <f>HLOOKUP(INDICE!$F$2,Nombres!$C$3:$D$636,282,FALSE)</f>
        <v>Dotación de capital regulatorio</v>
      </c>
      <c r="B101" s="58">
        <v>4826.794199544109</v>
      </c>
      <c r="C101" s="58">
        <v>5150.596468789041</v>
      </c>
      <c r="D101" s="58">
        <v>5383.183473027029</v>
      </c>
      <c r="E101" s="64">
        <v>5486.510999871808</v>
      </c>
      <c r="F101" s="44">
        <v>5426.873971475297</v>
      </c>
      <c r="G101" s="44">
        <v>5600.729148920903</v>
      </c>
      <c r="H101" s="44">
        <v>5577.372572589622</v>
      </c>
      <c r="I101" s="44">
        <v>6293.53714943</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44651</v>
      </c>
      <c r="C106" s="53">
        <f t="shared" si="17"/>
        <v>44742</v>
      </c>
      <c r="D106" s="53">
        <f t="shared" si="17"/>
        <v>44834</v>
      </c>
      <c r="E106" s="67">
        <f t="shared" si="17"/>
        <v>44926</v>
      </c>
      <c r="F106" s="53">
        <f t="shared" si="17"/>
        <v>45016</v>
      </c>
      <c r="G106" s="53">
        <f t="shared" si="17"/>
        <v>45107</v>
      </c>
      <c r="H106" s="53">
        <f t="shared" si="17"/>
        <v>45199</v>
      </c>
      <c r="I106" s="53">
        <f t="shared" si="17"/>
        <v>45291</v>
      </c>
    </row>
    <row r="107" spans="1:9" ht="15">
      <c r="A107" s="43" t="str">
        <f>HLOOKUP(INDICE!$F$2,Nombres!$C$3:$D$636,66,FALSE)</f>
        <v>Préstamos y anticipos a la clientela bruto (*)</v>
      </c>
      <c r="B107" s="44">
        <v>36626.721619539865</v>
      </c>
      <c r="C107" s="44">
        <v>37888.942520413475</v>
      </c>
      <c r="D107" s="44">
        <v>38828.881943475266</v>
      </c>
      <c r="E107" s="45">
        <v>39736.21391508085</v>
      </c>
      <c r="F107" s="44">
        <v>40455.208899231526</v>
      </c>
      <c r="G107" s="44">
        <v>40908.00652771052</v>
      </c>
      <c r="H107" s="44">
        <v>41698.21083312092</v>
      </c>
      <c r="I107" s="44">
        <v>43189.22099999999</v>
      </c>
    </row>
    <row r="108" spans="1:9" ht="15">
      <c r="A108" s="43" t="str">
        <f>HLOOKUP(INDICE!$F$2,Nombres!$C$3:$D$636,67,FALSE)</f>
        <v>Depósitos de clientes en gestión (**)</v>
      </c>
      <c r="B108" s="44">
        <v>33341.73815251104</v>
      </c>
      <c r="C108" s="44">
        <v>36244.903535620215</v>
      </c>
      <c r="D108" s="44">
        <v>37722.70455076219</v>
      </c>
      <c r="E108" s="45">
        <v>37097.88075295495</v>
      </c>
      <c r="F108" s="44">
        <v>38115.18284658733</v>
      </c>
      <c r="G108" s="44">
        <v>38459.34434703832</v>
      </c>
      <c r="H108" s="44">
        <v>40271.278022710976</v>
      </c>
      <c r="I108" s="44">
        <v>42567.369000000006</v>
      </c>
    </row>
    <row r="109" spans="1:9" ht="15">
      <c r="A109" s="43" t="str">
        <f>HLOOKUP(INDICE!$F$2,Nombres!$C$3:$D$636,68,FALSE)</f>
        <v>Fondos de inversión y carteras gestionadas</v>
      </c>
      <c r="B109" s="44">
        <v>4355.8732073845795</v>
      </c>
      <c r="C109" s="44">
        <v>4018.382369723139</v>
      </c>
      <c r="D109" s="44">
        <v>4201.084861385422</v>
      </c>
      <c r="E109" s="45">
        <v>4410.31172971818</v>
      </c>
      <c r="F109" s="44">
        <v>4913.3050533967635</v>
      </c>
      <c r="G109" s="44">
        <v>4478.483407698485</v>
      </c>
      <c r="H109" s="44">
        <v>4951.374299793773</v>
      </c>
      <c r="I109" s="44">
        <v>5524.733802600001</v>
      </c>
    </row>
    <row r="110" spans="1:9" ht="15">
      <c r="A110" s="43" t="str">
        <f>HLOOKUP(INDICE!$F$2,Nombres!$C$3:$D$636,69,FALSE)</f>
        <v>Fondos de pensiones</v>
      </c>
      <c r="B110" s="44">
        <v>10927.415201435706</v>
      </c>
      <c r="C110" s="44">
        <v>11060.855595768739</v>
      </c>
      <c r="D110" s="44">
        <v>11319.926984543783</v>
      </c>
      <c r="E110" s="45">
        <v>11540.358008357334</v>
      </c>
      <c r="F110" s="44">
        <v>11604.177571696351</v>
      </c>
      <c r="G110" s="44">
        <v>0</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20" spans="6:9" ht="15">
      <c r="F120" s="81"/>
      <c r="G120" s="81"/>
      <c r="H120" s="81"/>
      <c r="I120" s="81"/>
    </row>
    <row r="121" spans="6:9" ht="15">
      <c r="F121" s="81"/>
      <c r="G121" s="81"/>
      <c r="H121" s="81"/>
      <c r="I121" s="81"/>
    </row>
    <row r="122" spans="6:9" ht="15">
      <c r="F122" s="81"/>
      <c r="G122" s="81"/>
      <c r="H122" s="81"/>
      <c r="I122" s="81"/>
    </row>
    <row r="123" spans="6:9" ht="15">
      <c r="F123" s="81"/>
      <c r="G123" s="81"/>
      <c r="H123" s="81"/>
      <c r="I123" s="81"/>
    </row>
    <row r="124" spans="6:9" ht="15">
      <c r="F124" s="81"/>
      <c r="G124" s="81"/>
      <c r="H124" s="81"/>
      <c r="I124" s="81"/>
    </row>
    <row r="125" spans="6:9" ht="15">
      <c r="F125" s="81"/>
      <c r="G125" s="81"/>
      <c r="H125" s="81"/>
      <c r="I125" s="81"/>
    </row>
    <row r="126" spans="6:9" ht="15">
      <c r="F126" s="81"/>
      <c r="G126" s="81"/>
      <c r="H126" s="81"/>
      <c r="I126" s="81"/>
    </row>
    <row r="127" spans="6:9" ht="15">
      <c r="F127" s="81"/>
      <c r="G127" s="81"/>
      <c r="H127" s="81"/>
      <c r="I127" s="81"/>
    </row>
    <row r="128" spans="6:9" ht="15">
      <c r="F128" s="81"/>
      <c r="G128" s="81"/>
      <c r="H128" s="81"/>
      <c r="I128" s="81"/>
    </row>
    <row r="129" spans="6:9" ht="15">
      <c r="F129" s="81"/>
      <c r="G129" s="81"/>
      <c r="H129" s="81"/>
      <c r="I129" s="81"/>
    </row>
    <row r="130" spans="6:9" ht="15">
      <c r="F130" s="81"/>
      <c r="G130" s="81"/>
      <c r="H130" s="81"/>
      <c r="I130" s="81"/>
    </row>
    <row r="131" spans="6:9" ht="15">
      <c r="F131" s="81"/>
      <c r="G131" s="81"/>
      <c r="H131" s="81"/>
      <c r="I131" s="81"/>
    </row>
    <row r="132" spans="6:9" ht="15">
      <c r="F132" s="81"/>
      <c r="G132" s="81"/>
      <c r="H132" s="81"/>
      <c r="I132" s="81"/>
    </row>
    <row r="133" spans="6:9" ht="15">
      <c r="F133" s="81"/>
      <c r="G133" s="81"/>
      <c r="H133" s="81"/>
      <c r="I133" s="81"/>
    </row>
    <row r="134" spans="6:9" ht="15">
      <c r="F134" s="81"/>
      <c r="G134" s="81"/>
      <c r="H134" s="81"/>
      <c r="I134" s="81"/>
    </row>
    <row r="135" spans="6:9" ht="15">
      <c r="F135" s="81"/>
      <c r="G135" s="81"/>
      <c r="H135" s="81"/>
      <c r="I135" s="81"/>
    </row>
    <row r="136" spans="6:9" ht="15">
      <c r="F136" s="81"/>
      <c r="G136" s="81"/>
      <c r="H136" s="81"/>
      <c r="I136" s="81"/>
    </row>
    <row r="137" spans="6:9" ht="15">
      <c r="F137" s="81"/>
      <c r="G137" s="81"/>
      <c r="H137" s="81"/>
      <c r="I137" s="81"/>
    </row>
    <row r="138" spans="6:9" ht="15">
      <c r="F138" s="81"/>
      <c r="G138" s="81"/>
      <c r="H138" s="81"/>
      <c r="I138" s="81"/>
    </row>
    <row r="139" spans="6:9" ht="15">
      <c r="F139" s="81"/>
      <c r="G139" s="81"/>
      <c r="H139" s="81"/>
      <c r="I139" s="81"/>
    </row>
    <row r="140" spans="6:9" ht="15">
      <c r="F140" s="81"/>
      <c r="G140" s="81"/>
      <c r="H140" s="81"/>
      <c r="I140" s="81"/>
    </row>
    <row r="141" spans="6:9" ht="15">
      <c r="F141" s="81"/>
      <c r="G141" s="81"/>
      <c r="H141" s="81"/>
      <c r="I141" s="81"/>
    </row>
    <row r="142" spans="6:9" ht="15">
      <c r="F142" s="81"/>
      <c r="G142" s="81"/>
      <c r="H142" s="81"/>
      <c r="I142" s="81"/>
    </row>
    <row r="143" spans="6:9" ht="15">
      <c r="F143" s="81"/>
      <c r="G143" s="81"/>
      <c r="H143" s="81"/>
      <c r="I143" s="81"/>
    </row>
    <row r="144" spans="6:9" ht="15">
      <c r="F144" s="81"/>
      <c r="G144" s="81"/>
      <c r="H144" s="81"/>
      <c r="I144" s="81"/>
    </row>
    <row r="145" spans="6:9" ht="15">
      <c r="F145" s="81"/>
      <c r="G145" s="81"/>
      <c r="H145" s="81"/>
      <c r="I145" s="81"/>
    </row>
    <row r="146" spans="6:9" ht="15">
      <c r="F146" s="81"/>
      <c r="G146" s="81"/>
      <c r="H146" s="81"/>
      <c r="I146" s="81"/>
    </row>
    <row r="147" spans="6:9" ht="15">
      <c r="F147" s="81"/>
      <c r="G147" s="81"/>
      <c r="H147" s="81"/>
      <c r="I147" s="81"/>
    </row>
    <row r="148" spans="6:9" ht="15">
      <c r="F148" s="81"/>
      <c r="G148" s="81"/>
      <c r="H148" s="81"/>
      <c r="I148" s="81"/>
    </row>
    <row r="149" spans="6:9" ht="15">
      <c r="F149" s="81"/>
      <c r="G149" s="81"/>
      <c r="H149" s="81"/>
      <c r="I149" s="81"/>
    </row>
    <row r="150" spans="6:9" ht="15">
      <c r="F150" s="81"/>
      <c r="G150" s="81"/>
      <c r="H150" s="81"/>
      <c r="I150" s="81"/>
    </row>
    <row r="151" spans="6:9" ht="15">
      <c r="F151" s="81"/>
      <c r="G151" s="81"/>
      <c r="H151" s="81"/>
      <c r="I151" s="81"/>
    </row>
    <row r="152" spans="6:9" ht="15">
      <c r="F152" s="81"/>
      <c r="G152" s="81"/>
      <c r="H152" s="81"/>
      <c r="I152" s="81"/>
    </row>
    <row r="153" spans="6:9" ht="15">
      <c r="F153" s="81"/>
      <c r="G153" s="81"/>
      <c r="H153" s="81"/>
      <c r="I153" s="81"/>
    </row>
    <row r="154" spans="6:9" ht="15">
      <c r="F154" s="81"/>
      <c r="G154" s="81"/>
      <c r="H154" s="81"/>
      <c r="I154" s="81"/>
    </row>
    <row r="155" spans="6:9" ht="15">
      <c r="F155" s="81"/>
      <c r="G155" s="81"/>
      <c r="H155" s="81"/>
      <c r="I155" s="81"/>
    </row>
    <row r="156" spans="6:9" ht="15">
      <c r="F156" s="81"/>
      <c r="G156" s="81"/>
      <c r="H156" s="81"/>
      <c r="I156" s="81"/>
    </row>
    <row r="157" spans="6:9" ht="15">
      <c r="F157" s="81"/>
      <c r="G157" s="81"/>
      <c r="H157" s="81"/>
      <c r="I157" s="81"/>
    </row>
    <row r="158" spans="6:9" ht="15">
      <c r="F158" s="81"/>
      <c r="G158" s="81"/>
      <c r="H158" s="81"/>
      <c r="I158" s="81"/>
    </row>
    <row r="159" spans="6:9" ht="15">
      <c r="F159" s="81"/>
      <c r="G159" s="81"/>
      <c r="H159" s="81"/>
      <c r="I159" s="81"/>
    </row>
    <row r="160" spans="6:9" ht="15">
      <c r="F160" s="81"/>
      <c r="G160" s="81"/>
      <c r="H160" s="81"/>
      <c r="I160" s="81"/>
    </row>
    <row r="161" spans="6:9" ht="15">
      <c r="F161" s="81"/>
      <c r="G161" s="81"/>
      <c r="H161" s="81"/>
      <c r="I161" s="81"/>
    </row>
    <row r="162" spans="6:9" ht="15">
      <c r="F162" s="81"/>
      <c r="G162" s="81"/>
      <c r="H162" s="81"/>
      <c r="I162" s="81"/>
    </row>
    <row r="163" spans="6:9" ht="15">
      <c r="F163" s="81"/>
      <c r="G163" s="81"/>
      <c r="H163" s="81"/>
      <c r="I163" s="81"/>
    </row>
    <row r="164" spans="6:9" ht="15">
      <c r="F164" s="81"/>
      <c r="G164" s="81"/>
      <c r="H164" s="81"/>
      <c r="I164" s="81"/>
    </row>
    <row r="165" spans="6:9" ht="15">
      <c r="F165" s="81"/>
      <c r="G165" s="81"/>
      <c r="H165" s="81"/>
      <c r="I165" s="81"/>
    </row>
    <row r="166" spans="6:9" ht="15">
      <c r="F166" s="81"/>
      <c r="G166" s="81"/>
      <c r="H166" s="81"/>
      <c r="I166" s="81"/>
    </row>
    <row r="998" ht="15">
      <c r="A998" s="31" t="s">
        <v>391</v>
      </c>
    </row>
  </sheetData>
  <sheetProtection/>
  <mergeCells count="4">
    <mergeCell ref="B6:E6"/>
    <mergeCell ref="F6:I6"/>
    <mergeCell ref="B62:E62"/>
    <mergeCell ref="F62:I62"/>
  </mergeCells>
  <conditionalFormatting sqref="C82:I82">
    <cfRule type="cellIs" priority="10" dxfId="132" operator="notBetween">
      <formula>0.5</formula>
      <formula>-0.5</formula>
    </cfRule>
  </conditionalFormatting>
  <conditionalFormatting sqref="C26">
    <cfRule type="cellIs" priority="9" dxfId="19" operator="notBetween">
      <formula>-0.4</formula>
      <formula>0.4</formula>
    </cfRule>
  </conditionalFormatting>
  <conditionalFormatting sqref="D26">
    <cfRule type="cellIs" priority="8" dxfId="19" operator="notBetween">
      <formula>-0.4</formula>
      <formula>0.4</formula>
    </cfRule>
  </conditionalFormatting>
  <conditionalFormatting sqref="E26">
    <cfRule type="cellIs" priority="7" dxfId="19" operator="notBetween">
      <formula>-0.4</formula>
      <formula>0.4</formula>
    </cfRule>
  </conditionalFormatting>
  <conditionalFormatting sqref="F26">
    <cfRule type="cellIs" priority="6" dxfId="19" operator="notBetween">
      <formula>-0.4</formula>
      <formula>0.4</formula>
    </cfRule>
  </conditionalFormatting>
  <conditionalFormatting sqref="G26">
    <cfRule type="cellIs" priority="5" dxfId="19" operator="notBetween">
      <formula>-0.4</formula>
      <formula>0.4</formula>
    </cfRule>
  </conditionalFormatting>
  <conditionalFormatting sqref="H26">
    <cfRule type="cellIs" priority="4" dxfId="19" operator="notBetween">
      <formula>-0.4</formula>
      <formula>0.4</formula>
    </cfRule>
  </conditionalFormatting>
  <conditionalFormatting sqref="I26">
    <cfRule type="cellIs" priority="3" dxfId="19" operator="notBetween">
      <formula>-0.4</formula>
      <formula>0.4</formula>
    </cfRule>
  </conditionalFormatting>
  <conditionalFormatting sqref="B26:I26">
    <cfRule type="cellIs" priority="2" dxfId="132" operator="notBetween">
      <formula>0.5</formula>
      <formula>-0.5</formula>
    </cfRule>
  </conditionalFormatting>
  <conditionalFormatting sqref="B82:I82">
    <cfRule type="cellIs" priority="1" dxfId="132" operator="notBetween">
      <formula>0.5</formula>
      <formula>-0.5</formula>
    </cfRule>
  </conditionalFormatting>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O1006"/>
  <sheetViews>
    <sheetView showGridLines="0" zoomScalePageLayoutView="0" workbookViewId="0" topLeftCell="A1">
      <selection activeCell="A1" sqref="A1"/>
    </sheetView>
  </sheetViews>
  <sheetFormatPr defaultColWidth="11.421875" defaultRowHeight="15"/>
  <cols>
    <col min="1" max="1" width="62.00390625" style="31" customWidth="1"/>
    <col min="2" max="16384" width="11.421875" style="31" customWidth="1"/>
  </cols>
  <sheetData>
    <row r="1" spans="1:9" ht="18">
      <c r="A1" s="29" t="str">
        <f>HLOOKUP(INDICE!$F$2,Nombres!$C$3:$D$636,14,FALSE)</f>
        <v>Argentina</v>
      </c>
      <c r="B1" s="30"/>
      <c r="C1" s="30"/>
      <c r="D1" s="30"/>
      <c r="E1" s="30"/>
      <c r="F1" s="30"/>
      <c r="G1" s="30"/>
      <c r="H1" s="30"/>
      <c r="I1" s="30"/>
    </row>
    <row r="2" spans="1:9" ht="19.5">
      <c r="A2" s="32"/>
      <c r="B2" s="30"/>
      <c r="C2" s="30"/>
      <c r="D2" s="30"/>
      <c r="E2" s="30"/>
      <c r="F2" s="30"/>
      <c r="G2" s="30"/>
      <c r="H2" s="30"/>
      <c r="I2" s="30"/>
    </row>
    <row r="3" spans="1:9" ht="18">
      <c r="A3" s="33" t="str">
        <f>HLOOKUP(INDICE!$F$2,Nombres!$C$3:$D$636,31,FALSE)</f>
        <v>Cuenta de resultados  </v>
      </c>
      <c r="B3" s="34"/>
      <c r="C3" s="34"/>
      <c r="D3" s="34"/>
      <c r="E3" s="34"/>
      <c r="F3" s="34"/>
      <c r="G3" s="34"/>
      <c r="H3" s="34"/>
      <c r="I3" s="34"/>
    </row>
    <row r="4" spans="1:9" ht="15">
      <c r="A4" s="35" t="str">
        <f>HLOOKUP(INDICE!$F$2,Nombres!$C$3:$D$636,32,FALSE)</f>
        <v>(Millones de euros)</v>
      </c>
      <c r="B4" s="30"/>
      <c r="C4" s="36"/>
      <c r="D4" s="36"/>
      <c r="E4" s="36"/>
      <c r="F4" s="30"/>
      <c r="G4" s="30"/>
      <c r="H4" s="30"/>
      <c r="I4" s="30"/>
    </row>
    <row r="5" spans="1:9" ht="15">
      <c r="A5" s="37"/>
      <c r="B5" s="30"/>
      <c r="C5" s="36"/>
      <c r="D5" s="36"/>
      <c r="E5" s="36"/>
      <c r="F5" s="30"/>
      <c r="G5" s="30"/>
      <c r="H5" s="30"/>
      <c r="I5" s="30"/>
    </row>
    <row r="6" spans="1:9" ht="15.75">
      <c r="A6" s="38"/>
      <c r="B6" s="301">
        <f>+España!B6</f>
        <v>2022</v>
      </c>
      <c r="C6" s="301"/>
      <c r="D6" s="301"/>
      <c r="E6" s="302"/>
      <c r="F6" s="301">
        <f>+España!F6</f>
        <v>2023</v>
      </c>
      <c r="G6" s="301"/>
      <c r="H6" s="301"/>
      <c r="I6" s="301"/>
    </row>
    <row r="7" spans="1:9" ht="15.75">
      <c r="A7" s="38"/>
      <c r="B7" s="39" t="str">
        <f>+España!B7</f>
        <v>1er Trim.</v>
      </c>
      <c r="C7" s="39" t="str">
        <f>+España!C7</f>
        <v>2º Trim.</v>
      </c>
      <c r="D7" s="39" t="str">
        <f>+España!D7</f>
        <v>3er Trim.</v>
      </c>
      <c r="E7" s="40" t="str">
        <f>+España!E7</f>
        <v>4º Trim.</v>
      </c>
      <c r="F7" s="39" t="str">
        <f>+España!F7</f>
        <v>1er Trim.</v>
      </c>
      <c r="G7" s="39" t="str">
        <f>+España!G7</f>
        <v>2º Trim.</v>
      </c>
      <c r="H7" s="39" t="str">
        <f>+España!H7</f>
        <v>3er Trim.</v>
      </c>
      <c r="I7" s="39" t="str">
        <f>+España!I7</f>
        <v>4º Trim.</v>
      </c>
    </row>
    <row r="8" spans="1:9" ht="15">
      <c r="A8" s="41" t="str">
        <f>HLOOKUP(INDICE!$F$2,Nombres!$C$3:$D$636,33,FALSE)</f>
        <v>Margen de intereses</v>
      </c>
      <c r="B8" s="41">
        <v>318.816</v>
      </c>
      <c r="C8" s="41">
        <v>462.1120000000001</v>
      </c>
      <c r="D8" s="41">
        <v>612.8620000000001</v>
      </c>
      <c r="E8" s="42">
        <v>428.4169999999999</v>
      </c>
      <c r="F8" s="50">
        <v>593.1469999999999</v>
      </c>
      <c r="G8" s="50">
        <v>707.2560000000001</v>
      </c>
      <c r="H8" s="50">
        <v>733.4779999999997</v>
      </c>
      <c r="I8" s="50">
        <v>-154.04400000000032</v>
      </c>
    </row>
    <row r="9" spans="1:9" ht="15">
      <c r="A9" s="43" t="str">
        <f>HLOOKUP(INDICE!$F$2,Nombres!$C$3:$D$636,34,FALSE)</f>
        <v>Comisiones netas</v>
      </c>
      <c r="B9" s="44">
        <v>60.91830800000001</v>
      </c>
      <c r="C9" s="44">
        <v>85.25700000000002</v>
      </c>
      <c r="D9" s="44">
        <v>75.12590298999999</v>
      </c>
      <c r="E9" s="45">
        <v>24.891494999999985</v>
      </c>
      <c r="F9" s="44">
        <v>49.22799999999997</v>
      </c>
      <c r="G9" s="44">
        <v>87.56</v>
      </c>
      <c r="H9" s="44">
        <v>43.24199999999999</v>
      </c>
      <c r="I9" s="44">
        <v>-18.577654289999984</v>
      </c>
    </row>
    <row r="10" spans="1:9" ht="15">
      <c r="A10" s="43" t="str">
        <f>HLOOKUP(INDICE!$F$2,Nombres!$C$3:$D$636,35,FALSE)</f>
        <v>Resultados de operaciones financieras</v>
      </c>
      <c r="B10" s="44">
        <v>34.023920000000004</v>
      </c>
      <c r="C10" s="44">
        <v>31.88125</v>
      </c>
      <c r="D10" s="44">
        <v>59.550112580000004</v>
      </c>
      <c r="E10" s="45">
        <v>11.721707999999985</v>
      </c>
      <c r="F10" s="44">
        <v>35.123937319999996</v>
      </c>
      <c r="G10" s="44">
        <v>58.558122999999995</v>
      </c>
      <c r="H10" s="44">
        <v>53.490849999999995</v>
      </c>
      <c r="I10" s="44">
        <v>153.99895200000003</v>
      </c>
    </row>
    <row r="11" spans="1:9" ht="15">
      <c r="A11" s="43" t="str">
        <f>HLOOKUP(INDICE!$F$2,Nombres!$C$3:$D$636,36,FALSE)</f>
        <v>Otros ingresos y cargas de explotación</v>
      </c>
      <c r="B11" s="44">
        <v>-185.92499999999998</v>
      </c>
      <c r="C11" s="44">
        <v>-262.486</v>
      </c>
      <c r="D11" s="44">
        <v>-364.92500000000007</v>
      </c>
      <c r="E11" s="45">
        <v>-182.30899958999993</v>
      </c>
      <c r="F11" s="44">
        <v>-306.789</v>
      </c>
      <c r="G11" s="44">
        <v>-419.56300000000005</v>
      </c>
      <c r="H11" s="44">
        <v>-486.692</v>
      </c>
      <c r="I11" s="44">
        <v>-88.59000000000026</v>
      </c>
    </row>
    <row r="12" spans="1:9" ht="15">
      <c r="A12" s="41" t="str">
        <f>HLOOKUP(INDICE!$F$2,Nombres!$C$3:$D$636,37,FALSE)</f>
        <v>Margen bruto</v>
      </c>
      <c r="B12" s="41">
        <f>+SUM(B8:B11)</f>
        <v>227.83322800000005</v>
      </c>
      <c r="C12" s="41">
        <f aca="true" t="shared" si="0" ref="C12:I12">+SUM(C8:C11)</f>
        <v>316.7642500000002</v>
      </c>
      <c r="D12" s="41">
        <f t="shared" si="0"/>
        <v>382.61301557</v>
      </c>
      <c r="E12" s="42">
        <f t="shared" si="0"/>
        <v>282.72120340999993</v>
      </c>
      <c r="F12" s="50">
        <f t="shared" si="0"/>
        <v>370.7099373199999</v>
      </c>
      <c r="G12" s="50">
        <f t="shared" si="0"/>
        <v>433.811123</v>
      </c>
      <c r="H12" s="50">
        <f t="shared" si="0"/>
        <v>343.5188499999997</v>
      </c>
      <c r="I12" s="50">
        <f t="shared" si="0"/>
        <v>-107.21270229000055</v>
      </c>
    </row>
    <row r="13" spans="1:9" ht="15">
      <c r="A13" s="43" t="str">
        <f>HLOOKUP(INDICE!$F$2,Nombres!$C$3:$D$636,38,FALSE)</f>
        <v>Gastos de explotación</v>
      </c>
      <c r="B13" s="44">
        <v>-145.64386381</v>
      </c>
      <c r="C13" s="44">
        <v>-216.10730637</v>
      </c>
      <c r="D13" s="44">
        <v>-244.78715468999997</v>
      </c>
      <c r="E13" s="45">
        <v>-134.71692395000002</v>
      </c>
      <c r="F13" s="44">
        <v>-200.73820468999998</v>
      </c>
      <c r="G13" s="44">
        <v>-220.51487335000002</v>
      </c>
      <c r="H13" s="44">
        <v>-239.71693250999994</v>
      </c>
      <c r="I13" s="44">
        <v>102.68344911</v>
      </c>
    </row>
    <row r="14" spans="1:9" ht="15">
      <c r="A14" s="43" t="str">
        <f>HLOOKUP(INDICE!$F$2,Nombres!$C$3:$D$636,39,FALSE)</f>
        <v>  Gastos de administración</v>
      </c>
      <c r="B14" s="44">
        <v>-139.78886381</v>
      </c>
      <c r="C14" s="44">
        <v>-199.37230637000002</v>
      </c>
      <c r="D14" s="44">
        <v>-229.08015468999997</v>
      </c>
      <c r="E14" s="45">
        <v>-124.02692395000003</v>
      </c>
      <c r="F14" s="44">
        <v>-190.07820469</v>
      </c>
      <c r="G14" s="44">
        <v>-207.69187335000004</v>
      </c>
      <c r="H14" s="44">
        <v>-227.57493250999994</v>
      </c>
      <c r="I14" s="44">
        <v>97.45444910999998</v>
      </c>
    </row>
    <row r="15" spans="1:9" ht="15">
      <c r="A15" s="46" t="str">
        <f>HLOOKUP(INDICE!$F$2,Nombres!$C$3:$D$636,40,FALSE)</f>
        <v>  Gastos de personal</v>
      </c>
      <c r="B15" s="44">
        <v>-75.43100000000001</v>
      </c>
      <c r="C15" s="44">
        <v>-107.88299999999998</v>
      </c>
      <c r="D15" s="44">
        <v>-119.46199999999999</v>
      </c>
      <c r="E15" s="45">
        <v>-67.15900000000002</v>
      </c>
      <c r="F15" s="44">
        <v>-99.52</v>
      </c>
      <c r="G15" s="44">
        <v>-106.15899999999999</v>
      </c>
      <c r="H15" s="44">
        <v>-116.12799999999999</v>
      </c>
      <c r="I15" s="44">
        <v>38.197</v>
      </c>
    </row>
    <row r="16" spans="1:9" ht="15">
      <c r="A16" s="46" t="str">
        <f>HLOOKUP(INDICE!$F$2,Nombres!$C$3:$D$636,41,FALSE)</f>
        <v>  Otros gastos de administración</v>
      </c>
      <c r="B16" s="44">
        <v>-64.35786381</v>
      </c>
      <c r="C16" s="44">
        <v>-91.48930637000001</v>
      </c>
      <c r="D16" s="44">
        <v>-109.61815468999998</v>
      </c>
      <c r="E16" s="45">
        <v>-56.867923950000005</v>
      </c>
      <c r="F16" s="44">
        <v>-90.55820469</v>
      </c>
      <c r="G16" s="44">
        <v>-101.53287335000002</v>
      </c>
      <c r="H16" s="44">
        <v>-111.44693250999995</v>
      </c>
      <c r="I16" s="44">
        <v>59.25744910999995</v>
      </c>
    </row>
    <row r="17" spans="1:9" ht="15">
      <c r="A17" s="43" t="str">
        <f>HLOOKUP(INDICE!$F$2,Nombres!$C$3:$D$636,42,FALSE)</f>
        <v>  Amortización</v>
      </c>
      <c r="B17" s="44">
        <v>-5.8549999999999995</v>
      </c>
      <c r="C17" s="44">
        <v>-16.735</v>
      </c>
      <c r="D17" s="44">
        <v>-15.706999999999997</v>
      </c>
      <c r="E17" s="45">
        <v>-10.689999999999998</v>
      </c>
      <c r="F17" s="44">
        <v>-10.66</v>
      </c>
      <c r="G17" s="44">
        <v>-12.823</v>
      </c>
      <c r="H17" s="44">
        <v>-12.142</v>
      </c>
      <c r="I17" s="44">
        <v>5.228999999999997</v>
      </c>
    </row>
    <row r="18" spans="1:9" ht="15">
      <c r="A18" s="41" t="str">
        <f>HLOOKUP(INDICE!$F$2,Nombres!$C$3:$D$636,43,FALSE)</f>
        <v>Margen neto</v>
      </c>
      <c r="B18" s="41">
        <f>+B12+B13</f>
        <v>82.18936419000005</v>
      </c>
      <c r="C18" s="41">
        <f aca="true" t="shared" si="1" ref="C18:I18">+C12+C13</f>
        <v>100.65694363000017</v>
      </c>
      <c r="D18" s="41">
        <f t="shared" si="1"/>
        <v>137.82586088000005</v>
      </c>
      <c r="E18" s="42">
        <f t="shared" si="1"/>
        <v>148.0042794599999</v>
      </c>
      <c r="F18" s="50">
        <f t="shared" si="1"/>
        <v>169.9717326299999</v>
      </c>
      <c r="G18" s="50">
        <f t="shared" si="1"/>
        <v>213.29624965</v>
      </c>
      <c r="H18" s="50">
        <f t="shared" si="1"/>
        <v>103.80191748999977</v>
      </c>
      <c r="I18" s="50">
        <f t="shared" si="1"/>
        <v>-4.529253180000552</v>
      </c>
    </row>
    <row r="19" spans="1:9" ht="15">
      <c r="A19" s="43" t="str">
        <f>HLOOKUP(INDICE!$F$2,Nombres!$C$3:$D$636,44,FALSE)</f>
        <v>Deterioro de activos financieros no valorados a valor razonable con cambios en resultados</v>
      </c>
      <c r="B19" s="44">
        <v>-47.348999999999975</v>
      </c>
      <c r="C19" s="44">
        <v>-16.98500000000002</v>
      </c>
      <c r="D19" s="44">
        <v>-52.236999999999995</v>
      </c>
      <c r="E19" s="45">
        <v>-54.31999999999999</v>
      </c>
      <c r="F19" s="44">
        <v>-47.275999999999996</v>
      </c>
      <c r="G19" s="44">
        <v>-91.805</v>
      </c>
      <c r="H19" s="44">
        <v>-39.83799999999999</v>
      </c>
      <c r="I19" s="44">
        <v>33.86099999999999</v>
      </c>
    </row>
    <row r="20" spans="1:9" ht="15">
      <c r="A20" s="43" t="str">
        <f>HLOOKUP(INDICE!$F$2,Nombres!$C$3:$D$636,45,FALSE)</f>
        <v>Provisiones o reversión de provisiones y otros resultados</v>
      </c>
      <c r="B20" s="44">
        <v>-4.836</v>
      </c>
      <c r="C20" s="44">
        <v>-12.673</v>
      </c>
      <c r="D20" s="44">
        <v>-3.695999999999998</v>
      </c>
      <c r="E20" s="45">
        <v>-20.678</v>
      </c>
      <c r="F20" s="44">
        <v>-6.452999999999999</v>
      </c>
      <c r="G20" s="44">
        <v>-10.459999999999999</v>
      </c>
      <c r="H20" s="44">
        <v>-0.8860000000000017</v>
      </c>
      <c r="I20" s="44">
        <v>-8.736000000000002</v>
      </c>
    </row>
    <row r="21" spans="1:9" ht="15">
      <c r="A21" s="41" t="str">
        <f>HLOOKUP(INDICE!$F$2,Nombres!$C$3:$D$636,46,FALSE)</f>
        <v>Resultado antes de impuestos</v>
      </c>
      <c r="B21" s="41">
        <f>+B18+B19+B20</f>
        <v>30.004364190000075</v>
      </c>
      <c r="C21" s="41">
        <f aca="true" t="shared" si="2" ref="C21:I21">+C18+C19+C20</f>
        <v>70.99894363000016</v>
      </c>
      <c r="D21" s="41">
        <f t="shared" si="2"/>
        <v>81.89286088000006</v>
      </c>
      <c r="E21" s="42">
        <f t="shared" si="2"/>
        <v>73.00627945999992</v>
      </c>
      <c r="F21" s="50">
        <f t="shared" si="2"/>
        <v>116.2427326299999</v>
      </c>
      <c r="G21" s="50">
        <f t="shared" si="2"/>
        <v>111.03124964999999</v>
      </c>
      <c r="H21" s="50">
        <f t="shared" si="2"/>
        <v>63.07791748999978</v>
      </c>
      <c r="I21" s="50">
        <f t="shared" si="2"/>
        <v>20.595746819999434</v>
      </c>
    </row>
    <row r="22" spans="1:9" ht="15">
      <c r="A22" s="43" t="str">
        <f>HLOOKUP(INDICE!$F$2,Nombres!$C$3:$D$636,47,FALSE)</f>
        <v>Impuesto sobre beneficios</v>
      </c>
      <c r="B22" s="44">
        <v>-4.8613561600000015</v>
      </c>
      <c r="C22" s="44">
        <v>49.98432955999998</v>
      </c>
      <c r="D22" s="44">
        <v>-2.6627971599999825</v>
      </c>
      <c r="E22" s="45">
        <v>-30.083021439999996</v>
      </c>
      <c r="F22" s="44">
        <v>-39.85935880999999</v>
      </c>
      <c r="G22" s="44">
        <v>-41.39445736</v>
      </c>
      <c r="H22" s="44">
        <v>-6.672012880000004</v>
      </c>
      <c r="I22" s="44">
        <v>-32.229630540000045</v>
      </c>
    </row>
    <row r="23" spans="1:9" ht="15">
      <c r="A23" s="41" t="str">
        <f>HLOOKUP(INDICE!$F$2,Nombres!$C$3:$D$636,48,FALSE)</f>
        <v>Resultado del ejercicio</v>
      </c>
      <c r="B23" s="41">
        <f>+B21+B22</f>
        <v>25.143008030000075</v>
      </c>
      <c r="C23" s="41">
        <f aca="true" t="shared" si="3" ref="C23:I23">+C21+C22</f>
        <v>120.98327319000013</v>
      </c>
      <c r="D23" s="41">
        <f t="shared" si="3"/>
        <v>79.23006372000008</v>
      </c>
      <c r="E23" s="42">
        <f t="shared" si="3"/>
        <v>42.92325801999992</v>
      </c>
      <c r="F23" s="50">
        <f t="shared" si="3"/>
        <v>76.38337381999992</v>
      </c>
      <c r="G23" s="50">
        <f t="shared" si="3"/>
        <v>69.63679228999999</v>
      </c>
      <c r="H23" s="50">
        <f t="shared" si="3"/>
        <v>56.40590460999977</v>
      </c>
      <c r="I23" s="50">
        <f t="shared" si="3"/>
        <v>-11.633883720000611</v>
      </c>
    </row>
    <row r="24" spans="1:9" ht="15">
      <c r="A24" s="43" t="str">
        <f>HLOOKUP(INDICE!$F$2,Nombres!$C$3:$D$636,49,FALSE)</f>
        <v>Minoritarios</v>
      </c>
      <c r="B24" s="44">
        <v>-6.6809113700000005</v>
      </c>
      <c r="C24" s="44">
        <v>-38.77087993999999</v>
      </c>
      <c r="D24" s="44">
        <v>-23.851571009999994</v>
      </c>
      <c r="E24" s="45">
        <v>-13.570785000000011</v>
      </c>
      <c r="F24" s="44">
        <v>-24.33035514</v>
      </c>
      <c r="G24" s="44">
        <v>-21.48102198999999</v>
      </c>
      <c r="H24" s="44">
        <v>-19.076828009999996</v>
      </c>
      <c r="I24" s="44">
        <v>6.3530070099999705</v>
      </c>
    </row>
    <row r="25" spans="1:9" ht="15">
      <c r="A25" s="47" t="str">
        <f>HLOOKUP(INDICE!$F$2,Nombres!$C$3:$D$636,50,FALSE)</f>
        <v>Resultado atribuido</v>
      </c>
      <c r="B25" s="47">
        <f>+B23+B24</f>
        <v>18.462096660000075</v>
      </c>
      <c r="C25" s="47">
        <f aca="true" t="shared" si="4" ref="C25:I25">+C23+C24</f>
        <v>82.21239325000013</v>
      </c>
      <c r="D25" s="47">
        <f t="shared" si="4"/>
        <v>55.37849271000008</v>
      </c>
      <c r="E25" s="47">
        <f t="shared" si="4"/>
        <v>29.35247301999991</v>
      </c>
      <c r="F25" s="51">
        <f t="shared" si="4"/>
        <v>52.053018679999916</v>
      </c>
      <c r="G25" s="51">
        <f t="shared" si="4"/>
        <v>48.1557703</v>
      </c>
      <c r="H25" s="51">
        <f t="shared" si="4"/>
        <v>37.32907659999978</v>
      </c>
      <c r="I25" s="51">
        <f t="shared" si="4"/>
        <v>-5.280876710000641</v>
      </c>
    </row>
    <row r="26" spans="1:9" ht="15">
      <c r="A26" s="62"/>
      <c r="B26" s="63">
        <v>6.750155989720952E-14</v>
      </c>
      <c r="C26" s="63">
        <v>0</v>
      </c>
      <c r="D26" s="63">
        <v>0</v>
      </c>
      <c r="E26" s="63">
        <v>0</v>
      </c>
      <c r="F26" s="63">
        <v>0</v>
      </c>
      <c r="G26" s="63">
        <v>0</v>
      </c>
      <c r="H26" s="63">
        <v>-1.5631940186722204E-13</v>
      </c>
      <c r="I26" s="63">
        <v>-3.268496584496461E-13</v>
      </c>
    </row>
    <row r="27" spans="1:9" ht="15">
      <c r="A27" s="41"/>
      <c r="B27" s="41"/>
      <c r="C27" s="41"/>
      <c r="D27" s="41"/>
      <c r="E27" s="41"/>
      <c r="F27" s="41"/>
      <c r="G27" s="41"/>
      <c r="H27" s="41"/>
      <c r="I27" s="41"/>
    </row>
    <row r="28" spans="1:9" ht="18">
      <c r="A28" s="33" t="str">
        <f>HLOOKUP(INDICE!$F$2,Nombres!$C$3:$D$636,51,FALSE)</f>
        <v>Balances</v>
      </c>
      <c r="B28" s="34"/>
      <c r="C28" s="34"/>
      <c r="D28" s="34"/>
      <c r="E28" s="34"/>
      <c r="F28" s="34"/>
      <c r="G28" s="34"/>
      <c r="H28" s="34"/>
      <c r="I28" s="34"/>
    </row>
    <row r="29" spans="1:9" ht="15">
      <c r="A29" s="35" t="str">
        <f>HLOOKUP(INDICE!$F$2,Nombres!$C$3:$D$636,32,FALSE)</f>
        <v>(Millones de euros)</v>
      </c>
      <c r="B29" s="30"/>
      <c r="C29" s="52"/>
      <c r="D29" s="52"/>
      <c r="E29" s="52"/>
      <c r="F29" s="30"/>
      <c r="G29" s="58"/>
      <c r="H29" s="58"/>
      <c r="I29" s="58"/>
    </row>
    <row r="30" spans="1:9" ht="15.75">
      <c r="A30" s="30"/>
      <c r="B30" s="53">
        <f>+España!B32</f>
        <v>44651</v>
      </c>
      <c r="C30" s="53">
        <f>+España!C32</f>
        <v>44742</v>
      </c>
      <c r="D30" s="53">
        <f>+España!D32</f>
        <v>44834</v>
      </c>
      <c r="E30" s="67">
        <f>+España!E32</f>
        <v>44926</v>
      </c>
      <c r="F30" s="75">
        <f>+España!F32</f>
        <v>45016</v>
      </c>
      <c r="G30" s="75">
        <f>+España!G32</f>
        <v>45107</v>
      </c>
      <c r="H30" s="75">
        <f>+España!H32</f>
        <v>45199</v>
      </c>
      <c r="I30" s="75">
        <f>+España!I32</f>
        <v>45291</v>
      </c>
    </row>
    <row r="31" spans="1:9" ht="15">
      <c r="A31" s="43" t="str">
        <f>HLOOKUP(INDICE!$F$2,Nombres!$C$3:$D$636,52,FALSE)</f>
        <v>Efectivo, saldos en efectivo en bancos centrales y otros depósitos a la vista</v>
      </c>
      <c r="B31" s="44">
        <v>1617.2679999999998</v>
      </c>
      <c r="C31" s="44">
        <v>1458.5610000000001</v>
      </c>
      <c r="D31" s="44">
        <v>1430.5249999999999</v>
      </c>
      <c r="E31" s="45">
        <v>1605.0690000000002</v>
      </c>
      <c r="F31" s="44">
        <v>1651.0720000000001</v>
      </c>
      <c r="G31" s="44">
        <v>1348.669</v>
      </c>
      <c r="H31" s="44">
        <v>1291.199</v>
      </c>
      <c r="I31" s="44">
        <v>1283.7169999999999</v>
      </c>
    </row>
    <row r="32" spans="1:9" ht="15">
      <c r="A32" s="43" t="str">
        <f>HLOOKUP(INDICE!$F$2,Nombres!$C$3:$D$636,53,FALSE)</f>
        <v>Activos financieros a valor razonable</v>
      </c>
      <c r="B32" s="58">
        <v>2951.362</v>
      </c>
      <c r="C32" s="58">
        <v>3358.946</v>
      </c>
      <c r="D32" s="58">
        <v>3762.2329999999997</v>
      </c>
      <c r="E32" s="64">
        <v>3516.6970000000006</v>
      </c>
      <c r="F32" s="44">
        <v>3174.361</v>
      </c>
      <c r="G32" s="44">
        <v>3951.532</v>
      </c>
      <c r="H32" s="44">
        <v>3418.824</v>
      </c>
      <c r="I32" s="44">
        <v>1273.306</v>
      </c>
    </row>
    <row r="33" spans="1:9" ht="15">
      <c r="A33" s="43" t="str">
        <f>HLOOKUP(INDICE!$F$2,Nombres!$C$3:$D$636,54,FALSE)</f>
        <v>Activos financieros a coste amortizado</v>
      </c>
      <c r="B33" s="44">
        <v>4259.139</v>
      </c>
      <c r="C33" s="44">
        <v>5260.764999999999</v>
      </c>
      <c r="D33" s="44">
        <v>5134.406000000001</v>
      </c>
      <c r="E33" s="45">
        <v>4457.178999999999</v>
      </c>
      <c r="F33" s="44">
        <v>4780.384999999999</v>
      </c>
      <c r="G33" s="44">
        <v>4826.131</v>
      </c>
      <c r="H33" s="44">
        <v>4891.5560000000005</v>
      </c>
      <c r="I33" s="44">
        <v>3795.879</v>
      </c>
    </row>
    <row r="34" spans="1:9" ht="15">
      <c r="A34" s="43" t="str">
        <f>HLOOKUP(INDICE!$F$2,Nombres!$C$3:$D$636,55,FALSE)</f>
        <v>    de los que préstamos y anticipos a la clientela</v>
      </c>
      <c r="B34" s="44">
        <v>3343.84</v>
      </c>
      <c r="C34" s="44">
        <v>3971.4730000000004</v>
      </c>
      <c r="D34" s="44">
        <v>4016.194</v>
      </c>
      <c r="E34" s="45">
        <v>3784.3130000000006</v>
      </c>
      <c r="F34" s="44">
        <v>3806.3489999999997</v>
      </c>
      <c r="G34" s="44">
        <v>3819.7050000000004</v>
      </c>
      <c r="H34" s="44">
        <v>3721.6860000000006</v>
      </c>
      <c r="I34" s="44">
        <v>2246.262</v>
      </c>
    </row>
    <row r="35" spans="1:9" ht="15" customHeight="1" hidden="1">
      <c r="A35" s="43"/>
      <c r="B35" s="44"/>
      <c r="C35" s="44"/>
      <c r="D35" s="44"/>
      <c r="E35" s="45"/>
      <c r="F35" s="44"/>
      <c r="G35" s="44"/>
      <c r="H35" s="44"/>
      <c r="I35" s="44"/>
    </row>
    <row r="36" spans="1:9" ht="15">
      <c r="A36" s="43" t="str">
        <f>HLOOKUP(INDICE!$F$2,Nombres!$C$3:$D$636,56,FALSE)</f>
        <v>Activos tangibles</v>
      </c>
      <c r="B36" s="44">
        <v>524.04</v>
      </c>
      <c r="C36" s="44">
        <v>621.434</v>
      </c>
      <c r="D36" s="44">
        <v>682.75</v>
      </c>
      <c r="E36" s="45">
        <v>619.248</v>
      </c>
      <c r="F36" s="44">
        <v>606.594</v>
      </c>
      <c r="G36" s="44">
        <v>619.929</v>
      </c>
      <c r="H36" s="44">
        <v>626.321</v>
      </c>
      <c r="I36" s="44">
        <v>407.97900000000004</v>
      </c>
    </row>
    <row r="37" spans="1:9" ht="15">
      <c r="A37" s="43" t="str">
        <f>HLOOKUP(INDICE!$F$2,Nombres!$C$3:$D$636,57,FALSE)</f>
        <v>Otros activos</v>
      </c>
      <c r="B37" s="58">
        <f>+B38-B36-B33-B32-B31</f>
        <v>297.10845283000185</v>
      </c>
      <c r="C37" s="58">
        <f aca="true" t="shared" si="5" ref="C37:I37">+C38-C36-C33-C32-C31</f>
        <v>321.9505165099995</v>
      </c>
      <c r="D37" s="58">
        <f t="shared" si="5"/>
        <v>296.7246464600032</v>
      </c>
      <c r="E37" s="64">
        <f t="shared" si="5"/>
        <v>288.6960862300018</v>
      </c>
      <c r="F37" s="44">
        <f t="shared" si="5"/>
        <v>311.8433774900004</v>
      </c>
      <c r="G37" s="44">
        <f t="shared" si="5"/>
        <v>267.96760515000074</v>
      </c>
      <c r="H37" s="44">
        <f t="shared" si="5"/>
        <v>329.11270783000236</v>
      </c>
      <c r="I37" s="44">
        <f t="shared" si="5"/>
        <v>198.1936570599994</v>
      </c>
    </row>
    <row r="38" spans="1:9" ht="15">
      <c r="A38" s="47" t="str">
        <f>HLOOKUP(INDICE!$F$2,Nombres!$C$3:$D$636,58,FALSE)</f>
        <v>Total activo / pasivo</v>
      </c>
      <c r="B38" s="47">
        <v>9648.917452830001</v>
      </c>
      <c r="C38" s="47">
        <v>11021.656516509998</v>
      </c>
      <c r="D38" s="47">
        <v>11306.638646460004</v>
      </c>
      <c r="E38" s="47">
        <v>10486.889086230001</v>
      </c>
      <c r="F38" s="51">
        <v>10524.25537749</v>
      </c>
      <c r="G38" s="51">
        <v>11014.228605150001</v>
      </c>
      <c r="H38" s="51">
        <v>10557.012707830003</v>
      </c>
      <c r="I38" s="51">
        <v>6959.0746570599995</v>
      </c>
    </row>
    <row r="39" spans="1:9" ht="15">
      <c r="A39" s="43" t="str">
        <f>HLOOKUP(INDICE!$F$2,Nombres!$C$3:$D$636,59,FALSE)</f>
        <v>Pasivos financieros mantenidos para negociar y designados a valor razonable con cambios en resultados</v>
      </c>
      <c r="B39" s="58">
        <v>2.659</v>
      </c>
      <c r="C39" s="58">
        <v>1.1320000000000001</v>
      </c>
      <c r="D39" s="58">
        <v>3.865</v>
      </c>
      <c r="E39" s="64">
        <v>1.774</v>
      </c>
      <c r="F39" s="44">
        <v>2.296</v>
      </c>
      <c r="G39" s="44">
        <v>162.553</v>
      </c>
      <c r="H39" s="44">
        <v>64.60300000000001</v>
      </c>
      <c r="I39" s="44">
        <v>13.974</v>
      </c>
    </row>
    <row r="40" spans="1:9" ht="15.75" customHeight="1">
      <c r="A40" s="43" t="str">
        <f>HLOOKUP(INDICE!$F$2,Nombres!$C$3:$D$636,60,FALSE)</f>
        <v>Depósitos de bancos centrales y entidades de crédito</v>
      </c>
      <c r="B40" s="58">
        <v>116.77300000000002</v>
      </c>
      <c r="C40" s="58">
        <v>157.352</v>
      </c>
      <c r="D40" s="58">
        <v>121.06600000000003</v>
      </c>
      <c r="E40" s="64">
        <v>122.95299999999996</v>
      </c>
      <c r="F40" s="44">
        <v>124.57600000000001</v>
      </c>
      <c r="G40" s="44">
        <v>118.277</v>
      </c>
      <c r="H40" s="44">
        <v>80.44499999999996</v>
      </c>
      <c r="I40" s="44">
        <v>45.649</v>
      </c>
    </row>
    <row r="41" spans="1:9" ht="15">
      <c r="A41" s="43" t="str">
        <f>HLOOKUP(INDICE!$F$2,Nombres!$C$3:$D$636,61,FALSE)</f>
        <v>Depósitos de la clientela</v>
      </c>
      <c r="B41" s="58">
        <v>6466.273999999999</v>
      </c>
      <c r="C41" s="58">
        <v>7491.32</v>
      </c>
      <c r="D41" s="58">
        <v>7411.194</v>
      </c>
      <c r="E41" s="64">
        <v>6963.756000000001</v>
      </c>
      <c r="F41" s="44">
        <v>6900.092</v>
      </c>
      <c r="G41" s="44">
        <v>7197.075000000001</v>
      </c>
      <c r="H41" s="44">
        <v>6974.110000000001</v>
      </c>
      <c r="I41" s="44">
        <v>4059.9069999999997</v>
      </c>
    </row>
    <row r="42" spans="1:9" ht="15">
      <c r="A42" s="43" t="str">
        <f>HLOOKUP(INDICE!$F$2,Nombres!$C$3:$D$636,62,FALSE)</f>
        <v>Valores representativos de deuda emitidos</v>
      </c>
      <c r="B42" s="44">
        <v>251.78840171</v>
      </c>
      <c r="C42" s="44">
        <v>281.33826361</v>
      </c>
      <c r="D42" s="44">
        <v>297.48515428999997</v>
      </c>
      <c r="E42" s="45">
        <v>272.18229649</v>
      </c>
      <c r="F42" s="44">
        <v>326.28112549</v>
      </c>
      <c r="G42" s="44">
        <v>320.51789386999997</v>
      </c>
      <c r="H42" s="44">
        <v>223.61018881</v>
      </c>
      <c r="I42" s="44">
        <v>291.98419351</v>
      </c>
    </row>
    <row r="43" spans="1:9" ht="15" customHeight="1" hidden="1">
      <c r="A43" s="43"/>
      <c r="B43" s="44"/>
      <c r="C43" s="44"/>
      <c r="D43" s="44"/>
      <c r="E43" s="45"/>
      <c r="F43" s="44"/>
      <c r="G43" s="44"/>
      <c r="H43" s="44"/>
      <c r="I43" s="44"/>
    </row>
    <row r="44" spans="1:9" ht="15">
      <c r="A44" s="43" t="str">
        <f>HLOOKUP(INDICE!$F$2,Nombres!$C$3:$D$636,63,FALSE)</f>
        <v>Otros pasivos</v>
      </c>
      <c r="B44" s="58">
        <f>+B38-B39-B40-B41-B42-B45</f>
        <v>1956.0683361100027</v>
      </c>
      <c r="C44" s="58">
        <f aca="true" t="shared" si="6" ref="C44:I44">+C38-C39-C40-C41-C42-C45</f>
        <v>2157.7762553899984</v>
      </c>
      <c r="D44" s="58">
        <f t="shared" si="6"/>
        <v>2474.1127392700027</v>
      </c>
      <c r="E44" s="64">
        <f t="shared" si="6"/>
        <v>2198.719295140001</v>
      </c>
      <c r="F44" s="44">
        <f t="shared" si="6"/>
        <v>2087.749287120002</v>
      </c>
      <c r="G44" s="44">
        <f t="shared" si="6"/>
        <v>2142.0483225200005</v>
      </c>
      <c r="H44" s="44">
        <f t="shared" si="6"/>
        <v>2436.203455050003</v>
      </c>
      <c r="I44" s="44">
        <f t="shared" si="6"/>
        <v>1569.9580452399996</v>
      </c>
    </row>
    <row r="45" spans="1:9" ht="15">
      <c r="A45" s="43" t="str">
        <f>HLOOKUP(INDICE!$F$2,Nombres!$C$3:$D$636,282,FALSE)</f>
        <v>Dotación de capital regulatorio</v>
      </c>
      <c r="B45" s="58">
        <v>855.35471501</v>
      </c>
      <c r="C45" s="58">
        <v>932.73799751</v>
      </c>
      <c r="D45" s="58">
        <v>998.9157529000001</v>
      </c>
      <c r="E45" s="64">
        <v>927.5044946</v>
      </c>
      <c r="F45" s="44">
        <v>1083.2609648799998</v>
      </c>
      <c r="G45" s="44">
        <v>1073.7573887600001</v>
      </c>
      <c r="H45" s="44">
        <v>778.0410639700001</v>
      </c>
      <c r="I45" s="44">
        <v>977.60241831</v>
      </c>
    </row>
    <row r="46" spans="1:9" ht="15">
      <c r="A46" s="62"/>
      <c r="B46" s="58"/>
      <c r="C46" s="58"/>
      <c r="D46" s="58"/>
      <c r="E46" s="58"/>
      <c r="F46" s="44"/>
      <c r="G46" s="44"/>
      <c r="H46" s="44"/>
      <c r="I46" s="44"/>
    </row>
    <row r="47" spans="1:9" ht="15">
      <c r="A47" s="43"/>
      <c r="B47" s="58"/>
      <c r="C47" s="58"/>
      <c r="D47" s="58"/>
      <c r="E47" s="58"/>
      <c r="F47" s="44"/>
      <c r="G47" s="44"/>
      <c r="H47" s="44"/>
      <c r="I47" s="44"/>
    </row>
    <row r="48" spans="1:9" ht="18">
      <c r="A48" s="33" t="str">
        <f>HLOOKUP(INDICE!$F$2,Nombres!$C$3:$D$636,65,FALSE)</f>
        <v>Indicadores relevantes y de gestión</v>
      </c>
      <c r="B48" s="34"/>
      <c r="C48" s="34"/>
      <c r="D48" s="34"/>
      <c r="E48" s="34"/>
      <c r="F48" s="68"/>
      <c r="G48" s="68"/>
      <c r="H48" s="68"/>
      <c r="I48" s="68"/>
    </row>
    <row r="49" spans="1:9" ht="15">
      <c r="A49" s="35" t="str">
        <f>HLOOKUP(INDICE!$F$2,Nombres!$C$3:$D$636,32,FALSE)</f>
        <v>(Millones de euros)</v>
      </c>
      <c r="B49" s="30"/>
      <c r="C49" s="30"/>
      <c r="D49" s="30"/>
      <c r="E49" s="30"/>
      <c r="F49" s="69"/>
      <c r="G49" s="44"/>
      <c r="H49" s="44"/>
      <c r="I49" s="44"/>
    </row>
    <row r="50" spans="1:9" ht="15.75">
      <c r="A50" s="30"/>
      <c r="B50" s="53">
        <f aca="true" t="shared" si="7" ref="B50:I50">+B$30</f>
        <v>44651</v>
      </c>
      <c r="C50" s="53">
        <f t="shared" si="7"/>
        <v>44742</v>
      </c>
      <c r="D50" s="53">
        <f t="shared" si="7"/>
        <v>44834</v>
      </c>
      <c r="E50" s="67">
        <f t="shared" si="7"/>
        <v>44926</v>
      </c>
      <c r="F50" s="53">
        <f t="shared" si="7"/>
        <v>45016</v>
      </c>
      <c r="G50" s="53">
        <f t="shared" si="7"/>
        <v>45107</v>
      </c>
      <c r="H50" s="53">
        <f t="shared" si="7"/>
        <v>45199</v>
      </c>
      <c r="I50" s="53">
        <f t="shared" si="7"/>
        <v>45291</v>
      </c>
    </row>
    <row r="51" spans="1:9" ht="15">
      <c r="A51" s="43" t="str">
        <f>HLOOKUP(INDICE!$F$2,Nombres!$C$3:$D$636,66,FALSE)</f>
        <v>Préstamos y anticipos a la clientela bruto (*)</v>
      </c>
      <c r="B51" s="44">
        <v>3440.7780000000002</v>
      </c>
      <c r="C51" s="44">
        <v>4070.143</v>
      </c>
      <c r="D51" s="44">
        <v>4122.979</v>
      </c>
      <c r="E51" s="45">
        <v>3893.913</v>
      </c>
      <c r="F51" s="44">
        <v>3925.184</v>
      </c>
      <c r="G51" s="44">
        <v>3944.527</v>
      </c>
      <c r="H51" s="44">
        <v>3826.5640000000008</v>
      </c>
      <c r="I51" s="44">
        <v>2297.2189999999996</v>
      </c>
    </row>
    <row r="52" spans="1:9" ht="15">
      <c r="A52" s="43" t="str">
        <f>HLOOKUP(INDICE!$F$2,Nombres!$C$3:$D$636,67,FALSE)</f>
        <v>Depósitos de clientes en gestión (**)</v>
      </c>
      <c r="B52" s="44">
        <v>6466.274</v>
      </c>
      <c r="C52" s="44">
        <v>7491.320000000001</v>
      </c>
      <c r="D52" s="44">
        <v>7411.194</v>
      </c>
      <c r="E52" s="45">
        <v>6963.756</v>
      </c>
      <c r="F52" s="44">
        <v>6900.092</v>
      </c>
      <c r="G52" s="44">
        <v>7197.075</v>
      </c>
      <c r="H52" s="44">
        <v>6974.110000000001</v>
      </c>
      <c r="I52" s="44">
        <v>4059.907</v>
      </c>
    </row>
    <row r="53" spans="1:9" ht="15">
      <c r="A53" s="43" t="str">
        <f>HLOOKUP(INDICE!$F$2,Nombres!$C$3:$D$636,68,FALSE)</f>
        <v>Fondos de inversión y carteras gestionadas</v>
      </c>
      <c r="B53" s="44">
        <v>1985.78785607</v>
      </c>
      <c r="C53" s="44">
        <v>1986.68423752</v>
      </c>
      <c r="D53" s="44">
        <v>2336.8586472099996</v>
      </c>
      <c r="E53" s="45">
        <v>2302.8792526</v>
      </c>
      <c r="F53" s="44">
        <v>2312.63197179</v>
      </c>
      <c r="G53" s="44">
        <v>2266.12685729</v>
      </c>
      <c r="H53" s="44">
        <v>2398.57562386</v>
      </c>
      <c r="I53" s="44">
        <v>1443.78053249</v>
      </c>
    </row>
    <row r="54" spans="1:9" ht="15">
      <c r="A54" s="43" t="str">
        <f>HLOOKUP(INDICE!$F$2,Nombres!$C$3:$D$636,69,FALSE)</f>
        <v>Fondos de pensiones</v>
      </c>
      <c r="B54" s="44">
        <v>0</v>
      </c>
      <c r="C54" s="44">
        <v>0</v>
      </c>
      <c r="D54" s="44">
        <v>0</v>
      </c>
      <c r="E54" s="45">
        <v>0</v>
      </c>
      <c r="F54" s="44">
        <v>0</v>
      </c>
      <c r="G54" s="44">
        <v>0</v>
      </c>
      <c r="H54" s="44">
        <v>0</v>
      </c>
      <c r="I54" s="44">
        <v>0</v>
      </c>
    </row>
    <row r="55" spans="1:9" ht="15">
      <c r="A55" s="43" t="str">
        <f>HLOOKUP(INDICE!$F$2,Nombres!$C$3:$D$636,70,FALSE)</f>
        <v>Otros recursos fuera de balance</v>
      </c>
      <c r="B55" s="44">
        <v>0</v>
      </c>
      <c r="C55" s="44">
        <v>0</v>
      </c>
      <c r="D55" s="44">
        <v>0</v>
      </c>
      <c r="E55" s="45">
        <v>0</v>
      </c>
      <c r="F55" s="44">
        <v>0</v>
      </c>
      <c r="G55" s="44">
        <v>0</v>
      </c>
      <c r="H55" s="44">
        <v>0</v>
      </c>
      <c r="I55" s="44">
        <v>0</v>
      </c>
    </row>
    <row r="56" spans="1:9" ht="15">
      <c r="A56" s="62" t="str">
        <f>HLOOKUP(INDICE!$F$2,Nombres!$C$3:$D$636,71,FALSE)</f>
        <v>(*) No incluye las adquisiciones temporales de activos.</v>
      </c>
      <c r="B56" s="58"/>
      <c r="C56" s="58"/>
      <c r="D56" s="58"/>
      <c r="E56" s="58"/>
      <c r="F56" s="58"/>
      <c r="G56" s="58"/>
      <c r="H56" s="58"/>
      <c r="I56" s="58"/>
    </row>
    <row r="57" spans="1:9" ht="15">
      <c r="A57" s="62" t="str">
        <f>HLOOKUP(INDICE!$F$2,Nombres!$C$3:$D$636,72,FALSE)</f>
        <v>(**) No incluye las cesiones temporales de activos.</v>
      </c>
      <c r="B57" s="30"/>
      <c r="C57" s="30"/>
      <c r="D57" s="30"/>
      <c r="E57" s="30"/>
      <c r="F57" s="30"/>
      <c r="G57" s="30"/>
      <c r="H57" s="30"/>
      <c r="I57" s="30"/>
    </row>
    <row r="58" spans="1:9" ht="15">
      <c r="A58" s="62"/>
      <c r="B58" s="30"/>
      <c r="C58" s="30"/>
      <c r="D58" s="30"/>
      <c r="E58" s="30"/>
      <c r="F58" s="30"/>
      <c r="G58" s="30"/>
      <c r="H58" s="30"/>
      <c r="I58" s="30"/>
    </row>
    <row r="59" spans="1:9" ht="18">
      <c r="A59" s="33" t="str">
        <f>HLOOKUP(INDICE!$F$2,Nombres!$C$3:$D$636,31,FALSE)</f>
        <v>Cuenta de resultados  </v>
      </c>
      <c r="B59" s="34"/>
      <c r="C59" s="34"/>
      <c r="D59" s="34"/>
      <c r="E59" s="34"/>
      <c r="F59" s="34"/>
      <c r="G59" s="34"/>
      <c r="H59" s="34"/>
      <c r="I59" s="34"/>
    </row>
    <row r="60" spans="1:9" ht="15">
      <c r="A60" s="35" t="str">
        <f>HLOOKUP(INDICE!$F$2,Nombres!$C$3:$D$636,73,FALSE)</f>
        <v>(Millones de euros constantes)</v>
      </c>
      <c r="B60" s="30"/>
      <c r="C60" s="36"/>
      <c r="D60" s="36"/>
      <c r="E60" s="36"/>
      <c r="F60" s="30"/>
      <c r="G60" s="30"/>
      <c r="H60" s="30"/>
      <c r="I60" s="30"/>
    </row>
    <row r="61" spans="1:9" ht="15">
      <c r="A61" s="37"/>
      <c r="B61" s="30"/>
      <c r="C61" s="36"/>
      <c r="D61" s="36"/>
      <c r="E61" s="36"/>
      <c r="F61" s="30"/>
      <c r="G61" s="30"/>
      <c r="H61" s="30"/>
      <c r="I61" s="30"/>
    </row>
    <row r="62" spans="1:9" ht="15.75">
      <c r="A62" s="38"/>
      <c r="B62" s="301">
        <f>+B$6</f>
        <v>2022</v>
      </c>
      <c r="C62" s="301"/>
      <c r="D62" s="301"/>
      <c r="E62" s="302"/>
      <c r="F62" s="301">
        <f>+F$6</f>
        <v>2023</v>
      </c>
      <c r="G62" s="301"/>
      <c r="H62" s="301"/>
      <c r="I62" s="301"/>
    </row>
    <row r="63" spans="1:9" ht="15.75">
      <c r="A63" s="38"/>
      <c r="B63" s="39" t="str">
        <f>+B$7</f>
        <v>1er Trim.</v>
      </c>
      <c r="C63" s="39" t="str">
        <f aca="true" t="shared" si="8" ref="C63:I63">+C$7</f>
        <v>2º Trim.</v>
      </c>
      <c r="D63" s="39" t="str">
        <f t="shared" si="8"/>
        <v>3er Trim.</v>
      </c>
      <c r="E63" s="40" t="str">
        <f t="shared" si="8"/>
        <v>4º Trim.</v>
      </c>
      <c r="F63" s="39" t="str">
        <f t="shared" si="8"/>
        <v>1er Trim.</v>
      </c>
      <c r="G63" s="39" t="str">
        <f t="shared" si="8"/>
        <v>2º Trim.</v>
      </c>
      <c r="H63" s="39" t="str">
        <f t="shared" si="8"/>
        <v>3er Trim.</v>
      </c>
      <c r="I63" s="39" t="str">
        <f t="shared" si="8"/>
        <v>4º Trim.</v>
      </c>
    </row>
    <row r="64" spans="1:9" ht="15">
      <c r="A64" s="41" t="str">
        <f>HLOOKUP(INDICE!$F$2,Nombres!$C$3:$D$636,33,FALSE)</f>
        <v>Margen de intereses</v>
      </c>
      <c r="B64" s="41">
        <v>55.51736565398812</v>
      </c>
      <c r="C64" s="41">
        <v>128.98784464028972</v>
      </c>
      <c r="D64" s="41">
        <v>249.83093967967386</v>
      </c>
      <c r="E64" s="42">
        <v>264.20102694450645</v>
      </c>
      <c r="F64" s="50">
        <v>175.1479321009299</v>
      </c>
      <c r="G64" s="50">
        <v>367.10558702796726</v>
      </c>
      <c r="H64" s="50">
        <v>620.9551764540603</v>
      </c>
      <c r="I64" s="50">
        <v>716.6283044170423</v>
      </c>
    </row>
    <row r="65" spans="1:9" ht="15">
      <c r="A65" s="43" t="str">
        <f>HLOOKUP(INDICE!$F$2,Nombres!$C$3:$D$636,34,FALSE)</f>
        <v>Comisiones netas</v>
      </c>
      <c r="B65" s="44">
        <v>10.311013349726085</v>
      </c>
      <c r="C65" s="44">
        <v>22.112793434239702</v>
      </c>
      <c r="D65" s="44">
        <v>34.78027056979134</v>
      </c>
      <c r="E65" s="45">
        <v>27.931344024999152</v>
      </c>
      <c r="F65" s="44">
        <v>14.350343875637716</v>
      </c>
      <c r="G65" s="44">
        <v>38.84314396085008</v>
      </c>
      <c r="H65" s="44">
        <v>47.57155590326976</v>
      </c>
      <c r="I65" s="44">
        <v>60.68730197024246</v>
      </c>
    </row>
    <row r="66" spans="1:9" ht="15">
      <c r="A66" s="43" t="str">
        <f>HLOOKUP(INDICE!$F$2,Nombres!$C$3:$D$636,35,FALSE)</f>
        <v>Resultados de operaciones financieras</v>
      </c>
      <c r="B66" s="44">
        <v>5.770164730719928</v>
      </c>
      <c r="C66" s="44">
        <v>13.234944117756715</v>
      </c>
      <c r="D66" s="44">
        <v>24.489322060866968</v>
      </c>
      <c r="E66" s="45">
        <v>16.31823681317427</v>
      </c>
      <c r="F66" s="44">
        <v>10.270764354706708</v>
      </c>
      <c r="G66" s="44">
        <v>25.61908607251912</v>
      </c>
      <c r="H66" s="44">
        <v>45.003245728523126</v>
      </c>
      <c r="I66" s="44">
        <v>220.27876616425104</v>
      </c>
    </row>
    <row r="67" spans="1:9" ht="15">
      <c r="A67" s="43" t="str">
        <f>HLOOKUP(INDICE!$F$2,Nombres!$C$3:$D$636,36,FALSE)</f>
        <v>Otros ingresos y cargas de explotación</v>
      </c>
      <c r="B67" s="44">
        <v>-148.28616773829597</v>
      </c>
      <c r="C67" s="44">
        <v>-224.72254256080146</v>
      </c>
      <c r="D67" s="44">
        <v>-318.9688827352335</v>
      </c>
      <c r="E67" s="45">
        <v>-164.69037197107525</v>
      </c>
      <c r="F67" s="44">
        <v>-257.42020164576513</v>
      </c>
      <c r="G67" s="44">
        <v>-378.05809924899074</v>
      </c>
      <c r="H67" s="44">
        <v>-463.26802957288163</v>
      </c>
      <c r="I67" s="44">
        <v>-202.88766953236268</v>
      </c>
    </row>
    <row r="68" spans="1:9" ht="15">
      <c r="A68" s="41" t="str">
        <f>HLOOKUP(INDICE!$F$2,Nombres!$C$3:$D$636,37,FALSE)</f>
        <v>Margen bruto</v>
      </c>
      <c r="B68" s="41">
        <f>+SUM(B64:B67)</f>
        <v>-76.68762400386184</v>
      </c>
      <c r="C68" s="41">
        <f aca="true" t="shared" si="9" ref="C68:I68">+SUM(C64:C67)</f>
        <v>-60.386960368515304</v>
      </c>
      <c r="D68" s="41">
        <f t="shared" si="9"/>
        <v>-9.86835042490128</v>
      </c>
      <c r="E68" s="42">
        <f t="shared" si="9"/>
        <v>143.76023581160462</v>
      </c>
      <c r="F68" s="50">
        <f t="shared" si="9"/>
        <v>-57.65116131449082</v>
      </c>
      <c r="G68" s="50">
        <f t="shared" si="9"/>
        <v>53.509717812345684</v>
      </c>
      <c r="H68" s="50">
        <f t="shared" si="9"/>
        <v>250.26194851297151</v>
      </c>
      <c r="I68" s="50">
        <f t="shared" si="9"/>
        <v>794.7067030191731</v>
      </c>
    </row>
    <row r="69" spans="1:9" ht="15">
      <c r="A69" s="43" t="str">
        <f>HLOOKUP(INDICE!$F$2,Nombres!$C$3:$D$636,38,FALSE)</f>
        <v>Gastos de explotación</v>
      </c>
      <c r="B69" s="44">
        <v>-27.43668197152277</v>
      </c>
      <c r="C69" s="44">
        <v>-72.56277667006374</v>
      </c>
      <c r="D69" s="44">
        <v>-120.74518517578146</v>
      </c>
      <c r="E69" s="45">
        <v>-107.19066374389702</v>
      </c>
      <c r="F69" s="44">
        <v>-64.22786272974523</v>
      </c>
      <c r="G69" s="44">
        <v>-121.96681831062762</v>
      </c>
      <c r="H69" s="44">
        <v>-202.55997085423297</v>
      </c>
      <c r="I69" s="44">
        <v>-169.53190954539417</v>
      </c>
    </row>
    <row r="70" spans="1:9" ht="15">
      <c r="A70" s="43" t="str">
        <f>HLOOKUP(INDICE!$F$2,Nombres!$C$3:$D$636,39,FALSE)</f>
        <v>  Gastos de administración</v>
      </c>
      <c r="B70" s="44">
        <v>-25.574188643833935</v>
      </c>
      <c r="C70" s="44">
        <v>-59.68157971053196</v>
      </c>
      <c r="D70" s="44">
        <v>-108.266533874044</v>
      </c>
      <c r="E70" s="45">
        <v>-96.99635305493882</v>
      </c>
      <c r="F70" s="44">
        <v>-56.593590433018036</v>
      </c>
      <c r="G70" s="44">
        <v>-110.92179135165483</v>
      </c>
      <c r="H70" s="44">
        <v>-190.60151856771253</v>
      </c>
      <c r="I70" s="44">
        <v>-169.77366108761456</v>
      </c>
    </row>
    <row r="71" spans="1:9" ht="15">
      <c r="A71" s="46" t="str">
        <f>HLOOKUP(INDICE!$F$2,Nombres!$C$3:$D$636,40,FALSE)</f>
        <v>  Gastos de personal</v>
      </c>
      <c r="B71" s="44">
        <v>-13.619303430203168</v>
      </c>
      <c r="C71" s="44">
        <v>-31.72155178399629</v>
      </c>
      <c r="D71" s="44">
        <v>-56.41341149840129</v>
      </c>
      <c r="E71" s="45">
        <v>-51.33640483166098</v>
      </c>
      <c r="F71" s="44">
        <v>-29.791387508299216</v>
      </c>
      <c r="G71" s="44">
        <v>-56.89873324038332</v>
      </c>
      <c r="H71" s="44">
        <v>-97.76230011531536</v>
      </c>
      <c r="I71" s="44">
        <v>-99.15757913600208</v>
      </c>
    </row>
    <row r="72" spans="1:9" ht="15">
      <c r="A72" s="46" t="str">
        <f>HLOOKUP(INDICE!$F$2,Nombres!$C$3:$D$636,41,FALSE)</f>
        <v>  Otros gastos de administración</v>
      </c>
      <c r="B72" s="44">
        <v>-11.954885213630764</v>
      </c>
      <c r="C72" s="44">
        <v>-27.96002792653568</v>
      </c>
      <c r="D72" s="44">
        <v>-51.853122375642705</v>
      </c>
      <c r="E72" s="45">
        <v>-45.65994822327784</v>
      </c>
      <c r="F72" s="44">
        <v>-26.802202924718827</v>
      </c>
      <c r="G72" s="44">
        <v>-54.02305811127151</v>
      </c>
      <c r="H72" s="44">
        <v>-92.8392184523972</v>
      </c>
      <c r="I72" s="44">
        <v>-70.61608195161246</v>
      </c>
    </row>
    <row r="73" spans="1:9" ht="15">
      <c r="A73" s="43" t="str">
        <f>HLOOKUP(INDICE!$F$2,Nombres!$C$3:$D$636,42,FALSE)</f>
        <v>  Amortización</v>
      </c>
      <c r="B73" s="44">
        <v>-1.8624933276888376</v>
      </c>
      <c r="C73" s="44">
        <v>-12.881196959531776</v>
      </c>
      <c r="D73" s="44">
        <v>-12.47865130173746</v>
      </c>
      <c r="E73" s="45">
        <v>-10.194310688958186</v>
      </c>
      <c r="F73" s="44">
        <v>-7.634272296727184</v>
      </c>
      <c r="G73" s="44">
        <v>-11.045026958972787</v>
      </c>
      <c r="H73" s="44">
        <v>-11.95845228652043</v>
      </c>
      <c r="I73" s="44">
        <v>0.24175154222040085</v>
      </c>
    </row>
    <row r="74" spans="1:9" ht="15">
      <c r="A74" s="41" t="str">
        <f>HLOOKUP(INDICE!$F$2,Nombres!$C$3:$D$636,43,FALSE)</f>
        <v>Margen neto</v>
      </c>
      <c r="B74" s="41">
        <f>+B68+B69</f>
        <v>-104.12430597538462</v>
      </c>
      <c r="C74" s="41">
        <f aca="true" t="shared" si="10" ref="C74:I74">+C68+C69</f>
        <v>-132.94973703857903</v>
      </c>
      <c r="D74" s="41">
        <f t="shared" si="10"/>
        <v>-130.61353560068272</v>
      </c>
      <c r="E74" s="42">
        <f t="shared" si="10"/>
        <v>36.5695720677076</v>
      </c>
      <c r="F74" s="50">
        <f t="shared" si="10"/>
        <v>-121.87902404423605</v>
      </c>
      <c r="G74" s="50">
        <f t="shared" si="10"/>
        <v>-68.45710049828193</v>
      </c>
      <c r="H74" s="50">
        <f t="shared" si="10"/>
        <v>47.70197765873854</v>
      </c>
      <c r="I74" s="50">
        <f t="shared" si="10"/>
        <v>625.1747934737789</v>
      </c>
    </row>
    <row r="75" spans="1:9" ht="15">
      <c r="A75" s="43" t="str">
        <f>HLOOKUP(INDICE!$F$2,Nombres!$C$3:$D$636,44,FALSE)</f>
        <v>Deterioro de activos financieros no valorados a valor razonable con cambios en resultados</v>
      </c>
      <c r="B75" s="44">
        <v>-8.686768852990607</v>
      </c>
      <c r="C75" s="44">
        <v>-8.13576211337235</v>
      </c>
      <c r="D75" s="44">
        <v>-21.77570036069381</v>
      </c>
      <c r="E75" s="45">
        <v>-27.150874598272786</v>
      </c>
      <c r="F75" s="44">
        <v>-13.273843035024164</v>
      </c>
      <c r="G75" s="44">
        <v>-43.24385807606856</v>
      </c>
      <c r="H75" s="44">
        <v>-49.61294784272786</v>
      </c>
      <c r="I75" s="44">
        <v>-38.927351046179425</v>
      </c>
    </row>
    <row r="76" spans="1:9" ht="15">
      <c r="A76" s="43" t="str">
        <f>HLOOKUP(INDICE!$F$2,Nombres!$C$3:$D$636,45,FALSE)</f>
        <v>Provisiones o reversión de provisiones y otros resultados</v>
      </c>
      <c r="B76" s="44">
        <v>-0.7940016246203074</v>
      </c>
      <c r="C76" s="44">
        <v>-2.679256855352431</v>
      </c>
      <c r="D76" s="44">
        <v>-3.366994695994962</v>
      </c>
      <c r="E76" s="45">
        <v>-10.751080554378307</v>
      </c>
      <c r="F76" s="44">
        <v>-1.80443782570589</v>
      </c>
      <c r="G76" s="44">
        <v>-4.766934325821511</v>
      </c>
      <c r="H76" s="44">
        <v>-4.092022674806939</v>
      </c>
      <c r="I76" s="44">
        <v>-15.87160517366566</v>
      </c>
    </row>
    <row r="77" spans="1:9" ht="15">
      <c r="A77" s="41" t="str">
        <f>HLOOKUP(INDICE!$F$2,Nombres!$C$3:$D$636,46,FALSE)</f>
        <v>Resultado antes de impuestos</v>
      </c>
      <c r="B77" s="41">
        <f>+B74+B75+B76</f>
        <v>-113.60507645299553</v>
      </c>
      <c r="C77" s="41">
        <f aca="true" t="shared" si="11" ref="C77:I77">+C74+C75+C76</f>
        <v>-143.76475600730382</v>
      </c>
      <c r="D77" s="41">
        <f t="shared" si="11"/>
        <v>-155.7562306573715</v>
      </c>
      <c r="E77" s="42">
        <f t="shared" si="11"/>
        <v>-1.3323830849434959</v>
      </c>
      <c r="F77" s="50">
        <f t="shared" si="11"/>
        <v>-136.9573049049661</v>
      </c>
      <c r="G77" s="50">
        <f t="shared" si="11"/>
        <v>-116.467892900172</v>
      </c>
      <c r="H77" s="50">
        <f t="shared" si="11"/>
        <v>-6.00299285879626</v>
      </c>
      <c r="I77" s="50">
        <f t="shared" si="11"/>
        <v>570.3758372539338</v>
      </c>
    </row>
    <row r="78" spans="1:9" ht="15">
      <c r="A78" s="43" t="str">
        <f>HLOOKUP(INDICE!$F$2,Nombres!$C$3:$D$636,47,FALSE)</f>
        <v>Impuesto sobre beneficios</v>
      </c>
      <c r="B78" s="44">
        <v>36.856726154028536</v>
      </c>
      <c r="C78" s="44">
        <v>127.08261078591042</v>
      </c>
      <c r="D78" s="44">
        <v>80.39879656303228</v>
      </c>
      <c r="E78" s="45">
        <v>-3.510407626199207</v>
      </c>
      <c r="F78" s="44">
        <v>49.07307222952141</v>
      </c>
      <c r="G78" s="44">
        <v>36.686416228098025</v>
      </c>
      <c r="H78" s="44">
        <v>16.676529789490292</v>
      </c>
      <c r="I78" s="44">
        <v>-222.59147783710972</v>
      </c>
    </row>
    <row r="79" spans="1:9" ht="15">
      <c r="A79" s="41" t="str">
        <f>HLOOKUP(INDICE!$F$2,Nombres!$C$3:$D$636,48,FALSE)</f>
        <v>Resultado del ejercicio</v>
      </c>
      <c r="B79" s="41">
        <f>+B77+B78</f>
        <v>-76.748350298967</v>
      </c>
      <c r="C79" s="41">
        <f aca="true" t="shared" si="12" ref="C79:I79">+C77+C78</f>
        <v>-16.682145221393398</v>
      </c>
      <c r="D79" s="41">
        <f t="shared" si="12"/>
        <v>-75.35743409433923</v>
      </c>
      <c r="E79" s="42">
        <f t="shared" si="12"/>
        <v>-4.842790711142703</v>
      </c>
      <c r="F79" s="50">
        <f t="shared" si="12"/>
        <v>-87.88423267544468</v>
      </c>
      <c r="G79" s="50">
        <f t="shared" si="12"/>
        <v>-79.78147667207398</v>
      </c>
      <c r="H79" s="50">
        <f t="shared" si="12"/>
        <v>10.673536930694032</v>
      </c>
      <c r="I79" s="50">
        <f t="shared" si="12"/>
        <v>347.7843594168241</v>
      </c>
    </row>
    <row r="80" spans="1:9" ht="15">
      <c r="A80" s="43" t="str">
        <f>HLOOKUP(INDICE!$F$2,Nombres!$C$3:$D$636,49,FALSE)</f>
        <v>Minoritarios</v>
      </c>
      <c r="B80" s="44">
        <v>25.96298985650856</v>
      </c>
      <c r="C80" s="44">
        <v>5.724000817931255</v>
      </c>
      <c r="D80" s="44">
        <v>25.6602681444865</v>
      </c>
      <c r="E80" s="45">
        <v>2.0940407064805786</v>
      </c>
      <c r="F80" s="44">
        <v>29.568326254291158</v>
      </c>
      <c r="G80" s="44">
        <v>27.63264564907214</v>
      </c>
      <c r="H80" s="44">
        <v>-3.2327023128486836</v>
      </c>
      <c r="I80" s="44">
        <v>-112.50346772051464</v>
      </c>
    </row>
    <row r="81" spans="1:9" ht="15">
      <c r="A81" s="47" t="str">
        <f>HLOOKUP(INDICE!$F$2,Nombres!$C$3:$D$636,50,FALSE)</f>
        <v>Resultado atribuido</v>
      </c>
      <c r="B81" s="47">
        <f>+B79+B80</f>
        <v>-50.78536044245844</v>
      </c>
      <c r="C81" s="47">
        <f aca="true" t="shared" si="13" ref="C81:I81">+C79+C80</f>
        <v>-10.958144403462143</v>
      </c>
      <c r="D81" s="47">
        <f t="shared" si="13"/>
        <v>-49.697165949852725</v>
      </c>
      <c r="E81" s="47">
        <f t="shared" si="13"/>
        <v>-2.7487500046621243</v>
      </c>
      <c r="F81" s="51">
        <f t="shared" si="13"/>
        <v>-58.31590642115352</v>
      </c>
      <c r="G81" s="51">
        <f t="shared" si="13"/>
        <v>-52.14883102300184</v>
      </c>
      <c r="H81" s="51">
        <f t="shared" si="13"/>
        <v>7.440834617845349</v>
      </c>
      <c r="I81" s="51">
        <f t="shared" si="13"/>
        <v>235.28089169630945</v>
      </c>
    </row>
    <row r="82" spans="1:9" ht="15">
      <c r="A82" s="62"/>
      <c r="B82" s="63">
        <v>0</v>
      </c>
      <c r="C82" s="63">
        <v>7.815970093361102E-14</v>
      </c>
      <c r="D82" s="63">
        <v>9.237055564881302E-14</v>
      </c>
      <c r="E82" s="63">
        <v>5.329070518200751E-15</v>
      </c>
      <c r="F82" s="63">
        <v>0</v>
      </c>
      <c r="G82" s="63">
        <v>0</v>
      </c>
      <c r="H82" s="63">
        <v>-1.971756091734278E-13</v>
      </c>
      <c r="I82" s="63">
        <v>0</v>
      </c>
    </row>
    <row r="83" spans="1:9" ht="15">
      <c r="A83" s="41"/>
      <c r="B83" s="41"/>
      <c r="C83" s="41"/>
      <c r="D83" s="41"/>
      <c r="E83" s="41"/>
      <c r="F83" s="50"/>
      <c r="G83" s="50"/>
      <c r="H83" s="50"/>
      <c r="I83" s="50"/>
    </row>
    <row r="84" spans="1:9" ht="18">
      <c r="A84" s="33" t="str">
        <f>HLOOKUP(INDICE!$F$2,Nombres!$C$3:$D$636,51,FALSE)</f>
        <v>Balances</v>
      </c>
      <c r="B84" s="34"/>
      <c r="C84" s="34"/>
      <c r="D84" s="34"/>
      <c r="E84" s="34"/>
      <c r="F84" s="68"/>
      <c r="G84" s="68"/>
      <c r="H84" s="68"/>
      <c r="I84" s="68"/>
    </row>
    <row r="85" spans="1:9" ht="15">
      <c r="A85" s="35" t="str">
        <f>HLOOKUP(INDICE!$F$2,Nombres!$C$3:$D$636,73,FALSE)</f>
        <v>(Millones de euros constantes)</v>
      </c>
      <c r="B85" s="30"/>
      <c r="C85" s="52"/>
      <c r="D85" s="52"/>
      <c r="E85" s="52"/>
      <c r="F85" s="69"/>
      <c r="G85" s="44"/>
      <c r="H85" s="44"/>
      <c r="I85" s="44"/>
    </row>
    <row r="86" spans="1:9" ht="15.75">
      <c r="A86" s="30"/>
      <c r="B86" s="53">
        <f aca="true" t="shared" si="14" ref="B86:I86">+B$30</f>
        <v>44651</v>
      </c>
      <c r="C86" s="53">
        <f t="shared" si="14"/>
        <v>44742</v>
      </c>
      <c r="D86" s="53">
        <f t="shared" si="14"/>
        <v>44834</v>
      </c>
      <c r="E86" s="67">
        <f t="shared" si="14"/>
        <v>44926</v>
      </c>
      <c r="F86" s="53">
        <f t="shared" si="14"/>
        <v>45016</v>
      </c>
      <c r="G86" s="53">
        <f t="shared" si="14"/>
        <v>45107</v>
      </c>
      <c r="H86" s="53">
        <f t="shared" si="14"/>
        <v>45199</v>
      </c>
      <c r="I86" s="53">
        <f t="shared" si="14"/>
        <v>45291</v>
      </c>
    </row>
    <row r="87" spans="1:9" ht="15">
      <c r="A87" s="43" t="str">
        <f>HLOOKUP(INDICE!$F$2,Nombres!$C$3:$D$636,52,FALSE)</f>
        <v>Efectivo, saldos en efectivo en bancos centrales y otros depósitos a la vista</v>
      </c>
      <c r="B87" s="44">
        <v>223.03901379440998</v>
      </c>
      <c r="C87" s="44">
        <v>212.1880198558919</v>
      </c>
      <c r="D87" s="44">
        <v>229.73857308858499</v>
      </c>
      <c r="E87" s="45">
        <v>338.90505381104725</v>
      </c>
      <c r="F87" s="44">
        <v>419.51340358493906</v>
      </c>
      <c r="G87" s="44">
        <v>420.595557635427</v>
      </c>
      <c r="H87" s="44">
        <v>536.2805088408626</v>
      </c>
      <c r="I87" s="44">
        <v>1283.7169999999999</v>
      </c>
    </row>
    <row r="88" spans="1:9" ht="15">
      <c r="A88" s="43" t="str">
        <f>HLOOKUP(INDICE!$F$2,Nombres!$C$3:$D$636,53,FALSE)</f>
        <v>Activos financieros a valor razonable</v>
      </c>
      <c r="B88" s="58">
        <v>407.02522391483507</v>
      </c>
      <c r="C88" s="58">
        <v>488.6515548837989</v>
      </c>
      <c r="D88" s="58">
        <v>604.204778697881</v>
      </c>
      <c r="E88" s="64">
        <v>742.539034784267</v>
      </c>
      <c r="F88" s="44">
        <v>806.5590036759695</v>
      </c>
      <c r="G88" s="44">
        <v>1232.3237243936312</v>
      </c>
      <c r="H88" s="44">
        <v>1419.9582514835847</v>
      </c>
      <c r="I88" s="44">
        <v>1273.306</v>
      </c>
    </row>
    <row r="89" spans="1:9" ht="15">
      <c r="A89" s="43" t="str">
        <f>HLOOKUP(INDICE!$F$2,Nombres!$C$3:$D$636,54,FALSE)</f>
        <v>Activos financieros a coste amortizado</v>
      </c>
      <c r="B89" s="44">
        <v>587.3820307910065</v>
      </c>
      <c r="C89" s="44">
        <v>765.3237048551148</v>
      </c>
      <c r="D89" s="44">
        <v>824.5721732213483</v>
      </c>
      <c r="E89" s="45">
        <v>941.1187237685544</v>
      </c>
      <c r="F89" s="44">
        <v>1214.626365050336</v>
      </c>
      <c r="G89" s="44">
        <v>1505.075937214113</v>
      </c>
      <c r="H89" s="44">
        <v>2031.6358212046127</v>
      </c>
      <c r="I89" s="44">
        <v>3795.879</v>
      </c>
    </row>
    <row r="90" spans="1:9" ht="15">
      <c r="A90" s="43" t="str">
        <f>HLOOKUP(INDICE!$F$2,Nombres!$C$3:$D$636,55,FALSE)</f>
        <v>    de los que préstamos y anticipos a la clientela</v>
      </c>
      <c r="B90" s="44">
        <v>461.15224927859816</v>
      </c>
      <c r="C90" s="44">
        <v>577.7605405472507</v>
      </c>
      <c r="D90" s="44">
        <v>644.9902509966176</v>
      </c>
      <c r="E90" s="45">
        <v>799.045275251622</v>
      </c>
      <c r="F90" s="44">
        <v>967.1379711012778</v>
      </c>
      <c r="G90" s="44">
        <v>1191.2121910400763</v>
      </c>
      <c r="H90" s="44">
        <v>1545.7475275506831</v>
      </c>
      <c r="I90" s="44">
        <v>2246.262</v>
      </c>
    </row>
    <row r="91" spans="1:9" ht="15" customHeight="1" hidden="1">
      <c r="A91" s="43"/>
      <c r="B91" s="44"/>
      <c r="C91" s="44"/>
      <c r="D91" s="44"/>
      <c r="E91" s="45"/>
      <c r="F91" s="44"/>
      <c r="G91" s="44"/>
      <c r="H91" s="44"/>
      <c r="I91" s="44"/>
    </row>
    <row r="92" spans="1:9" ht="15">
      <c r="A92" s="43" t="str">
        <f>HLOOKUP(INDICE!$F$2,Nombres!$C$3:$D$636,56,FALSE)</f>
        <v>Activos tangibles</v>
      </c>
      <c r="B92" s="44">
        <v>399.10980935642857</v>
      </c>
      <c r="C92" s="44">
        <v>472.9342720297429</v>
      </c>
      <c r="D92" s="44">
        <v>519.9242077954184</v>
      </c>
      <c r="E92" s="45">
        <v>489.7765651451951</v>
      </c>
      <c r="F92" s="44">
        <v>508.3879108965549</v>
      </c>
      <c r="G92" s="44">
        <v>533.6874074093505</v>
      </c>
      <c r="H92" s="44">
        <v>573.3639613957496</v>
      </c>
      <c r="I92" s="44">
        <v>407.97900000000004</v>
      </c>
    </row>
    <row r="93" spans="1:9" ht="15">
      <c r="A93" s="43" t="str">
        <f>HLOOKUP(INDICE!$F$2,Nombres!$C$3:$D$636,57,FALSE)</f>
        <v>Otros activos</v>
      </c>
      <c r="B93" s="58">
        <f>+B94-B92-B89-B88-B87</f>
        <v>54.43388114874597</v>
      </c>
      <c r="C93" s="58">
        <f aca="true" t="shared" si="15" ref="C93:I93">+C94-C92-C89-C88-C87</f>
        <v>65.00171954332242</v>
      </c>
      <c r="D93" s="58">
        <f t="shared" si="15"/>
        <v>71.74867746825123</v>
      </c>
      <c r="E93" s="64">
        <f t="shared" si="15"/>
        <v>84.9316159811413</v>
      </c>
      <c r="F93" s="44">
        <f t="shared" si="15"/>
        <v>103.50977557181943</v>
      </c>
      <c r="G93" s="44">
        <f t="shared" si="15"/>
        <v>109.01903286824904</v>
      </c>
      <c r="H93" s="44">
        <f t="shared" si="15"/>
        <v>160.2688375779295</v>
      </c>
      <c r="I93" s="44">
        <f t="shared" si="15"/>
        <v>198.1936570599994</v>
      </c>
    </row>
    <row r="94" spans="1:9" ht="15">
      <c r="A94" s="47" t="str">
        <f>HLOOKUP(INDICE!$F$2,Nombres!$C$3:$D$636,58,FALSE)</f>
        <v>Total activo / pasivo</v>
      </c>
      <c r="B94" s="47">
        <v>1670.989959005426</v>
      </c>
      <c r="C94" s="47">
        <v>2004.099271167871</v>
      </c>
      <c r="D94" s="47">
        <v>2250.188410271484</v>
      </c>
      <c r="E94" s="47">
        <v>2597.270993490205</v>
      </c>
      <c r="F94" s="51">
        <v>3052.596458779619</v>
      </c>
      <c r="G94" s="51">
        <v>3800.701659520771</v>
      </c>
      <c r="H94" s="51">
        <v>4721.507380502739</v>
      </c>
      <c r="I94" s="51">
        <v>6959.0746570599995</v>
      </c>
    </row>
    <row r="95" spans="1:9" ht="15">
      <c r="A95" s="43" t="str">
        <f>HLOOKUP(INDICE!$F$2,Nombres!$C$3:$D$636,59,FALSE)</f>
        <v>Pasivos financieros mantenidos para negociar y designados a valor razonable con cambios en resultados</v>
      </c>
      <c r="B95" s="58">
        <v>0.366705294162338</v>
      </c>
      <c r="C95" s="58">
        <v>0.16468069451800071</v>
      </c>
      <c r="D95" s="58">
        <v>0.6207088900839768</v>
      </c>
      <c r="E95" s="64">
        <v>0.3745742802713141</v>
      </c>
      <c r="F95" s="44">
        <v>0.5833802369799862</v>
      </c>
      <c r="G95" s="44">
        <v>50.69373558694651</v>
      </c>
      <c r="H95" s="44">
        <v>26.83190562620188</v>
      </c>
      <c r="I95" s="44">
        <v>13.974</v>
      </c>
    </row>
    <row r="96" spans="1:9" ht="15">
      <c r="A96" s="43" t="str">
        <f>HLOOKUP(INDICE!$F$2,Nombres!$C$3:$D$636,60,FALSE)</f>
        <v>Depósitos de bancos centrales y entidades de crédito</v>
      </c>
      <c r="B96" s="58">
        <v>16.10427879474189</v>
      </c>
      <c r="C96" s="58">
        <v>22.89119844858343</v>
      </c>
      <c r="D96" s="58">
        <v>19.442882920286355</v>
      </c>
      <c r="E96" s="64">
        <v>25.96112259424966</v>
      </c>
      <c r="F96" s="44">
        <v>31.652951394607477</v>
      </c>
      <c r="G96" s="44">
        <v>36.88583393734519</v>
      </c>
      <c r="H96" s="44">
        <v>33.41164726250808</v>
      </c>
      <c r="I96" s="44">
        <v>45.649</v>
      </c>
    </row>
    <row r="97" spans="1:9" ht="15">
      <c r="A97" s="43" t="str">
        <f>HLOOKUP(INDICE!$F$2,Nombres!$C$3:$D$636,61,FALSE)</f>
        <v>Depósitos de la clientela</v>
      </c>
      <c r="B97" s="58">
        <v>891.7701802573442</v>
      </c>
      <c r="C97" s="58">
        <v>1089.8195940429232</v>
      </c>
      <c r="D97" s="58">
        <v>1190.218370488235</v>
      </c>
      <c r="E97" s="64">
        <v>1470.3742343207696</v>
      </c>
      <c r="F97" s="44">
        <v>1753.2131124319285</v>
      </c>
      <c r="G97" s="44">
        <v>2244.4779059717325</v>
      </c>
      <c r="H97" s="44">
        <v>2896.5939870710463</v>
      </c>
      <c r="I97" s="44">
        <v>4059.9069999999997</v>
      </c>
    </row>
    <row r="98" spans="1:9" ht="15">
      <c r="A98" s="43" t="str">
        <f>HLOOKUP(INDICE!$F$2,Nombres!$C$3:$D$636,62,FALSE)</f>
        <v>Valores representativos de deuda emitidos</v>
      </c>
      <c r="B98" s="44">
        <v>34.724385075490964</v>
      </c>
      <c r="C98" s="44">
        <v>40.92842813231728</v>
      </c>
      <c r="D98" s="44">
        <v>47.775337628927936</v>
      </c>
      <c r="E98" s="45">
        <v>57.47039899116977</v>
      </c>
      <c r="F98" s="44">
        <v>82.90329281814148</v>
      </c>
      <c r="G98" s="44">
        <v>99.95662560968276</v>
      </c>
      <c r="H98" s="44">
        <v>92.87320222291696</v>
      </c>
      <c r="I98" s="44">
        <v>291.98419351</v>
      </c>
    </row>
    <row r="99" spans="1:9" ht="15" customHeight="1" hidden="1">
      <c r="A99" s="43"/>
      <c r="B99" s="44"/>
      <c r="C99" s="44"/>
      <c r="D99" s="44"/>
      <c r="E99" s="45"/>
      <c r="F99" s="44"/>
      <c r="G99" s="44"/>
      <c r="H99" s="44"/>
      <c r="I99" s="44"/>
    </row>
    <row r="100" spans="1:9" ht="15">
      <c r="A100" s="43" t="str">
        <f>HLOOKUP(INDICE!$F$2,Nombres!$C$3:$D$636,63,FALSE)</f>
        <v>Otros pasivos</v>
      </c>
      <c r="B100" s="58">
        <f>+B94-B95-B96-B97-B98-B101</f>
        <v>609.8945733745323</v>
      </c>
      <c r="C100" s="58">
        <f aca="true" t="shared" si="16" ref="C100:I100">+C94-C95-C96-C97-C98-C101</f>
        <v>714.424144543488</v>
      </c>
      <c r="D100" s="58">
        <f t="shared" si="16"/>
        <v>831.5217913692073</v>
      </c>
      <c r="E100" s="64">
        <f t="shared" si="16"/>
        <v>847.0810946785558</v>
      </c>
      <c r="F100" s="44">
        <f t="shared" si="16"/>
        <v>860.0374860681823</v>
      </c>
      <c r="G100" s="44">
        <f t="shared" si="16"/>
        <v>989.452975529671</v>
      </c>
      <c r="H100" s="44">
        <f t="shared" si="16"/>
        <v>1317.002558010324</v>
      </c>
      <c r="I100" s="44">
        <f t="shared" si="16"/>
        <v>1569.9580452399996</v>
      </c>
    </row>
    <row r="101" spans="1:9" ht="15">
      <c r="A101" s="43" t="str">
        <f>HLOOKUP(INDICE!$F$2,Nombres!$C$3:$D$636,282,FALSE)</f>
        <v>Dotación de capital regulatorio</v>
      </c>
      <c r="B101" s="58">
        <v>118.12983620915415</v>
      </c>
      <c r="C101" s="58">
        <v>135.87122530604097</v>
      </c>
      <c r="D101" s="58">
        <v>160.60931897474336</v>
      </c>
      <c r="E101" s="64">
        <v>196.00956862518925</v>
      </c>
      <c r="F101" s="44">
        <v>324.20623582977936</v>
      </c>
      <c r="G101" s="44">
        <v>379.2345828853933</v>
      </c>
      <c r="H101" s="44">
        <v>354.79408030974145</v>
      </c>
      <c r="I101" s="44">
        <v>977.60241831</v>
      </c>
    </row>
    <row r="102" spans="1:9" ht="15">
      <c r="A102" s="62"/>
      <c r="B102" s="58"/>
      <c r="C102" s="58"/>
      <c r="D102" s="58"/>
      <c r="E102" s="58"/>
      <c r="F102" s="44"/>
      <c r="G102" s="44"/>
      <c r="H102" s="44"/>
      <c r="I102" s="44"/>
    </row>
    <row r="103" spans="1:9" ht="15">
      <c r="A103" s="43"/>
      <c r="B103" s="58"/>
      <c r="C103" s="58"/>
      <c r="D103" s="58"/>
      <c r="E103" s="58"/>
      <c r="F103" s="44"/>
      <c r="G103" s="44"/>
      <c r="H103" s="44"/>
      <c r="I103" s="44"/>
    </row>
    <row r="104" spans="1:9" ht="18">
      <c r="A104" s="33" t="str">
        <f>HLOOKUP(INDICE!$F$2,Nombres!$C$3:$D$636,65,FALSE)</f>
        <v>Indicadores relevantes y de gestión</v>
      </c>
      <c r="B104" s="34"/>
      <c r="C104" s="34"/>
      <c r="D104" s="34"/>
      <c r="E104" s="34"/>
      <c r="F104" s="68"/>
      <c r="G104" s="68"/>
      <c r="H104" s="68"/>
      <c r="I104" s="68"/>
    </row>
    <row r="105" spans="1:9" ht="15">
      <c r="A105" s="35" t="str">
        <f>HLOOKUP(INDICE!$F$2,Nombres!$C$3:$D$636,73,FALSE)</f>
        <v>(Millones de euros constantes)</v>
      </c>
      <c r="B105" s="30"/>
      <c r="C105" s="30"/>
      <c r="D105" s="30"/>
      <c r="E105" s="30"/>
      <c r="F105" s="69"/>
      <c r="G105" s="44"/>
      <c r="H105" s="44"/>
      <c r="I105" s="44"/>
    </row>
    <row r="106" spans="1:9" ht="15.75">
      <c r="A106" s="30"/>
      <c r="B106" s="53">
        <f aca="true" t="shared" si="17" ref="B106:I106">+B$30</f>
        <v>44651</v>
      </c>
      <c r="C106" s="53">
        <f t="shared" si="17"/>
        <v>44742</v>
      </c>
      <c r="D106" s="53">
        <f t="shared" si="17"/>
        <v>44834</v>
      </c>
      <c r="E106" s="67">
        <f t="shared" si="17"/>
        <v>44926</v>
      </c>
      <c r="F106" s="53">
        <f t="shared" si="17"/>
        <v>45016</v>
      </c>
      <c r="G106" s="53">
        <f t="shared" si="17"/>
        <v>45107</v>
      </c>
      <c r="H106" s="53">
        <f t="shared" si="17"/>
        <v>45199</v>
      </c>
      <c r="I106" s="53">
        <f t="shared" si="17"/>
        <v>45291</v>
      </c>
    </row>
    <row r="107" spans="1:9" ht="15">
      <c r="A107" s="43" t="str">
        <f>HLOOKUP(INDICE!$F$2,Nombres!$C$3:$D$636,66,FALSE)</f>
        <v>Préstamos y anticipos a la clientela bruto (*)</v>
      </c>
      <c r="B107" s="44">
        <v>474.5210637974055</v>
      </c>
      <c r="C107" s="44">
        <v>592.1148198123489</v>
      </c>
      <c r="D107" s="44">
        <v>662.1396426725862</v>
      </c>
      <c r="E107" s="45">
        <v>822.1869557013042</v>
      </c>
      <c r="F107" s="44">
        <v>997.3322178179662</v>
      </c>
      <c r="G107" s="44">
        <v>1230.1391469463583</v>
      </c>
      <c r="H107" s="44">
        <v>1589.3070619107716</v>
      </c>
      <c r="I107" s="44">
        <v>2297.2189999999996</v>
      </c>
    </row>
    <row r="108" spans="1:9" ht="15">
      <c r="A108" s="43" t="str">
        <f>HLOOKUP(INDICE!$F$2,Nombres!$C$3:$D$636,67,FALSE)</f>
        <v>Depósitos de clientes en gestión (**)</v>
      </c>
      <c r="B108" s="44">
        <v>891.7701802573441</v>
      </c>
      <c r="C108" s="44">
        <v>1089.819594042923</v>
      </c>
      <c r="D108" s="44">
        <v>1190.2183704882352</v>
      </c>
      <c r="E108" s="45">
        <v>1470.3742343207696</v>
      </c>
      <c r="F108" s="44">
        <v>1753.2131124319285</v>
      </c>
      <c r="G108" s="44">
        <v>2244.4779059717325</v>
      </c>
      <c r="H108" s="44">
        <v>2896.5939870710463</v>
      </c>
      <c r="I108" s="44">
        <v>4059.907</v>
      </c>
    </row>
    <row r="109" spans="1:9" ht="15">
      <c r="A109" s="43" t="str">
        <f>HLOOKUP(INDICE!$F$2,Nombres!$C$3:$D$636,68,FALSE)</f>
        <v>Fondos de inversión y carteras gestionadas</v>
      </c>
      <c r="B109" s="44">
        <v>273.8619480647416</v>
      </c>
      <c r="C109" s="44">
        <v>289.0181448964296</v>
      </c>
      <c r="D109" s="44">
        <v>375.2933860783603</v>
      </c>
      <c r="E109" s="45">
        <v>486.24539943313795</v>
      </c>
      <c r="F109" s="44">
        <v>587.6061793337731</v>
      </c>
      <c r="G109" s="44">
        <v>706.7137223547846</v>
      </c>
      <c r="H109" s="44">
        <v>996.2130981025621</v>
      </c>
      <c r="I109" s="44">
        <v>1443.78053249</v>
      </c>
    </row>
    <row r="110" spans="1:9" ht="15">
      <c r="A110" s="43" t="str">
        <f>HLOOKUP(INDICE!$F$2,Nombres!$C$3:$D$636,69,FALSE)</f>
        <v>Fondos de pensiones</v>
      </c>
      <c r="B110" s="44">
        <v>0</v>
      </c>
      <c r="C110" s="44">
        <v>0</v>
      </c>
      <c r="D110" s="44">
        <v>0</v>
      </c>
      <c r="E110" s="45">
        <v>0</v>
      </c>
      <c r="F110" s="44">
        <v>0</v>
      </c>
      <c r="G110" s="44">
        <v>0</v>
      </c>
      <c r="H110" s="44">
        <v>0</v>
      </c>
      <c r="I110" s="44">
        <v>0</v>
      </c>
    </row>
    <row r="111" spans="1:9" ht="15">
      <c r="A111" s="43" t="str">
        <f>HLOOKUP(INDICE!$F$2,Nombres!$C$3:$D$636,70,FALSE)</f>
        <v>Otros recursos fuera de balance</v>
      </c>
      <c r="B111" s="44">
        <v>0</v>
      </c>
      <c r="C111" s="44">
        <v>0</v>
      </c>
      <c r="D111" s="44">
        <v>0</v>
      </c>
      <c r="E111" s="45">
        <v>0</v>
      </c>
      <c r="F111" s="44">
        <v>0</v>
      </c>
      <c r="G111" s="44">
        <v>0</v>
      </c>
      <c r="H111" s="44">
        <v>0</v>
      </c>
      <c r="I111" s="44">
        <v>0</v>
      </c>
    </row>
    <row r="112" spans="1:9" ht="15">
      <c r="A112" s="62" t="str">
        <f>HLOOKUP(INDICE!$F$2,Nombres!$C$3:$D$636,71,FALSE)</f>
        <v>(*) No incluye las adquisiciones temporales de activos.</v>
      </c>
      <c r="B112" s="58"/>
      <c r="C112" s="58"/>
      <c r="D112" s="58"/>
      <c r="E112" s="58"/>
      <c r="F112" s="58"/>
      <c r="G112" s="58"/>
      <c r="H112" s="58"/>
      <c r="I112" s="58"/>
    </row>
    <row r="113" spans="1:9" ht="15">
      <c r="A113" s="62" t="str">
        <f>HLOOKUP(INDICE!$F$2,Nombres!$C$3:$D$636,72,FALSE)</f>
        <v>(**) No incluye las cesiones temporales de activos.</v>
      </c>
      <c r="B113" s="30"/>
      <c r="C113" s="30"/>
      <c r="D113" s="30"/>
      <c r="E113" s="30"/>
      <c r="F113" s="30"/>
      <c r="G113" s="30"/>
      <c r="H113" s="30"/>
      <c r="I113" s="30"/>
    </row>
    <row r="114" spans="1:9" ht="15">
      <c r="A114" s="62"/>
      <c r="B114" s="58"/>
      <c r="C114" s="44"/>
      <c r="D114" s="44"/>
      <c r="E114" s="44"/>
      <c r="F114" s="44"/>
      <c r="G114" s="30"/>
      <c r="H114" s="30"/>
      <c r="I114" s="30"/>
    </row>
    <row r="115" spans="1:9" ht="18">
      <c r="A115" s="33" t="str">
        <f>HLOOKUP(INDICE!$F$2,Nombres!$C$3:$D$636,31,FALSE)</f>
        <v>Cuenta de resultados  </v>
      </c>
      <c r="B115" s="34"/>
      <c r="C115" s="34"/>
      <c r="D115" s="34"/>
      <c r="E115" s="34"/>
      <c r="F115" s="34"/>
      <c r="G115" s="34"/>
      <c r="H115" s="34"/>
      <c r="I115" s="34"/>
    </row>
    <row r="116" spans="1:9" ht="15">
      <c r="A116" s="35" t="str">
        <f>HLOOKUP(INDICE!$F$2,Nombres!$C$3:$D$636,78,FALSE)</f>
        <v>(Millones de pesos argentinos)</v>
      </c>
      <c r="B116" s="30"/>
      <c r="C116" s="36"/>
      <c r="D116" s="36"/>
      <c r="E116" s="36"/>
      <c r="F116" s="30"/>
      <c r="G116" s="30"/>
      <c r="H116" s="30"/>
      <c r="I116" s="30"/>
    </row>
    <row r="117" spans="1:9" ht="15">
      <c r="A117" s="37"/>
      <c r="B117" s="30"/>
      <c r="C117" s="36"/>
      <c r="D117" s="36"/>
      <c r="E117" s="36"/>
      <c r="F117" s="30"/>
      <c r="G117" s="30"/>
      <c r="H117" s="30"/>
      <c r="I117" s="30"/>
    </row>
    <row r="118" spans="1:9" ht="15.75">
      <c r="A118" s="38"/>
      <c r="B118" s="301">
        <f>+B$6</f>
        <v>2022</v>
      </c>
      <c r="C118" s="301"/>
      <c r="D118" s="301"/>
      <c r="E118" s="302"/>
      <c r="F118" s="301">
        <f>+F$6</f>
        <v>2023</v>
      </c>
      <c r="G118" s="301"/>
      <c r="H118" s="301"/>
      <c r="I118" s="301"/>
    </row>
    <row r="119" spans="1:9" ht="15.75">
      <c r="A119" s="38"/>
      <c r="B119" s="39" t="str">
        <f>+B$7</f>
        <v>1er Trim.</v>
      </c>
      <c r="C119" s="39" t="str">
        <f aca="true" t="shared" si="18" ref="C119:I119">+C$7</f>
        <v>2º Trim.</v>
      </c>
      <c r="D119" s="39" t="str">
        <f t="shared" si="18"/>
        <v>3er Trim.</v>
      </c>
      <c r="E119" s="40" t="str">
        <f t="shared" si="18"/>
        <v>4º Trim.</v>
      </c>
      <c r="F119" s="39" t="str">
        <f t="shared" si="18"/>
        <v>1er Trim.</v>
      </c>
      <c r="G119" s="39" t="str">
        <f t="shared" si="18"/>
        <v>2º Trim.</v>
      </c>
      <c r="H119" s="39" t="str">
        <f t="shared" si="18"/>
        <v>3er Trim.</v>
      </c>
      <c r="I119" s="39" t="str">
        <f t="shared" si="18"/>
        <v>4º Trim.</v>
      </c>
    </row>
    <row r="120" spans="1:9" ht="15">
      <c r="A120" s="41" t="str">
        <f>HLOOKUP(INDICE!$F$2,Nombres!$C$3:$D$636,33,FALSE)</f>
        <v>Margen de intereses</v>
      </c>
      <c r="B120" s="41">
        <v>39255.376981208814</v>
      </c>
      <c r="C120" s="41">
        <v>62174.86435180591</v>
      </c>
      <c r="D120" s="41">
        <v>98416.01296423678</v>
      </c>
      <c r="E120" s="42">
        <v>143666.01224386902</v>
      </c>
      <c r="F120" s="50">
        <v>134555.78309684078</v>
      </c>
      <c r="G120" s="50">
        <v>227518.3254381512</v>
      </c>
      <c r="H120" s="50">
        <v>392122.4947691704</v>
      </c>
      <c r="I120" s="50">
        <v>924145.1327030751</v>
      </c>
    </row>
    <row r="121" spans="1:9" ht="15">
      <c r="A121" s="43" t="str">
        <f>HLOOKUP(INDICE!$F$2,Nombres!$C$3:$D$636,34,FALSE)</f>
        <v>Comisiones netas</v>
      </c>
      <c r="B121" s="44">
        <v>7500.7877446470375</v>
      </c>
      <c r="C121" s="44">
        <v>11485.081333382894</v>
      </c>
      <c r="D121" s="44">
        <v>12745.035927600224</v>
      </c>
      <c r="E121" s="45">
        <v>14679.966229370371</v>
      </c>
      <c r="F121" s="44">
        <v>11167.403848103886</v>
      </c>
      <c r="G121" s="44">
        <v>26918.784170752173</v>
      </c>
      <c r="H121" s="44">
        <v>28671.903773558704</v>
      </c>
      <c r="I121" s="44">
        <v>77388.56038081198</v>
      </c>
    </row>
    <row r="122" spans="1:9" ht="15">
      <c r="A122" s="43" t="str">
        <f>HLOOKUP(INDICE!$F$2,Nombres!$C$3:$D$636,35,FALSE)</f>
        <v>Resultados de operaciones financieras</v>
      </c>
      <c r="B122" s="44">
        <v>4189.318622586353</v>
      </c>
      <c r="C122" s="44">
        <v>4370.724426444238</v>
      </c>
      <c r="D122" s="44">
        <v>9428.153383298692</v>
      </c>
      <c r="E122" s="45">
        <v>7871.642187226968</v>
      </c>
      <c r="F122" s="44">
        <v>7967.88804720744</v>
      </c>
      <c r="G122" s="44">
        <v>18116.21701567333</v>
      </c>
      <c r="H122" s="44">
        <v>28490.036227456323</v>
      </c>
      <c r="I122" s="44">
        <v>214315.82429853128</v>
      </c>
    </row>
    <row r="123" spans="1:9" ht="15">
      <c r="A123" s="43" t="str">
        <f>HLOOKUP(INDICE!$F$2,Nombres!$C$3:$D$636,36,FALSE)</f>
        <v>Otros ingresos y cargas de explotación</v>
      </c>
      <c r="B123" s="44">
        <v>-22892.69034562647</v>
      </c>
      <c r="C123" s="44">
        <v>-35348.83249179063</v>
      </c>
      <c r="D123" s="44">
        <v>-58377.302871699314</v>
      </c>
      <c r="E123" s="45">
        <v>-71074.59796859634</v>
      </c>
      <c r="F123" s="44">
        <v>-69595.28437385114</v>
      </c>
      <c r="G123" s="44">
        <v>-132644.5235030981</v>
      </c>
      <c r="H123" s="44">
        <v>-247576.9043390036</v>
      </c>
      <c r="I123" s="44">
        <v>-712298.2303062151</v>
      </c>
    </row>
    <row r="124" spans="1:9" ht="15">
      <c r="A124" s="41" t="str">
        <f>HLOOKUP(INDICE!$F$2,Nombres!$C$3:$D$636,37,FALSE)</f>
        <v>Margen bruto</v>
      </c>
      <c r="B124" s="41">
        <f>+SUM(B120:B123)</f>
        <v>28052.793002815735</v>
      </c>
      <c r="C124" s="41">
        <f aca="true" t="shared" si="19" ref="C124:I124">+SUM(C120:C123)</f>
        <v>42681.83761984242</v>
      </c>
      <c r="D124" s="41">
        <f t="shared" si="19"/>
        <v>62211.899403436386</v>
      </c>
      <c r="E124" s="42">
        <f t="shared" si="19"/>
        <v>95143.02269187</v>
      </c>
      <c r="F124" s="50">
        <f t="shared" si="19"/>
        <v>84095.79061830096</v>
      </c>
      <c r="G124" s="50">
        <f t="shared" si="19"/>
        <v>139908.8031214786</v>
      </c>
      <c r="H124" s="50">
        <f t="shared" si="19"/>
        <v>201707.53043118177</v>
      </c>
      <c r="I124" s="50">
        <f t="shared" si="19"/>
        <v>503551.28707620315</v>
      </c>
    </row>
    <row r="125" spans="1:9" ht="15">
      <c r="A125" s="43" t="str">
        <f>HLOOKUP(INDICE!$F$2,Nombres!$C$3:$D$636,38,FALSE)</f>
        <v>Gastos de explotación</v>
      </c>
      <c r="B125" s="44">
        <v>-17932.92927224916</v>
      </c>
      <c r="C125" s="44">
        <v>-29052.84725754345</v>
      </c>
      <c r="D125" s="44">
        <v>-39981.70947096718</v>
      </c>
      <c r="E125" s="45">
        <v>-52769.805430817665</v>
      </c>
      <c r="F125" s="44">
        <v>-45537.59241725384</v>
      </c>
      <c r="G125" s="44">
        <v>-71752.841931909</v>
      </c>
      <c r="H125" s="44">
        <v>-127808.14164556176</v>
      </c>
      <c r="I125" s="44">
        <v>-253346.57468414854</v>
      </c>
    </row>
    <row r="126" spans="1:9" ht="15">
      <c r="A126" s="43" t="str">
        <f>HLOOKUP(INDICE!$F$2,Nombres!$C$3:$D$636,39,FALSE)</f>
        <v>  Gastos de administración</v>
      </c>
      <c r="B126" s="44">
        <v>-17212.011149491897</v>
      </c>
      <c r="C126" s="44">
        <v>-26839.68035362372</v>
      </c>
      <c r="D126" s="44">
        <v>-37424.643032343185</v>
      </c>
      <c r="E126" s="45">
        <v>-49026.20178813701</v>
      </c>
      <c r="F126" s="44">
        <v>-43119.36447744749</v>
      </c>
      <c r="G126" s="44">
        <v>-67632.64579031349</v>
      </c>
      <c r="H126" s="44">
        <v>-121136.22844926114</v>
      </c>
      <c r="I126" s="44">
        <v>-239418.98702065877</v>
      </c>
    </row>
    <row r="127" spans="1:9" ht="15">
      <c r="A127" s="46" t="str">
        <f>HLOOKUP(INDICE!$F$2,Nombres!$C$3:$D$636,40,FALSE)</f>
        <v>  Gastos de personal</v>
      </c>
      <c r="B127" s="44">
        <v>-9287.71561361275</v>
      </c>
      <c r="C127" s="44">
        <v>-14521.884323539281</v>
      </c>
      <c r="D127" s="44">
        <v>-19603.43179008423</v>
      </c>
      <c r="E127" s="45">
        <v>-26325.044310716305</v>
      </c>
      <c r="F127" s="44">
        <v>-22576.17678888639</v>
      </c>
      <c r="G127" s="44">
        <v>-34691.486058222246</v>
      </c>
      <c r="H127" s="44">
        <v>-62063.67773746962</v>
      </c>
      <c r="I127" s="44">
        <v>-133879.1770023256</v>
      </c>
    </row>
    <row r="128" spans="1:9" ht="15">
      <c r="A128" s="46" t="str">
        <f>HLOOKUP(INDICE!$F$2,Nombres!$C$3:$D$636,41,FALSE)</f>
        <v>  Otros gastos de administración</v>
      </c>
      <c r="B128" s="44">
        <v>-7924.295535879146</v>
      </c>
      <c r="C128" s="44">
        <v>-12317.796030084442</v>
      </c>
      <c r="D128" s="44">
        <v>-17821.211242258956</v>
      </c>
      <c r="E128" s="45">
        <v>-22701.15747742071</v>
      </c>
      <c r="F128" s="44">
        <v>-20543.1876885611</v>
      </c>
      <c r="G128" s="44">
        <v>-32941.159732091255</v>
      </c>
      <c r="H128" s="44">
        <v>-59072.55071179148</v>
      </c>
      <c r="I128" s="44">
        <v>-105539.81001833317</v>
      </c>
    </row>
    <row r="129" spans="1:9" ht="15">
      <c r="A129" s="43" t="str">
        <f>HLOOKUP(INDICE!$F$2,Nombres!$C$3:$D$636,42,FALSE)</f>
        <v>  Amortización</v>
      </c>
      <c r="B129" s="44">
        <v>-720.918122757257</v>
      </c>
      <c r="C129" s="44">
        <v>-2213.166903919725</v>
      </c>
      <c r="D129" s="44">
        <v>-2557.0664386239896</v>
      </c>
      <c r="E129" s="45">
        <v>-3743.6036426806527</v>
      </c>
      <c r="F129" s="44">
        <v>-2418.2279398063592</v>
      </c>
      <c r="G129" s="44">
        <v>-4120.196141595496</v>
      </c>
      <c r="H129" s="44">
        <v>-6671.91319630062</v>
      </c>
      <c r="I129" s="44">
        <v>-13927.587663489761</v>
      </c>
    </row>
    <row r="130" spans="1:9" ht="15">
      <c r="A130" s="41" t="str">
        <f>HLOOKUP(INDICE!$F$2,Nombres!$C$3:$D$636,43,FALSE)</f>
        <v>Margen neto</v>
      </c>
      <c r="B130" s="41">
        <f>+B124+B125</f>
        <v>10119.863730566576</v>
      </c>
      <c r="C130" s="41">
        <f aca="true" t="shared" si="20" ref="C130:I130">+C124+C125</f>
        <v>13628.990362298973</v>
      </c>
      <c r="D130" s="41">
        <f t="shared" si="20"/>
        <v>22230.189932469206</v>
      </c>
      <c r="E130" s="42">
        <f t="shared" si="20"/>
        <v>42373.21726105234</v>
      </c>
      <c r="F130" s="50">
        <f t="shared" si="20"/>
        <v>38558.19820104712</v>
      </c>
      <c r="G130" s="50">
        <f t="shared" si="20"/>
        <v>68155.96118956959</v>
      </c>
      <c r="H130" s="50">
        <f t="shared" si="20"/>
        <v>73899.38878562002</v>
      </c>
      <c r="I130" s="50">
        <f t="shared" si="20"/>
        <v>250204.71239205461</v>
      </c>
    </row>
    <row r="131" spans="1:9" ht="15">
      <c r="A131" s="43" t="str">
        <f>HLOOKUP(INDICE!$F$2,Nombres!$C$3:$D$636,44,FALSE)</f>
        <v>Deterioro de activos financieros no valorados a valor razonable con cambios en resultados</v>
      </c>
      <c r="B131" s="44">
        <v>-5830.017454215773</v>
      </c>
      <c r="C131" s="44">
        <v>-2525.9553703188435</v>
      </c>
      <c r="D131" s="44">
        <v>-8358.365569115002</v>
      </c>
      <c r="E131" s="45">
        <v>-15501.07661764088</v>
      </c>
      <c r="F131" s="44">
        <v>-10724.591377325087</v>
      </c>
      <c r="G131" s="44">
        <v>-28000.041747294905</v>
      </c>
      <c r="H131" s="44">
        <v>-27621.48155297296</v>
      </c>
      <c r="I131" s="44">
        <v>-63163.46277073785</v>
      </c>
    </row>
    <row r="132" spans="1:9" ht="15">
      <c r="A132" s="43" t="str">
        <f>HLOOKUP(INDICE!$F$2,Nombres!$C$3:$D$636,45,FALSE)</f>
        <v>Provisiones o reversión de provisiones y otros resultados</v>
      </c>
      <c r="B132" s="44">
        <v>-595.4500498128259</v>
      </c>
      <c r="C132" s="44">
        <v>-1678.693143285328</v>
      </c>
      <c r="D132" s="44">
        <v>-766.3003617940602</v>
      </c>
      <c r="E132" s="45">
        <v>-4855.105227184548</v>
      </c>
      <c r="F132" s="44">
        <v>-1463.8672509915982</v>
      </c>
      <c r="G132" s="44">
        <v>-3245.257072508362</v>
      </c>
      <c r="H132" s="44">
        <v>-1891.038292803937</v>
      </c>
      <c r="I132" s="44">
        <v>-17090.613746195642</v>
      </c>
    </row>
    <row r="133" spans="1:9" ht="15">
      <c r="A133" s="41" t="str">
        <f>HLOOKUP(INDICE!$F$2,Nombres!$C$3:$D$636,46,FALSE)</f>
        <v>Resultado antes de impuestos</v>
      </c>
      <c r="B133" s="41">
        <f>+B130+B131+B132</f>
        <v>3694.3962265379773</v>
      </c>
      <c r="C133" s="41">
        <f aca="true" t="shared" si="21" ref="C133:I133">+C130+C131+C132</f>
        <v>9424.341848694803</v>
      </c>
      <c r="D133" s="41">
        <f t="shared" si="21"/>
        <v>13105.524001560145</v>
      </c>
      <c r="E133" s="42">
        <f t="shared" si="21"/>
        <v>22017.035416226914</v>
      </c>
      <c r="F133" s="50">
        <f t="shared" si="21"/>
        <v>26369.739572730432</v>
      </c>
      <c r="G133" s="50">
        <f t="shared" si="21"/>
        <v>36910.662369766316</v>
      </c>
      <c r="H133" s="50">
        <f t="shared" si="21"/>
        <v>44386.868939843116</v>
      </c>
      <c r="I133" s="50">
        <f t="shared" si="21"/>
        <v>169950.6358751211</v>
      </c>
    </row>
    <row r="134" spans="1:9" ht="15">
      <c r="A134" s="43" t="str">
        <f>HLOOKUP(INDICE!$F$2,Nombres!$C$3:$D$636,47,FALSE)</f>
        <v>Impuesto sobre beneficios</v>
      </c>
      <c r="B134" s="44">
        <v>-598.5721190301672</v>
      </c>
      <c r="C134" s="44">
        <v>6459.33531566955</v>
      </c>
      <c r="D134" s="44">
        <v>227.31834962307494</v>
      </c>
      <c r="E134" s="45">
        <v>-3754.8095861183538</v>
      </c>
      <c r="F134" s="44">
        <v>-9042.12149503834</v>
      </c>
      <c r="G134" s="44">
        <v>-13581.559821306559</v>
      </c>
      <c r="H134" s="44">
        <v>-9980.665551644164</v>
      </c>
      <c r="I134" s="44">
        <v>-74671.93434098177</v>
      </c>
    </row>
    <row r="135" spans="1:9" ht="15">
      <c r="A135" s="41" t="str">
        <f>HLOOKUP(INDICE!$F$2,Nombres!$C$3:$D$636,48,FALSE)</f>
        <v>Resultado del ejercicio</v>
      </c>
      <c r="B135" s="41">
        <f>+B133+B134</f>
        <v>3095.8241075078104</v>
      </c>
      <c r="C135" s="41">
        <f aca="true" t="shared" si="22" ref="C135:I135">+C133+C134</f>
        <v>15883.677164364353</v>
      </c>
      <c r="D135" s="41">
        <f t="shared" si="22"/>
        <v>13332.842351183219</v>
      </c>
      <c r="E135" s="42">
        <f t="shared" si="22"/>
        <v>18262.22583010856</v>
      </c>
      <c r="F135" s="50">
        <f t="shared" si="22"/>
        <v>17327.618077692092</v>
      </c>
      <c r="G135" s="50">
        <f t="shared" si="22"/>
        <v>23329.102548459756</v>
      </c>
      <c r="H135" s="50">
        <f t="shared" si="22"/>
        <v>34406.20338819895</v>
      </c>
      <c r="I135" s="50">
        <f t="shared" si="22"/>
        <v>95278.70153413934</v>
      </c>
    </row>
    <row r="136" spans="1:9" ht="15">
      <c r="A136" s="43" t="str">
        <f>HLOOKUP(INDICE!$F$2,Nombres!$C$3:$D$636,49,FALSE)</f>
        <v>Minoritarios</v>
      </c>
      <c r="B136" s="44">
        <v>-822.6114574155442</v>
      </c>
      <c r="C136" s="44">
        <v>-5080.860004218716</v>
      </c>
      <c r="D136" s="44">
        <v>-4033.47554606222</v>
      </c>
      <c r="E136" s="45">
        <v>-5686.023480044996</v>
      </c>
      <c r="F136" s="44">
        <v>-5519.356902904249</v>
      </c>
      <c r="G136" s="44">
        <v>-7236.007038200979</v>
      </c>
      <c r="H136" s="44">
        <v>-11306.252206098903</v>
      </c>
      <c r="I136" s="44">
        <v>-28199.333098412295</v>
      </c>
    </row>
    <row r="137" spans="1:9" ht="15">
      <c r="A137" s="47" t="str">
        <f>HLOOKUP(INDICE!$F$2,Nombres!$C$3:$D$636,50,FALSE)</f>
        <v>Resultado atribuido</v>
      </c>
      <c r="B137" s="47">
        <f>+B135+B136</f>
        <v>2273.212650092266</v>
      </c>
      <c r="C137" s="47">
        <f aca="true" t="shared" si="23" ref="C137:I137">+C135+C136</f>
        <v>10802.817160145638</v>
      </c>
      <c r="D137" s="47">
        <f t="shared" si="23"/>
        <v>9299.366805120999</v>
      </c>
      <c r="E137" s="47">
        <f t="shared" si="23"/>
        <v>12576.202350063564</v>
      </c>
      <c r="F137" s="51">
        <f t="shared" si="23"/>
        <v>11808.261174787844</v>
      </c>
      <c r="G137" s="51">
        <f t="shared" si="23"/>
        <v>16093.095510258776</v>
      </c>
      <c r="H137" s="51">
        <f t="shared" si="23"/>
        <v>23099.951182100045</v>
      </c>
      <c r="I137" s="51">
        <f t="shared" si="23"/>
        <v>67079.36843572705</v>
      </c>
    </row>
    <row r="138" spans="1:9" ht="15">
      <c r="A138" s="62"/>
      <c r="B138" s="63">
        <v>0</v>
      </c>
      <c r="C138" s="63">
        <v>0</v>
      </c>
      <c r="D138" s="63">
        <v>0</v>
      </c>
      <c r="E138" s="63">
        <v>0</v>
      </c>
      <c r="F138" s="63">
        <v>0</v>
      </c>
      <c r="G138" s="63">
        <v>1.6370904631912708E-11</v>
      </c>
      <c r="H138" s="63">
        <v>-6.912159733474255E-11</v>
      </c>
      <c r="I138" s="63">
        <v>0</v>
      </c>
    </row>
    <row r="139" spans="1:9" ht="15">
      <c r="A139" s="41"/>
      <c r="B139" s="41"/>
      <c r="C139" s="41"/>
      <c r="D139" s="41"/>
      <c r="E139" s="41"/>
      <c r="F139" s="50"/>
      <c r="G139" s="50"/>
      <c r="H139" s="50"/>
      <c r="I139" s="50"/>
    </row>
    <row r="140" spans="1:9" ht="18">
      <c r="A140" s="33" t="str">
        <f>HLOOKUP(INDICE!$F$2,Nombres!$C$3:$D$636,51,FALSE)</f>
        <v>Balances</v>
      </c>
      <c r="B140" s="34"/>
      <c r="C140" s="34"/>
      <c r="D140" s="34"/>
      <c r="E140" s="34"/>
      <c r="F140" s="68"/>
      <c r="G140" s="68"/>
      <c r="H140" s="68"/>
      <c r="I140" s="68"/>
    </row>
    <row r="141" spans="1:9" ht="15">
      <c r="A141" s="35" t="str">
        <f>HLOOKUP(INDICE!$F$2,Nombres!$C$3:$D$636,78,FALSE)</f>
        <v>(Millones de pesos argentinos)</v>
      </c>
      <c r="B141" s="30"/>
      <c r="C141" s="52"/>
      <c r="D141" s="52"/>
      <c r="E141" s="52"/>
      <c r="F141" s="69"/>
      <c r="G141" s="44"/>
      <c r="H141" s="44"/>
      <c r="I141" s="44"/>
    </row>
    <row r="142" spans="1:9" ht="15.75">
      <c r="A142" s="30"/>
      <c r="B142" s="53">
        <f aca="true" t="shared" si="24" ref="B142:I142">+B$30</f>
        <v>44651</v>
      </c>
      <c r="C142" s="53">
        <f t="shared" si="24"/>
        <v>44742</v>
      </c>
      <c r="D142" s="53">
        <f t="shared" si="24"/>
        <v>44834</v>
      </c>
      <c r="E142" s="67">
        <f t="shared" si="24"/>
        <v>44926</v>
      </c>
      <c r="F142" s="53">
        <f t="shared" si="24"/>
        <v>45016</v>
      </c>
      <c r="G142" s="53">
        <f t="shared" si="24"/>
        <v>45107</v>
      </c>
      <c r="H142" s="53">
        <f t="shared" si="24"/>
        <v>45199</v>
      </c>
      <c r="I142" s="53">
        <f t="shared" si="24"/>
        <v>45291</v>
      </c>
    </row>
    <row r="143" spans="1:9" ht="15">
      <c r="A143" s="43" t="str">
        <f>HLOOKUP(INDICE!$F$2,Nombres!$C$3:$D$636,52,FALSE)</f>
        <v>Efectivo, saldos en efectivo en bancos centrales y otros depósitos a la vista</v>
      </c>
      <c r="B143" s="44">
        <v>199131.99155514664</v>
      </c>
      <c r="C143" s="44">
        <v>189444.0898891105</v>
      </c>
      <c r="D143" s="44">
        <v>205113.44099798083</v>
      </c>
      <c r="E143" s="45">
        <v>302578.62588876556</v>
      </c>
      <c r="F143" s="44">
        <v>374546.7580705409</v>
      </c>
      <c r="G143" s="44">
        <v>375512.9185981415</v>
      </c>
      <c r="H143" s="44">
        <v>478797.874600201</v>
      </c>
      <c r="I143" s="44">
        <v>1146118.4232047794</v>
      </c>
    </row>
    <row r="144" spans="1:9" ht="15">
      <c r="A144" s="43" t="str">
        <f>HLOOKUP(INDICE!$F$2,Nombres!$C$3:$D$636,53,FALSE)</f>
        <v>Activos financieros a valor razonable</v>
      </c>
      <c r="B144" s="58">
        <v>363397.1567236727</v>
      </c>
      <c r="C144" s="58">
        <v>436274.15511361416</v>
      </c>
      <c r="D144" s="58">
        <v>539441.503270587</v>
      </c>
      <c r="E144" s="64">
        <v>662948.0389485712</v>
      </c>
      <c r="F144" s="44">
        <v>720105.8594025943</v>
      </c>
      <c r="G144" s="44">
        <v>1100233.8707673652</v>
      </c>
      <c r="H144" s="44">
        <v>1267756.2984730913</v>
      </c>
      <c r="I144" s="44">
        <v>1136823.3535718424</v>
      </c>
    </row>
    <row r="145" spans="1:9" ht="15">
      <c r="A145" s="43" t="str">
        <f>HLOOKUP(INDICE!$F$2,Nombres!$C$3:$D$636,54,FALSE)</f>
        <v>Activos financieros a coste amortizado</v>
      </c>
      <c r="B145" s="44">
        <v>524421.9457629755</v>
      </c>
      <c r="C145" s="44">
        <v>683290.4743411392</v>
      </c>
      <c r="D145" s="44">
        <v>736188.2400801654</v>
      </c>
      <c r="E145" s="45">
        <v>840242.4426365858</v>
      </c>
      <c r="F145" s="44">
        <v>1084433.4493462685</v>
      </c>
      <c r="G145" s="44">
        <v>1343750.421598604</v>
      </c>
      <c r="H145" s="44">
        <v>1813869.6020426443</v>
      </c>
      <c r="I145" s="44">
        <v>3389007.744040263</v>
      </c>
    </row>
    <row r="146" spans="1:9" ht="15">
      <c r="A146" s="43" t="str">
        <f>HLOOKUP(INDICE!$F$2,Nombres!$C$3:$D$636,55,FALSE)</f>
        <v>    de los que préstamos y anticipos a la clientela</v>
      </c>
      <c r="B146" s="44">
        <v>411722.43477380474</v>
      </c>
      <c r="C146" s="44">
        <v>515831.7602103548</v>
      </c>
      <c r="D146" s="44">
        <v>575855.2776466296</v>
      </c>
      <c r="E146" s="45">
        <v>713397.5096852484</v>
      </c>
      <c r="F146" s="44">
        <v>863472.7486354593</v>
      </c>
      <c r="G146" s="44">
        <v>1063528.985046675</v>
      </c>
      <c r="H146" s="44">
        <v>1380062.5207495694</v>
      </c>
      <c r="I146" s="44">
        <v>2005490.5104044063</v>
      </c>
    </row>
    <row r="147" spans="1:9" ht="15" customHeight="1" hidden="1">
      <c r="A147" s="43"/>
      <c r="B147" s="44"/>
      <c r="C147" s="44"/>
      <c r="D147" s="44"/>
      <c r="E147" s="45"/>
      <c r="F147" s="44"/>
      <c r="G147" s="44"/>
      <c r="H147" s="44"/>
      <c r="I147" s="44"/>
    </row>
    <row r="148" spans="1:9" ht="15">
      <c r="A148" s="43" t="str">
        <f>HLOOKUP(INDICE!$F$2,Nombres!$C$3:$D$636,56,FALSE)</f>
        <v>Activos tangibles</v>
      </c>
      <c r="B148" s="44">
        <v>64524.32673778189</v>
      </c>
      <c r="C148" s="44">
        <v>80714.48404019405</v>
      </c>
      <c r="D148" s="44">
        <v>97894.96991759767</v>
      </c>
      <c r="E148" s="45">
        <v>116737.16763850418</v>
      </c>
      <c r="F148" s="44">
        <v>137606.2438010224</v>
      </c>
      <c r="G148" s="44">
        <v>172608.21455347998</v>
      </c>
      <c r="H148" s="44">
        <v>232250.15169425664</v>
      </c>
      <c r="I148" s="44">
        <v>364248.69981519505</v>
      </c>
    </row>
    <row r="149" spans="1:9" ht="15">
      <c r="A149" s="43" t="str">
        <f>HLOOKUP(INDICE!$F$2,Nombres!$C$3:$D$636,57,FALSE)</f>
        <v>Otros activos</v>
      </c>
      <c r="B149" s="58">
        <f>+B150-B148-B145-B144-B143</f>
        <v>36582.55645935418</v>
      </c>
      <c r="C149" s="58">
        <f aca="true" t="shared" si="25" ref="C149:H149">+C150-C148-C145-C144-C143</f>
        <v>41816.29879694179</v>
      </c>
      <c r="D149" s="58">
        <f t="shared" si="25"/>
        <v>42545.368493609305</v>
      </c>
      <c r="E149" s="64">
        <f t="shared" si="25"/>
        <v>54423.37062826415</v>
      </c>
      <c r="F149" s="44">
        <f t="shared" si="25"/>
        <v>70741.87319792673</v>
      </c>
      <c r="G149" s="44">
        <f t="shared" si="25"/>
        <v>74610.81814709958</v>
      </c>
      <c r="H149" s="44">
        <f t="shared" si="25"/>
        <v>122040.41748244868</v>
      </c>
      <c r="I149" s="44">
        <f>+I150-I148-I145-I144-I143</f>
        <v>176949.74960898445</v>
      </c>
    </row>
    <row r="150" spans="1:9" ht="15">
      <c r="A150" s="47" t="str">
        <f>HLOOKUP(INDICE!$F$2,Nombres!$C$3:$D$636,58,FALSE)</f>
        <v>Total activo / pasivo</v>
      </c>
      <c r="B150" s="47">
        <v>1188057.977238931</v>
      </c>
      <c r="C150" s="47">
        <v>1431539.5021809996</v>
      </c>
      <c r="D150" s="47">
        <v>1621183.5227599402</v>
      </c>
      <c r="E150" s="47">
        <v>1976929.6457406909</v>
      </c>
      <c r="F150" s="51">
        <v>2387434.183818353</v>
      </c>
      <c r="G150" s="51">
        <v>3066716.2436646903</v>
      </c>
      <c r="H150" s="51">
        <v>3914714.344292642</v>
      </c>
      <c r="I150" s="51">
        <v>6213147.970241064</v>
      </c>
    </row>
    <row r="151" spans="1:9" ht="15">
      <c r="A151" s="43" t="str">
        <f>HLOOKUP(INDICE!$F$2,Nombres!$C$3:$D$636,59,FALSE)</f>
        <v>Pasivos financieros mantenidos para negociar y designados a valor razonable con cambios en resultados</v>
      </c>
      <c r="B151" s="58">
        <v>327.3990244938593</v>
      </c>
      <c r="C151" s="58">
        <v>147.02896193883774</v>
      </c>
      <c r="D151" s="58">
        <v>554.1765781494179</v>
      </c>
      <c r="E151" s="64">
        <v>334.4245526682467</v>
      </c>
      <c r="F151" s="44">
        <v>520.8490947275235</v>
      </c>
      <c r="G151" s="44">
        <v>45259.99445148046</v>
      </c>
      <c r="H151" s="44">
        <v>23955.857379688787</v>
      </c>
      <c r="I151" s="44">
        <v>12476.160123970929</v>
      </c>
    </row>
    <row r="152" spans="1:9" ht="15">
      <c r="A152" s="43" t="str">
        <f>HLOOKUP(INDICE!$F$2,Nombres!$C$3:$D$636,60,FALSE)</f>
        <v>Depósitos de bancos centrales y entidades de crédito</v>
      </c>
      <c r="B152" s="58">
        <v>14378.099393464247</v>
      </c>
      <c r="C152" s="58">
        <v>20437.54524646643</v>
      </c>
      <c r="D152" s="58">
        <v>17358.846470954053</v>
      </c>
      <c r="E152" s="64">
        <v>23178.411513088464</v>
      </c>
      <c r="F152" s="44">
        <v>28260.146700686393</v>
      </c>
      <c r="G152" s="44">
        <v>32932.12899016171</v>
      </c>
      <c r="H152" s="44">
        <v>29830.3321348709</v>
      </c>
      <c r="I152" s="44">
        <v>40755.99209239651</v>
      </c>
    </row>
    <row r="153" spans="1:9" ht="15">
      <c r="A153" s="43" t="str">
        <f>HLOOKUP(INDICE!$F$2,Nombres!$C$3:$D$636,61,FALSE)</f>
        <v>Depósitos de la clientela</v>
      </c>
      <c r="B153" s="58">
        <v>796183.4523166625</v>
      </c>
      <c r="C153" s="58">
        <v>973004.4197452771</v>
      </c>
      <c r="D153" s="58">
        <v>1062641.6897597662</v>
      </c>
      <c r="E153" s="64">
        <v>1312768.3118324797</v>
      </c>
      <c r="F153" s="44">
        <v>1565290.362254629</v>
      </c>
      <c r="G153" s="44">
        <v>2003897.6491783527</v>
      </c>
      <c r="H153" s="44">
        <v>2586114.9561206345</v>
      </c>
      <c r="I153" s="44">
        <v>3624735.2097059134</v>
      </c>
    </row>
    <row r="154" spans="1:9" ht="15">
      <c r="A154" s="43" t="str">
        <f>HLOOKUP(INDICE!$F$2,Nombres!$C$3:$D$636,62,FALSE)</f>
        <v>Valores representativos de deuda emitidos</v>
      </c>
      <c r="B154" s="44">
        <v>31002.360699030454</v>
      </c>
      <c r="C154" s="44">
        <v>36541.407113298046</v>
      </c>
      <c r="D154" s="44">
        <v>42654.41264028041</v>
      </c>
      <c r="E154" s="45">
        <v>51310.2833979055</v>
      </c>
      <c r="F154" s="44">
        <v>74017.08573089897</v>
      </c>
      <c r="G154" s="44">
        <v>89242.5122769583</v>
      </c>
      <c r="H154" s="44">
        <v>82918.34422205844</v>
      </c>
      <c r="I154" s="44">
        <v>260687.10118071226</v>
      </c>
    </row>
    <row r="155" spans="1:9" ht="15" customHeight="1" hidden="1">
      <c r="A155" s="43"/>
      <c r="B155" s="44"/>
      <c r="C155" s="44"/>
      <c r="D155" s="44"/>
      <c r="E155" s="45"/>
      <c r="F155" s="44"/>
      <c r="G155" s="44"/>
      <c r="H155" s="44"/>
      <c r="I155" s="44"/>
    </row>
    <row r="156" spans="1:9" ht="15.75" customHeight="1">
      <c r="A156" s="43" t="str">
        <f>HLOOKUP(INDICE!$F$2,Nombres!$C$3:$D$636,63,FALSE)</f>
        <v>Otros pasivos</v>
      </c>
      <c r="B156" s="58">
        <f>+B150-B151-B152-B153-B154-B157</f>
        <v>240848.0124429269</v>
      </c>
      <c r="C156" s="58">
        <f aca="true" t="shared" si="26" ref="C156:I156">+C150-C151-C152-C153-C154-C157</f>
        <v>280261.13332708844</v>
      </c>
      <c r="D156" s="58">
        <f t="shared" si="26"/>
        <v>354746.52828060335</v>
      </c>
      <c r="E156" s="64">
        <f t="shared" si="26"/>
        <v>414490.2574522189</v>
      </c>
      <c r="F156" s="44">
        <f t="shared" si="26"/>
        <v>473607.284936622</v>
      </c>
      <c r="G156" s="44">
        <f t="shared" si="26"/>
        <v>596415.2934246568</v>
      </c>
      <c r="H156" s="44">
        <f t="shared" si="26"/>
        <v>903384.4019176017</v>
      </c>
      <c r="I156" s="44">
        <f t="shared" si="26"/>
        <v>1401677.970540335</v>
      </c>
    </row>
    <row r="157" spans="1:9" ht="15.75" customHeight="1">
      <c r="A157" s="43" t="str">
        <f>HLOOKUP(INDICE!$F$2,Nombres!$C$3:$D$636,282,FALSE)</f>
        <v>Dotación de capital regulatorio</v>
      </c>
      <c r="B157" s="58">
        <v>105318.65336235319</v>
      </c>
      <c r="C157" s="58">
        <v>121147.96778693065</v>
      </c>
      <c r="D157" s="58">
        <v>143227.86903018667</v>
      </c>
      <c r="E157" s="64">
        <v>174847.9569923299</v>
      </c>
      <c r="F157" s="44">
        <v>245738.45510078905</v>
      </c>
      <c r="G157" s="44">
        <v>298968.66534308036</v>
      </c>
      <c r="H157" s="44">
        <v>288510.45251778775</v>
      </c>
      <c r="I157" s="44">
        <v>872815.5365977363</v>
      </c>
    </row>
    <row r="158" spans="1:9" ht="15.75" customHeight="1">
      <c r="A158" s="62"/>
      <c r="B158" s="58"/>
      <c r="C158" s="58"/>
      <c r="D158" s="58"/>
      <c r="E158" s="58"/>
      <c r="F158" s="44"/>
      <c r="G158" s="44"/>
      <c r="H158" s="44"/>
      <c r="I158" s="44"/>
    </row>
    <row r="159" spans="1:9" ht="15.75" customHeight="1">
      <c r="A159" s="43"/>
      <c r="B159" s="58"/>
      <c r="C159" s="58"/>
      <c r="D159" s="58"/>
      <c r="E159" s="58"/>
      <c r="F159" s="44"/>
      <c r="G159" s="44"/>
      <c r="H159" s="44"/>
      <c r="I159" s="44"/>
    </row>
    <row r="160" spans="1:9" ht="15.75" customHeight="1">
      <c r="A160" s="33" t="str">
        <f>HLOOKUP(INDICE!$F$2,Nombres!$C$3:$D$636,65,FALSE)</f>
        <v>Indicadores relevantes y de gestión</v>
      </c>
      <c r="B160" s="34"/>
      <c r="C160" s="34"/>
      <c r="D160" s="34"/>
      <c r="E160" s="34"/>
      <c r="F160" s="68"/>
      <c r="G160" s="68"/>
      <c r="H160" s="68"/>
      <c r="I160" s="68"/>
    </row>
    <row r="161" spans="1:9" ht="15">
      <c r="A161" s="35" t="str">
        <f>HLOOKUP(INDICE!$F$2,Nombres!$C$3:$D$636,78,FALSE)</f>
        <v>(Millones de pesos argentinos)</v>
      </c>
      <c r="B161" s="30"/>
      <c r="C161" s="30"/>
      <c r="D161" s="30"/>
      <c r="E161" s="30"/>
      <c r="F161" s="69"/>
      <c r="G161" s="44"/>
      <c r="H161" s="44"/>
      <c r="I161" s="44"/>
    </row>
    <row r="162" spans="1:9" ht="15.75">
      <c r="A162" s="30"/>
      <c r="B162" s="53">
        <f aca="true" t="shared" si="27" ref="B162:I162">+B$30</f>
        <v>44651</v>
      </c>
      <c r="C162" s="53">
        <f t="shared" si="27"/>
        <v>44742</v>
      </c>
      <c r="D162" s="53">
        <f t="shared" si="27"/>
        <v>44834</v>
      </c>
      <c r="E162" s="67">
        <f t="shared" si="27"/>
        <v>44926</v>
      </c>
      <c r="F162" s="53">
        <f t="shared" si="27"/>
        <v>45016</v>
      </c>
      <c r="G162" s="53">
        <f t="shared" si="27"/>
        <v>45107</v>
      </c>
      <c r="H162" s="53">
        <f t="shared" si="27"/>
        <v>45199</v>
      </c>
      <c r="I162" s="53">
        <f t="shared" si="27"/>
        <v>45291</v>
      </c>
    </row>
    <row r="163" spans="1:9" ht="15">
      <c r="A163" s="43" t="str">
        <f>HLOOKUP(INDICE!$F$2,Nombres!$C$3:$D$636,66,FALSE)</f>
        <v>Préstamos y anticipos a la clientela bruto (*)</v>
      </c>
      <c r="B163" s="44">
        <v>423658.27781118185</v>
      </c>
      <c r="C163" s="44">
        <v>528647.4383680448</v>
      </c>
      <c r="D163" s="44">
        <v>591166.4667534047</v>
      </c>
      <c r="E163" s="44">
        <v>734058.6883619338</v>
      </c>
      <c r="F163" s="44">
        <v>890430.5457486758</v>
      </c>
      <c r="G163" s="44">
        <v>1098283.4529889629</v>
      </c>
      <c r="H163" s="44">
        <v>1418953.0120621559</v>
      </c>
      <c r="I163" s="44">
        <v>2050985.5505816774</v>
      </c>
    </row>
    <row r="164" spans="1:9" ht="15">
      <c r="A164" s="43" t="str">
        <f>HLOOKUP(INDICE!$F$2,Nombres!$C$3:$D$636,67,FALSE)</f>
        <v>Depósitos de clientes en gestión (**)</v>
      </c>
      <c r="B164" s="44">
        <v>796183.4523166625</v>
      </c>
      <c r="C164" s="44">
        <v>973004.419745277</v>
      </c>
      <c r="D164" s="44">
        <v>1062641.6897597665</v>
      </c>
      <c r="E164" s="44">
        <v>1312768.3118324794</v>
      </c>
      <c r="F164" s="44">
        <v>1565290.3622546287</v>
      </c>
      <c r="G164" s="44">
        <v>2003897.6491783524</v>
      </c>
      <c r="H164" s="44">
        <v>2586114.9561206345</v>
      </c>
      <c r="I164" s="44">
        <v>3624735.2097059134</v>
      </c>
    </row>
    <row r="165" spans="1:9" ht="15">
      <c r="A165" s="43" t="str">
        <f>HLOOKUP(INDICE!$F$2,Nombres!$C$3:$D$636,68,FALSE)</f>
        <v>Fondos de inversión y carteras gestionadas</v>
      </c>
      <c r="B165" s="44">
        <v>244507.33618994747</v>
      </c>
      <c r="C165" s="44">
        <v>258038.97627457322</v>
      </c>
      <c r="D165" s="44">
        <v>335066.57923149166</v>
      </c>
      <c r="E165" s="44">
        <v>434125.90975182713</v>
      </c>
      <c r="F165" s="44">
        <v>524622.068355727</v>
      </c>
      <c r="G165" s="44">
        <v>630962.7566842583</v>
      </c>
      <c r="H165" s="44">
        <v>889431.3818179993</v>
      </c>
      <c r="I165" s="44">
        <v>1289025.1257490518</v>
      </c>
    </row>
    <row r="166" spans="1:9" ht="15">
      <c r="A166" s="43" t="str">
        <f>HLOOKUP(INDICE!$F$2,Nombres!$C$3:$D$636,69,FALSE)</f>
        <v>Fondos de pensiones</v>
      </c>
      <c r="B166" s="44">
        <v>0</v>
      </c>
      <c r="C166" s="44">
        <v>0</v>
      </c>
      <c r="D166" s="44">
        <v>0</v>
      </c>
      <c r="E166" s="45">
        <v>0</v>
      </c>
      <c r="F166" s="44">
        <v>0</v>
      </c>
      <c r="G166" s="44">
        <v>0</v>
      </c>
      <c r="H166" s="44">
        <v>0</v>
      </c>
      <c r="I166" s="44">
        <v>0</v>
      </c>
    </row>
    <row r="167" spans="1:15" ht="15">
      <c r="A167" s="43" t="str">
        <f>HLOOKUP(INDICE!$F$2,Nombres!$C$3:$D$636,70,FALSE)</f>
        <v>Otros recursos fuera de balance</v>
      </c>
      <c r="B167" s="44">
        <v>0</v>
      </c>
      <c r="C167" s="44">
        <v>0</v>
      </c>
      <c r="D167" s="44">
        <v>0</v>
      </c>
      <c r="E167" s="45">
        <v>0</v>
      </c>
      <c r="F167" s="44">
        <v>0</v>
      </c>
      <c r="G167" s="44">
        <v>0</v>
      </c>
      <c r="H167" s="44">
        <v>0</v>
      </c>
      <c r="I167" s="44">
        <v>0</v>
      </c>
      <c r="N167" s="73"/>
      <c r="O167" s="73"/>
    </row>
    <row r="168" spans="1:15" ht="15">
      <c r="A168" s="62" t="str">
        <f>HLOOKUP(INDICE!$F$2,Nombres!$C$3:$D$636,71,FALSE)</f>
        <v>(*) No incluye las adquisiciones temporales de activos.</v>
      </c>
      <c r="B168" s="58"/>
      <c r="C168" s="58"/>
      <c r="D168" s="58"/>
      <c r="E168" s="58"/>
      <c r="F168" s="58"/>
      <c r="G168" s="58"/>
      <c r="H168" s="58"/>
      <c r="I168" s="58"/>
      <c r="N168" s="73"/>
      <c r="O168" s="73"/>
    </row>
    <row r="169" spans="1:15" ht="15">
      <c r="A169" s="62" t="str">
        <f>HLOOKUP(INDICE!$F$2,Nombres!$C$3:$D$636,72,FALSE)</f>
        <v>(**) No incluye las cesiones temporales de activos.</v>
      </c>
      <c r="B169" s="30"/>
      <c r="C169" s="30"/>
      <c r="D169" s="30"/>
      <c r="E169" s="30"/>
      <c r="F169" s="30"/>
      <c r="G169" s="30"/>
      <c r="H169" s="30"/>
      <c r="I169" s="30"/>
      <c r="N169" s="73"/>
      <c r="O169" s="73"/>
    </row>
    <row r="170" spans="1:15" ht="15">
      <c r="A170" s="30"/>
      <c r="B170" s="30"/>
      <c r="C170" s="30"/>
      <c r="D170" s="30"/>
      <c r="E170" s="30"/>
      <c r="F170" s="30"/>
      <c r="G170" s="30"/>
      <c r="H170" s="30"/>
      <c r="I170" s="30"/>
      <c r="N170" s="73"/>
      <c r="O170" s="73"/>
    </row>
    <row r="171" spans="1:15" ht="15">
      <c r="A171" s="30"/>
      <c r="B171" s="30"/>
      <c r="C171" s="30"/>
      <c r="D171" s="30"/>
      <c r="E171" s="30"/>
      <c r="F171" s="30"/>
      <c r="G171" s="30"/>
      <c r="H171" s="30"/>
      <c r="I171" s="30"/>
      <c r="N171" s="73"/>
      <c r="O171" s="73"/>
    </row>
    <row r="172" spans="1:15" ht="15">
      <c r="A172" s="72"/>
      <c r="B172" s="73"/>
      <c r="C172" s="74"/>
      <c r="D172" s="74"/>
      <c r="E172" s="74"/>
      <c r="F172" s="73"/>
      <c r="G172" s="73"/>
      <c r="H172" s="73"/>
      <c r="I172" s="73"/>
      <c r="N172" s="73"/>
      <c r="O172" s="73"/>
    </row>
    <row r="173" spans="1:15" ht="15">
      <c r="A173" s="72"/>
      <c r="B173" s="73"/>
      <c r="C173" s="74"/>
      <c r="D173" s="74"/>
      <c r="E173" s="74"/>
      <c r="F173" s="73"/>
      <c r="G173" s="73"/>
      <c r="H173" s="73"/>
      <c r="I173" s="73"/>
      <c r="J173" s="73"/>
      <c r="K173" s="73"/>
      <c r="L173" s="73"/>
      <c r="M173" s="73"/>
      <c r="N173" s="73"/>
      <c r="O173" s="73"/>
    </row>
    <row r="174" spans="1:15" ht="15">
      <c r="A174" s="73"/>
      <c r="B174" s="73"/>
      <c r="C174" s="73"/>
      <c r="D174" s="73"/>
      <c r="E174" s="73"/>
      <c r="F174" s="73"/>
      <c r="G174" s="73"/>
      <c r="H174" s="73"/>
      <c r="I174" s="73"/>
      <c r="J174" s="73"/>
      <c r="K174" s="73"/>
      <c r="L174" s="73"/>
      <c r="M174" s="73"/>
      <c r="N174" s="73"/>
      <c r="O174" s="73"/>
    </row>
    <row r="175" spans="1:13" ht="15">
      <c r="A175" s="73"/>
      <c r="B175" s="73"/>
      <c r="C175" s="73"/>
      <c r="D175" s="73"/>
      <c r="E175" s="73"/>
      <c r="F175" s="73"/>
      <c r="G175" s="73"/>
      <c r="H175" s="73"/>
      <c r="I175" s="73"/>
      <c r="J175" s="73"/>
      <c r="K175" s="73"/>
      <c r="L175" s="73"/>
      <c r="M175" s="73"/>
    </row>
    <row r="176" spans="1:13" ht="15">
      <c r="A176" s="73"/>
      <c r="B176" s="73"/>
      <c r="C176" s="73"/>
      <c r="D176" s="73"/>
      <c r="E176" s="73"/>
      <c r="F176" s="73"/>
      <c r="G176" s="73"/>
      <c r="H176" s="73"/>
      <c r="I176" s="73"/>
      <c r="J176" s="73"/>
      <c r="K176" s="73"/>
      <c r="L176" s="73"/>
      <c r="M176" s="73"/>
    </row>
    <row r="177" spans="1:13" ht="15">
      <c r="A177" s="73"/>
      <c r="B177" s="73"/>
      <c r="C177" s="73"/>
      <c r="D177" s="73"/>
      <c r="E177" s="73"/>
      <c r="F177" s="73"/>
      <c r="G177" s="73"/>
      <c r="H177" s="73"/>
      <c r="I177" s="73"/>
      <c r="J177" s="73"/>
      <c r="K177" s="73"/>
      <c r="L177" s="73"/>
      <c r="M177" s="73"/>
    </row>
    <row r="178" spans="1:13" ht="15">
      <c r="A178" s="73"/>
      <c r="B178" s="73"/>
      <c r="C178" s="73"/>
      <c r="D178" s="73"/>
      <c r="E178" s="73"/>
      <c r="F178" s="73"/>
      <c r="G178" s="73"/>
      <c r="H178" s="73"/>
      <c r="I178" s="73"/>
      <c r="J178" s="73"/>
      <c r="K178" s="73"/>
      <c r="L178" s="73"/>
      <c r="M178" s="73"/>
    </row>
    <row r="179" spans="1:13" ht="15">
      <c r="A179" s="73"/>
      <c r="B179" s="73"/>
      <c r="C179" s="73"/>
      <c r="D179" s="73"/>
      <c r="E179" s="73"/>
      <c r="F179" s="73"/>
      <c r="G179" s="73"/>
      <c r="H179" s="73"/>
      <c r="I179" s="73"/>
      <c r="J179" s="73"/>
      <c r="K179" s="73"/>
      <c r="L179" s="73"/>
      <c r="M179" s="73"/>
    </row>
    <row r="180" spans="1:13" ht="15">
      <c r="A180" s="73"/>
      <c r="B180" s="73"/>
      <c r="C180" s="73"/>
      <c r="D180" s="73"/>
      <c r="E180" s="73"/>
      <c r="F180" s="73"/>
      <c r="G180" s="73"/>
      <c r="H180" s="73"/>
      <c r="I180" s="73"/>
      <c r="J180" s="73"/>
      <c r="K180" s="73"/>
      <c r="L180" s="73"/>
      <c r="M180" s="73"/>
    </row>
    <row r="1006" ht="15">
      <c r="A1006" s="31" t="s">
        <v>391</v>
      </c>
    </row>
  </sheetData>
  <sheetProtection/>
  <mergeCells count="6">
    <mergeCell ref="B118:E118"/>
    <mergeCell ref="F118:I118"/>
    <mergeCell ref="B6:E6"/>
    <mergeCell ref="F6:I6"/>
    <mergeCell ref="B62:E62"/>
    <mergeCell ref="F62:I62"/>
  </mergeCells>
  <conditionalFormatting sqref="B26:I26">
    <cfRule type="cellIs" priority="3" dxfId="132" operator="notBetween">
      <formula>0.5</formula>
      <formula>-0.5</formula>
    </cfRule>
  </conditionalFormatting>
  <conditionalFormatting sqref="B82:I82">
    <cfRule type="cellIs" priority="2" dxfId="132" operator="notBetween">
      <formula>0.5</formula>
      <formula>-0.5</formula>
    </cfRule>
  </conditionalFormatting>
  <conditionalFormatting sqref="B138:I138">
    <cfRule type="cellIs" priority="1" dxfId="132" operator="notBetween">
      <formula>0.5</formula>
      <formula>-0.5</formula>
    </cfRule>
  </conditionalFormatting>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LERCHUNDI LIZASO ,ION</dc:creator>
  <cp:keywords/>
  <dc:description/>
  <cp:lastModifiedBy>GONZALEZ SOBRADO, SONIA</cp:lastModifiedBy>
  <dcterms:created xsi:type="dcterms:W3CDTF">2019-04-26T12:12:53Z</dcterms:created>
  <dcterms:modified xsi:type="dcterms:W3CDTF">2024-01-29T11:50:00Z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