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SONIA\RESULTADOS 1T24\"/>
    </mc:Choice>
  </mc:AlternateContent>
  <bookViews>
    <workbookView xWindow="0" yWindow="0" windowWidth="2670" windowHeight="4170" firstSheet="1" activeTab="1"/>
  </bookViews>
  <sheets>
    <sheet name="Nombres" sheetId="1" state="hidden" r:id="rId1"/>
    <sheet name="INDICE" sheetId="2" r:id="rId2"/>
    <sheet name="Cuenta de Resultados" sheetId="3" r:id="rId3"/>
    <sheet name="Balance" sheetId="4" r:id="rId4"/>
    <sheet name="España" sheetId="5" r:id="rId5"/>
    <sheet name="Mexico" sheetId="6" r:id="rId6"/>
    <sheet name="Turquia" sheetId="7" r:id="rId7"/>
    <sheet name="AdS" sheetId="8" r:id="rId8"/>
    <sheet name="Argentina" sheetId="9" r:id="rId9"/>
    <sheet name="Chile" sheetId="10" r:id="rId10"/>
    <sheet name="Colombia" sheetId="11" r:id="rId11"/>
    <sheet name="Peru" sheetId="12" r:id="rId12"/>
    <sheet name="Resto de Negocios" sheetId="13" r:id="rId13"/>
    <sheet name="Centro Corporativo" sheetId="14" r:id="rId14"/>
    <sheet name="Corporate &amp; Investment Banking" sheetId="15" r:id="rId15"/>
    <sheet name="Eficiencia" sheetId="16" r:id="rId16"/>
    <sheet name="Mora,cobertura,coste de riesgo" sheetId="17" r:id="rId17"/>
    <sheet name="Empleados, oficinas y cajeros" sheetId="18" r:id="rId18"/>
    <sheet name="Tipos de Cambio" sheetId="19" r:id="rId19"/>
    <sheet name="Diferenciales" sheetId="20" r:id="rId20"/>
    <sheet name="APRs" sheetId="21" r:id="rId21"/>
    <sheet name="Inversion" sheetId="22" r:id="rId22"/>
    <sheet name="Recursos" sheetId="23" r:id="rId23"/>
    <sheet name="ALCO" sheetId="24"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CURRENT" hidden="1">#N/A</definedName>
    <definedName name="__123Graph_BCURRENT" hidden="1">#N/A</definedName>
    <definedName name="__123Graph_CCURRENT" hidden="1">#N/A</definedName>
    <definedName name="__123Graph_DCURRENT" hidden="1">#N/A</definedName>
    <definedName name="__123Graph_ECURRENT" hidden="1">#N/A</definedName>
    <definedName name="__123Graph_FCURRENT" hidden="1">#N/A</definedName>
    <definedName name="_13__123Graph_ACHART_3" localSheetId="3" hidden="1">[1]DepMix!#REF!</definedName>
    <definedName name="_13__123Graph_ACHART_3" localSheetId="13" hidden="1">[1]DepMix!#REF!</definedName>
    <definedName name="_13__123Graph_ACHART_3" localSheetId="14" hidden="1">[1]DepMix!#REF!</definedName>
    <definedName name="_13__123Graph_ACHART_3" localSheetId="21" hidden="1">[1]DepMix!#REF!</definedName>
    <definedName name="_13__123Graph_ACHART_3" localSheetId="22" hidden="1">[1]DepMix!#REF!</definedName>
    <definedName name="_13__123Graph_ACHART_3" hidden="1">[1]DepMix!#REF!</definedName>
    <definedName name="_26__123Graph_ACHART_4" localSheetId="3" hidden="1">[1]DepMix!#REF!</definedName>
    <definedName name="_26__123Graph_ACHART_4" localSheetId="13" hidden="1">[1]DepMix!#REF!</definedName>
    <definedName name="_26__123Graph_ACHART_4" localSheetId="14" hidden="1">[1]DepMix!#REF!</definedName>
    <definedName name="_26__123Graph_ACHART_4" localSheetId="21" hidden="1">[1]DepMix!#REF!</definedName>
    <definedName name="_26__123Graph_ACHART_4" localSheetId="22" hidden="1">[1]DepMix!#REF!</definedName>
    <definedName name="_26__123Graph_ACHART_4" hidden="1">[1]DepMix!#REF!</definedName>
    <definedName name="_39__123Graph_BCHART_4" localSheetId="3" hidden="1">[2]NII!#REF!</definedName>
    <definedName name="_39__123Graph_BCHART_4" localSheetId="13" hidden="1">[2]NII!#REF!</definedName>
    <definedName name="_39__123Graph_BCHART_4" localSheetId="14" hidden="1">[2]NII!#REF!</definedName>
    <definedName name="_39__123Graph_BCHART_4" localSheetId="21" hidden="1">[2]NII!#REF!</definedName>
    <definedName name="_39__123Graph_BCHART_4" localSheetId="22" hidden="1">[2]NII!#REF!</definedName>
    <definedName name="_39__123Graph_BCHART_4" hidden="1">[2]NII!#REF!</definedName>
    <definedName name="_52__123Graph_CCHART_3" localSheetId="3" hidden="1">[1]DepMix!#REF!</definedName>
    <definedName name="_52__123Graph_CCHART_3" localSheetId="13" hidden="1">[1]DepMix!#REF!</definedName>
    <definedName name="_52__123Graph_CCHART_3" localSheetId="14" hidden="1">[1]DepMix!#REF!</definedName>
    <definedName name="_52__123Graph_CCHART_3" localSheetId="21" hidden="1">[1]DepMix!#REF!</definedName>
    <definedName name="_52__123Graph_CCHART_3" localSheetId="22" hidden="1">[1]DepMix!#REF!</definedName>
    <definedName name="_52__123Graph_CCHART_3" hidden="1">[1]DepMix!#REF!</definedName>
    <definedName name="_65__123Graph_CCHART_4" localSheetId="3" hidden="1">[1]DepMix!#REF!</definedName>
    <definedName name="_65__123Graph_CCHART_4" localSheetId="13" hidden="1">[1]DepMix!#REF!</definedName>
    <definedName name="_65__123Graph_CCHART_4" localSheetId="14" hidden="1">[1]DepMix!#REF!</definedName>
    <definedName name="_65__123Graph_CCHART_4" localSheetId="21" hidden="1">[1]DepMix!#REF!</definedName>
    <definedName name="_65__123Graph_CCHART_4" localSheetId="22" hidden="1">[1]DepMix!#REF!</definedName>
    <definedName name="_65__123Graph_CCHART_4" hidden="1">[1]DepMix!#REF!</definedName>
    <definedName name="_Fill" localSheetId="7" hidden="1">#REF!</definedName>
    <definedName name="_Fill" localSheetId="20" hidden="1">#REF!</definedName>
    <definedName name="_Fill" localSheetId="8" hidden="1">#REF!</definedName>
    <definedName name="_Fill" localSheetId="3" hidden="1">#REF!</definedName>
    <definedName name="_Fill" localSheetId="13" hidden="1">#REF!</definedName>
    <definedName name="_Fill" localSheetId="9" hidden="1">#REF!</definedName>
    <definedName name="_Fill" localSheetId="10" hidden="1">#REF!</definedName>
    <definedName name="_Fill" localSheetId="14" hidden="1">#REF!</definedName>
    <definedName name="_Fill" localSheetId="2" hidden="1">#REF!</definedName>
    <definedName name="_Fill" localSheetId="19" hidden="1">#REF!</definedName>
    <definedName name="_Fill" localSheetId="15" hidden="1">#REF!</definedName>
    <definedName name="_Fill" localSheetId="4" hidden="1">#REF!</definedName>
    <definedName name="_Fill" localSheetId="1" hidden="1">#REF!</definedName>
    <definedName name="_Fill" localSheetId="21" hidden="1">#REF!</definedName>
    <definedName name="_Fill" localSheetId="5" hidden="1">#REF!</definedName>
    <definedName name="_Fill" localSheetId="16" hidden="1">#REF!</definedName>
    <definedName name="_Fill" localSheetId="11" hidden="1">#REF!</definedName>
    <definedName name="_Fill" localSheetId="22" hidden="1">#REF!</definedName>
    <definedName name="_Fill" localSheetId="12" hidden="1">#REF!</definedName>
    <definedName name="_Fill" localSheetId="6" hidden="1">#REF!</definedName>
    <definedName name="_Fill" hidden="1">#REF!</definedName>
    <definedName name="_xlnm._FilterDatabase" hidden="1">'[3]Pg 24 - Non-Accrual'!$A$86:$G$97</definedName>
    <definedName name="_Key1" localSheetId="3" hidden="1">#REF!</definedName>
    <definedName name="_Key1" localSheetId="13" hidden="1">#REF!</definedName>
    <definedName name="_Key1" localSheetId="14" hidden="1">#REF!</definedName>
    <definedName name="_Key1" localSheetId="21" hidden="1">#REF!</definedName>
    <definedName name="_Key1" localSheetId="22" hidden="1">#REF!</definedName>
    <definedName name="_Key1" hidden="1">#REF!</definedName>
    <definedName name="_Order1" hidden="1">255</definedName>
    <definedName name="_Order2" hidden="1">255</definedName>
    <definedName name="_Regression_Out" localSheetId="3" hidden="1">#REF!</definedName>
    <definedName name="_Regression_Out" localSheetId="13" hidden="1">#REF!</definedName>
    <definedName name="_Regression_Out" localSheetId="14" hidden="1">#REF!</definedName>
    <definedName name="_Regression_Out" localSheetId="21" hidden="1">#REF!</definedName>
    <definedName name="_Regression_Out" localSheetId="22" hidden="1">#REF!</definedName>
    <definedName name="_Regression_Out" hidden="1">#REF!</definedName>
    <definedName name="_Regression_X" localSheetId="3" hidden="1">#REF!</definedName>
    <definedName name="_Regression_X" localSheetId="13" hidden="1">#REF!</definedName>
    <definedName name="_Regression_X" localSheetId="14" hidden="1">#REF!</definedName>
    <definedName name="_Regression_X" localSheetId="21" hidden="1">#REF!</definedName>
    <definedName name="_Regression_X" localSheetId="22" hidden="1">#REF!</definedName>
    <definedName name="_Regression_X" hidden="1">#REF!</definedName>
    <definedName name="_Sort" localSheetId="3" hidden="1">#REF!</definedName>
    <definedName name="_Sort" localSheetId="13" hidden="1">#REF!</definedName>
    <definedName name="_Sort" localSheetId="14" hidden="1">#REF!</definedName>
    <definedName name="_Sort" localSheetId="21" hidden="1">#REF!</definedName>
    <definedName name="_Sort" localSheetId="22" hidden="1">#REF!</definedName>
    <definedName name="_Sort" hidden="1">#REF!</definedName>
    <definedName name="AS2DocOpenMode" hidden="1">"AS2DocumentEdit"</definedName>
    <definedName name="AS2HasNoAutoHeaderFooter" hidden="1">" "</definedName>
    <definedName name="BLPH10001" localSheetId="20" hidden="1">[4]Datos!$G$4</definedName>
    <definedName name="BLPH10001" localSheetId="19" hidden="1">[5]Datos!$G$4</definedName>
    <definedName name="BLPH10001" localSheetId="15" hidden="1">[4]Datos!$G$4</definedName>
    <definedName name="BLPH10001" localSheetId="1" hidden="1">[5]Datos!$G$4</definedName>
    <definedName name="BLPH10001" localSheetId="21" hidden="1">[6]Datos!$G$4</definedName>
    <definedName name="BLPH10001" localSheetId="16" hidden="1">[4]Datos!$G$4</definedName>
    <definedName name="BLPH10001" localSheetId="22" hidden="1">[6]Datos!$G$4</definedName>
    <definedName name="BLPH10001" hidden="1">[7]Datos!$G$4</definedName>
    <definedName name="BLPH10002" localSheetId="20" hidden="1">[4]Datos!$O$4</definedName>
    <definedName name="BLPH10002" localSheetId="19" hidden="1">[5]Datos!$O$4</definedName>
    <definedName name="BLPH10002" localSheetId="15" hidden="1">[4]Datos!$O$4</definedName>
    <definedName name="BLPH10002" localSheetId="1" hidden="1">[5]Datos!$O$4</definedName>
    <definedName name="BLPH10002" localSheetId="21" hidden="1">[6]Datos!$O$4</definedName>
    <definedName name="BLPH10002" localSheetId="16" hidden="1">[4]Datos!$O$4</definedName>
    <definedName name="BLPH10002" localSheetId="22" hidden="1">[6]Datos!$O$4</definedName>
    <definedName name="BLPH10002" hidden="1">[7]Datos!$O$4</definedName>
    <definedName name="BLPH10003" localSheetId="20" hidden="1">[4]Datos!$E$4</definedName>
    <definedName name="BLPH10003" localSheetId="19" hidden="1">[5]Datos!$E$4</definedName>
    <definedName name="BLPH10003" localSheetId="15" hidden="1">[4]Datos!$E$4</definedName>
    <definedName name="BLPH10003" localSheetId="1" hidden="1">[5]Datos!$E$4</definedName>
    <definedName name="BLPH10003" localSheetId="21" hidden="1">[6]Datos!$E$4</definedName>
    <definedName name="BLPH10003" localSheetId="16" hidden="1">[4]Datos!$E$4</definedName>
    <definedName name="BLPH10003" localSheetId="22" hidden="1">[6]Datos!$E$4</definedName>
    <definedName name="BLPH10003" hidden="1">[7]Datos!$E$4</definedName>
    <definedName name="BLPH10004" localSheetId="20" hidden="1">[4]Datos!$M$4</definedName>
    <definedName name="BLPH10004" localSheetId="19" hidden="1">[5]Datos!$M$4</definedName>
    <definedName name="BLPH10004" localSheetId="15" hidden="1">[4]Datos!$M$4</definedName>
    <definedName name="BLPH10004" localSheetId="1" hidden="1">[5]Datos!$M$4</definedName>
    <definedName name="BLPH10004" localSheetId="21" hidden="1">[6]Datos!$M$4</definedName>
    <definedName name="BLPH10004" localSheetId="16" hidden="1">[4]Datos!$M$4</definedName>
    <definedName name="BLPH10004" localSheetId="22" hidden="1">[6]Datos!$M$4</definedName>
    <definedName name="BLPH10004" hidden="1">[7]Datos!$M$4</definedName>
    <definedName name="BLPH10005" localSheetId="20" hidden="1">[4]Datos!$A$4</definedName>
    <definedName name="BLPH10005" localSheetId="19" hidden="1">[5]Datos!$A$4</definedName>
    <definedName name="BLPH10005" localSheetId="15" hidden="1">[4]Datos!$A$4</definedName>
    <definedName name="BLPH10005" localSheetId="1" hidden="1">[5]Datos!$A$4</definedName>
    <definedName name="BLPH10005" localSheetId="21" hidden="1">[6]Datos!$A$4</definedName>
    <definedName name="BLPH10005" localSheetId="16" hidden="1">[4]Datos!$A$4</definedName>
    <definedName name="BLPH10005" localSheetId="22" hidden="1">[6]Datos!$A$4</definedName>
    <definedName name="BLPH10005" hidden="1">[7]Datos!$A$4</definedName>
    <definedName name="BLPH10006" localSheetId="20" hidden="1">[4]Datos!$C$4</definedName>
    <definedName name="BLPH10006" localSheetId="19" hidden="1">[5]Datos!$C$4</definedName>
    <definedName name="BLPH10006" localSheetId="15" hidden="1">[4]Datos!$C$4</definedName>
    <definedName name="BLPH10006" localSheetId="1" hidden="1">[5]Datos!$C$4</definedName>
    <definedName name="BLPH10006" localSheetId="21" hidden="1">[6]Datos!$C$4</definedName>
    <definedName name="BLPH10006" localSheetId="16" hidden="1">[4]Datos!$C$4</definedName>
    <definedName name="BLPH10006" localSheetId="22" hidden="1">[6]Datos!$C$4</definedName>
    <definedName name="BLPH10006" hidden="1">[7]Datos!$C$4</definedName>
    <definedName name="BLPH10007" localSheetId="20" hidden="1">[4]Datos!$K$4</definedName>
    <definedName name="BLPH10007" localSheetId="19" hidden="1">[5]Datos!$K$4</definedName>
    <definedName name="BLPH10007" localSheetId="15" hidden="1">[4]Datos!$K$4</definedName>
    <definedName name="BLPH10007" localSheetId="1" hidden="1">[5]Datos!$K$4</definedName>
    <definedName name="BLPH10007" localSheetId="21" hidden="1">[6]Datos!$K$4</definedName>
    <definedName name="BLPH10007" localSheetId="16" hidden="1">[4]Datos!$K$4</definedName>
    <definedName name="BLPH10007" localSheetId="22" hidden="1">[6]Datos!$K$4</definedName>
    <definedName name="BLPH10007" hidden="1">[7]Datos!$K$4</definedName>
    <definedName name="BLPH10008" localSheetId="20" hidden="1">[4]Datos!$I$4</definedName>
    <definedName name="BLPH10008" localSheetId="19" hidden="1">[5]Datos!$I$4</definedName>
    <definedName name="BLPH10008" localSheetId="15" hidden="1">[4]Datos!$I$4</definedName>
    <definedName name="BLPH10008" localSheetId="1" hidden="1">[5]Datos!$I$4</definedName>
    <definedName name="BLPH10008" localSheetId="21" hidden="1">[6]Datos!$I$4</definedName>
    <definedName name="BLPH10008" localSheetId="16" hidden="1">[4]Datos!$I$4</definedName>
    <definedName name="BLPH10008" localSheetId="22" hidden="1">[6]Datos!$I$4</definedName>
    <definedName name="BLPH10008" hidden="1">[7]Datos!$I$4</definedName>
    <definedName name="BLPH10009" localSheetId="20" hidden="1">[4]Datos!$S$4</definedName>
    <definedName name="BLPH10009" localSheetId="19" hidden="1">[5]Datos!$S$4</definedName>
    <definedName name="BLPH10009" localSheetId="15" hidden="1">[4]Datos!$S$4</definedName>
    <definedName name="BLPH10009" localSheetId="1" hidden="1">[5]Datos!$S$4</definedName>
    <definedName name="BLPH10009" localSheetId="21" hidden="1">[6]Datos!$S$4</definedName>
    <definedName name="BLPH10009" localSheetId="16" hidden="1">[4]Datos!$S$4</definedName>
    <definedName name="BLPH10009" localSheetId="22" hidden="1">[6]Datos!$S$4</definedName>
    <definedName name="BLPH10009" hidden="1">[7]Datos!$S$4</definedName>
    <definedName name="BLPH10010" localSheetId="20" hidden="1">[4]Datos!$Q$4</definedName>
    <definedName name="BLPH10010" localSheetId="19" hidden="1">[5]Datos!$Q$4</definedName>
    <definedName name="BLPH10010" localSheetId="15" hidden="1">[4]Datos!$Q$4</definedName>
    <definedName name="BLPH10010" localSheetId="1" hidden="1">[5]Datos!$Q$4</definedName>
    <definedName name="BLPH10010" localSheetId="21" hidden="1">[6]Datos!$Q$4</definedName>
    <definedName name="BLPH10010" localSheetId="16" hidden="1">[4]Datos!$Q$4</definedName>
    <definedName name="BLPH10010" localSheetId="22" hidden="1">[6]Datos!$Q$4</definedName>
    <definedName name="BLPH10010" hidden="1">[7]Datos!$Q$4</definedName>
    <definedName name="cd" hidden="1">{#N/A,#N/A,FALSE,"EDO. DE RESULTADOS";#N/A,#N/A,FALSE,"CAMBIOS";#N/A,#N/A,FALSE,"COM - VTA";#N/A,#N/A,FALSE,"DIVIDENDOS";#N/A,#N/A,FALSE,"OTROS ING. DE OP.";#N/A,#N/A,FALSE,"GASTOS DE PERSONAL";#N/A,#N/A,FALSE,"RENTAS";#N/A,#N/A,FALSE,"OTROS GASTOS";#N/A,#N/A,FALSE,"DEP. Y AMO.";#N/A,#N/A,FALSE,"OTROS PROD."}</definedName>
    <definedName name="church"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ddede" hidden="1">{#N/A,#N/A,FALSE,"OBLIG.S-CAPITAL"}</definedName>
    <definedName name="ddfaffd" localSheetId="3" hidden="1">#REF!</definedName>
    <definedName name="ddfaffd" localSheetId="13" hidden="1">#REF!</definedName>
    <definedName name="ddfaffd" localSheetId="14" hidden="1">#REF!</definedName>
    <definedName name="ddfaffd" localSheetId="21" hidden="1">#REF!</definedName>
    <definedName name="ddfaffd" localSheetId="22" hidden="1">#REF!</definedName>
    <definedName name="ddfaffd" hidden="1">#REF!</definedName>
    <definedName name="dññd" localSheetId="3" hidden="1">#REF!</definedName>
    <definedName name="dññd" localSheetId="13" hidden="1">#REF!</definedName>
    <definedName name="dññd" localSheetId="14" hidden="1">#REF!</definedName>
    <definedName name="dññd" localSheetId="21" hidden="1">#REF!</definedName>
    <definedName name="dññd" localSheetId="22" hidden="1">#REF!</definedName>
    <definedName name="dññd" hidden="1">#REF!</definedName>
    <definedName name="e" hidden="1">{#N/A,#N/A,FALSE,"SUBSIDIARIAS"}</definedName>
    <definedName name="edo_res" hidden="1">{#N/A,#N/A,FALSE,"ING. EXT."}</definedName>
    <definedName name="ENE" hidden="1">#N/A</definedName>
    <definedName name="FILL" localSheetId="3" hidden="1">#REF!</definedName>
    <definedName name="FILL" localSheetId="13" hidden="1">#REF!</definedName>
    <definedName name="FILL" localSheetId="14" hidden="1">#REF!</definedName>
    <definedName name="FILL" localSheetId="21" hidden="1">#REF!</definedName>
    <definedName name="FILL" localSheetId="22" hidden="1">#REF!</definedName>
    <definedName name="FILL" hidden="1">#REF!</definedName>
    <definedName name="Gpo_gstos" hidden="1">{#N/A,#N/A,FALSE,"SUBSIDIARIAS"}</definedName>
    <definedName name="h" hidden="1">{#N/A,#N/A,FALSE,"ING. EXT."}</definedName>
    <definedName name="HHH" localSheetId="3" hidden="1">[8]Total!#REF!</definedName>
    <definedName name="HHH" localSheetId="13" hidden="1">[8]Total!#REF!</definedName>
    <definedName name="HHH" localSheetId="14" hidden="1">[8]Total!#REF!</definedName>
    <definedName name="HHH" localSheetId="21" hidden="1">[8]Total!#REF!</definedName>
    <definedName name="HHH" localSheetId="22" hidden="1">[8]Total!#REF!</definedName>
    <definedName name="HHH" hidden="1">[8]Total!#REF!</definedName>
    <definedName name="HHHH" hidden="1">{#N/A,#N/A,FALSE,"SUBSIDIARIAS"}</definedName>
    <definedName name="HJSDJASD" localSheetId="7" hidden="1">[9]DepMix!#REF!</definedName>
    <definedName name="HJSDJASD" localSheetId="20" hidden="1">[10]DepMix!#REF!</definedName>
    <definedName name="HJSDJASD" localSheetId="8" hidden="1">[9]DepMix!#REF!</definedName>
    <definedName name="HJSDJASD" localSheetId="3" hidden="1">[9]DepMix!#REF!</definedName>
    <definedName name="HJSDJASD" localSheetId="13" hidden="1">[9]DepMix!#REF!</definedName>
    <definedName name="HJSDJASD" localSheetId="9" hidden="1">[9]DepMix!#REF!</definedName>
    <definedName name="HJSDJASD" localSheetId="10" hidden="1">[9]DepMix!#REF!</definedName>
    <definedName name="HJSDJASD" localSheetId="14" hidden="1">[9]DepMix!#REF!</definedName>
    <definedName name="HJSDJASD" localSheetId="2" hidden="1">[9]DepMix!#REF!</definedName>
    <definedName name="HJSDJASD" localSheetId="19" hidden="1">[11]DepMix!#REF!</definedName>
    <definedName name="HJSDJASD" localSheetId="15" hidden="1">[10]DepMix!#REF!</definedName>
    <definedName name="HJSDJASD" localSheetId="4" hidden="1">[9]DepMix!#REF!</definedName>
    <definedName name="HJSDJASD" localSheetId="1" hidden="1">[11]DepMix!#REF!</definedName>
    <definedName name="HJSDJASD" localSheetId="21" hidden="1">[12]DepMix!#REF!</definedName>
    <definedName name="HJSDJASD" localSheetId="5" hidden="1">[9]DepMix!#REF!</definedName>
    <definedName name="HJSDJASD" localSheetId="16" hidden="1">[10]DepMix!#REF!</definedName>
    <definedName name="HJSDJASD" localSheetId="11" hidden="1">[9]DepMix!#REF!</definedName>
    <definedName name="HJSDJASD" localSheetId="22" hidden="1">[12]DepMix!#REF!</definedName>
    <definedName name="HJSDJASD" localSheetId="12" hidden="1">[9]DepMix!#REF!</definedName>
    <definedName name="HJSDJASD" localSheetId="6" hidden="1">[9]DepMix!#REF!</definedName>
    <definedName name="HJSDJASD" hidden="1">[9]DepMix!#REF!</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INT";#N/A,#N/A,FALSE,"EDO. RES. CNB";#N/A,#N/A,FALSE,"EDO. RES. CONT."}</definedName>
    <definedName name="j" hidden="1">{#N/A,#N/A,FALSE,"EDO. RES. CNB";#N/A,#N/A,FALSE,"TRIMESTRAL"}</definedName>
    <definedName name="k" hidden="1">{#N/A,#N/A,FALSE,"SUBSIDIARIAS"}</definedName>
    <definedName name="l" hidden="1">{#N/A,#N/A,FALSE,"EDO. RES. INT";#N/A,#N/A,FALSE,"EDO. RES. CNB";#N/A,#N/A,FALSE,"EDO. RES. CONT."}</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ose" hidden="1">{#N/A,#N/A,FALSE,"EDO. DE RESULTADOS";#N/A,#N/A,FALSE,"CAMBIOS";#N/A,#N/A,FALSE,"COM - VTA";#N/A,#N/A,FALSE,"DIVIDENDOS";#N/A,#N/A,FALSE,"OTROS ING. DE OP.";#N/A,#N/A,FALSE,"GASTOS DE PERSONAL";#N/A,#N/A,FALSE,"RENTAS";#N/A,#N/A,FALSE,"OTROS GASTOS";#N/A,#N/A,FALSE,"DEP. Y AMO.";#N/A,#N/A,FALSE,"OTROS PROD."}</definedName>
    <definedName name="pp" hidden="1">{#N/A,#N/A,FALSE,"EDO. RES. INT";#N/A,#N/A,FALSE,"EDO. RES. CNB";#N/A,#N/A,FALSE,"EDO. RES. CONT."}</definedName>
    <definedName name="PRico" hidden="1">{"'REVALORA'!$B$3:$K$72"}</definedName>
    <definedName name="san" hidden="1">{#N/A,#N/A,FALSE,"SUBSIDIARIAS"}</definedName>
    <definedName name="SDSD" hidden="1">#N/A</definedName>
    <definedName name="ser" hidden="1">#N/A</definedName>
    <definedName name="serfgy" hidden="1">#N/A</definedName>
    <definedName name="serft" hidden="1">#N/A</definedName>
    <definedName name="ss" hidden="1">{#N/A,#N/A,FALSE,"EDO. DE RESULTADOS";#N/A,#N/A,FALSE,"CAMBIOS";#N/A,#N/A,FALSE,"COM - VTA";#N/A,#N/A,FALSE,"DIVIDENDOS";#N/A,#N/A,FALSE,"OTROS ING. DE OP.";#N/A,#N/A,FALSE,"GASTOS DE PERSONAL";#N/A,#N/A,FALSE,"RENTAS";#N/A,#N/A,FALSE,"OTROS GASTOS";#N/A,#N/A,FALSE,"DEP. Y AMO.";#N/A,#N/A,FALSE,"OTROS PROD."}</definedName>
    <definedName name="sun" hidden="1">{#N/A,#N/A,FALSE,"SUBSIDIARIAS"}</definedName>
    <definedName name="tam" hidden="1">{#N/A,#N/A,FALSE,"OBLIG.S-CAPITAL"}</definedName>
    <definedName name="TextRefCopyRangeCount" hidden="1">34</definedName>
    <definedName name="tt" hidden="1">{#N/A,#N/A,FALSE,"ING. EXT."}</definedName>
    <definedName name="uu" hidden="1">{#N/A,#N/A,FALSE,"EDO. RES. INT";#N/A,#N/A,FALSE,"EDO. RES. CNB";#N/A,#N/A,FALSE,"EDO. RES. CONT."}</definedName>
    <definedName name="v" hidden="1">{#N/A,#N/A,FALSE,"SUBSIDIARIAS"}</definedName>
    <definedName name="vv" hidden="1">{#N/A,#N/A,FALSE,"EDO. RES. CNB";#N/A,#N/A,FALSE,"TRIMESTRAL"}</definedName>
    <definedName name="w" hidden="1">{#N/A,#N/A,FALSE,"EDO. DE RESULTADOS";#N/A,#N/A,FALSE,"CAMBIOS";#N/A,#N/A,FALSE,"COM - VTA";#N/A,#N/A,FALSE,"DIVIDENDOS";#N/A,#N/A,FALSE,"OTROS ING. DE OP.";#N/A,#N/A,FALSE,"GASTOS DE PERSONAL";#N/A,#N/A,FALSE,"RENTAS";#N/A,#N/A,FALSE,"OTROS GASTOS";#N/A,#N/A,FALSE,"DEP. Y AMO.";#N/A,#N/A,FALSE,"OTROS PROD."}</definedName>
    <definedName name="wrn.actbill." localSheetId="20" hidden="1">{"actbill",#N/A,FALSE,"ACTUAL BILL"}</definedName>
    <definedName name="wrn.actbill." localSheetId="19" hidden="1">{"actbill",#N/A,FALSE,"ACTUAL BILL"}</definedName>
    <definedName name="wrn.actbill." localSheetId="15" hidden="1">{"actbill",#N/A,FALSE,"ACTUAL BILL"}</definedName>
    <definedName name="wrn.actbill." localSheetId="1" hidden="1">{"actbill",#N/A,FALSE,"ACTUAL BILL"}</definedName>
    <definedName name="wrn.actbill." localSheetId="21" hidden="1">{"actbill",#N/A,FALSE,"ACTUAL BILL"}</definedName>
    <definedName name="wrn.actbill." localSheetId="16" hidden="1">{"actbill",#N/A,FALSE,"ACTUAL BILL"}</definedName>
    <definedName name="wrn.actbill." localSheetId="22" hidden="1">{"actbill",#N/A,FALSE,"ACTUAL BILL"}</definedName>
    <definedName name="wrn.actbill." hidden="1">{"actbill",#N/A,FALSE,"ACTUAL BILL"}</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CAPITAL." hidden="1">{#N/A,#N/A,FALSE,"RES. CAPITAL";#N/A,#N/A,FALSE,"SUPERAVIT"}</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OLD." hidden="1">{"GAY",#N/A,FALSE,"ART";"GIL",#N/A,FALSE,"consolidado"}</definedName>
    <definedName name="wrn.Package."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ocess._.Graphs." localSheetId="20" hidden="1">{"process graphs",#N/A,FALSE,"graphs&amp;data"}</definedName>
    <definedName name="wrn.Process._.Graphs." localSheetId="19" hidden="1">{"process graphs",#N/A,FALSE,"graphs&amp;data"}</definedName>
    <definedName name="wrn.Process._.Graphs." localSheetId="15" hidden="1">{"process graphs",#N/A,FALSE,"graphs&amp;data"}</definedName>
    <definedName name="wrn.Process._.Graphs." localSheetId="1" hidden="1">{"process graphs",#N/A,FALSE,"graphs&amp;data"}</definedName>
    <definedName name="wrn.Process._.Graphs." localSheetId="21" hidden="1">{"process graphs",#N/A,FALSE,"graphs&amp;data"}</definedName>
    <definedName name="wrn.Process._.Graphs." localSheetId="16" hidden="1">{"process graphs",#N/A,FALSE,"graphs&amp;data"}</definedName>
    <definedName name="wrn.Process._.Graphs." localSheetId="22" hidden="1">{"process graphs",#N/A,FALSE,"graphs&amp;data"}</definedName>
    <definedName name="wrn.Process._.Graphs." hidden="1">{"process graphs",#N/A,FALSE,"graphs&amp;data"}</definedName>
    <definedName name="wrn.Project._.Graphs." localSheetId="20" hidden="1">{"project graphs",#N/A,FALSE,"graphs&amp;data"}</definedName>
    <definedName name="wrn.Project._.Graphs." localSheetId="19" hidden="1">{"project graphs",#N/A,FALSE,"graphs&amp;data"}</definedName>
    <definedName name="wrn.Project._.Graphs." localSheetId="15" hidden="1">{"project graphs",#N/A,FALSE,"graphs&amp;data"}</definedName>
    <definedName name="wrn.Project._.Graphs." localSheetId="1" hidden="1">{"project graphs",#N/A,FALSE,"graphs&amp;data"}</definedName>
    <definedName name="wrn.Project._.Graphs." localSheetId="21" hidden="1">{"project graphs",#N/A,FALSE,"graphs&amp;data"}</definedName>
    <definedName name="wrn.Project._.Graphs." localSheetId="16" hidden="1">{"project graphs",#N/A,FALSE,"graphs&amp;data"}</definedName>
    <definedName name="wrn.Project._.Graphs." localSheetId="22" hidden="1">{"project graphs",#N/A,FALSE,"graphs&amp;data"}</definedName>
    <definedName name="wrn.Project._.Graphs." hidden="1">{"project graphs",#N/A,FALSE,"graphs&amp;data"}</definedName>
    <definedName name="wrn.SUBSIDIARIAS." hidden="1">{#N/A,#N/A,FALSE,"SUBSIDIARIAS"}</definedName>
    <definedName name="wrn.testprint." localSheetId="20" hidden="1">{"test",#N/A,FALSE,"VAR BILL"}</definedName>
    <definedName name="wrn.testprint." localSheetId="19" hidden="1">{"test",#N/A,FALSE,"VAR BILL"}</definedName>
    <definedName name="wrn.testprint." localSheetId="15" hidden="1">{"test",#N/A,FALSE,"VAR BILL"}</definedName>
    <definedName name="wrn.testprint." localSheetId="1" hidden="1">{"test",#N/A,FALSE,"VAR BILL"}</definedName>
    <definedName name="wrn.testprint." localSheetId="21" hidden="1">{"test",#N/A,FALSE,"VAR BILL"}</definedName>
    <definedName name="wrn.testprint." localSheetId="16" hidden="1">{"test",#N/A,FALSE,"VAR BILL"}</definedName>
    <definedName name="wrn.testprint." localSheetId="22" hidden="1">{"test",#N/A,FALSE,"VAR BILL"}</definedName>
    <definedName name="wrn.testprint." hidden="1">{"test",#N/A,FALSE,"VAR BILL"}</definedName>
    <definedName name="wrn.UDIS." hidden="1">{#N/A,#N/A,FALSE,"UDIS SEPT 96"}</definedName>
    <definedName name="wwww" localSheetId="3" hidden="1">#REF!</definedName>
    <definedName name="wwww" localSheetId="13" hidden="1">#REF!</definedName>
    <definedName name="wwww" localSheetId="14" hidden="1">#REF!</definedName>
    <definedName name="wwww" localSheetId="21" hidden="1">#REF!</definedName>
    <definedName name="wwww" localSheetId="22" hidden="1">#REF!</definedName>
    <definedName name="wwww" hidden="1">#REF!</definedName>
    <definedName name="XREF_COLUMN_3" localSheetId="3" hidden="1">'[13]G 5.4 diciembre 2007'!#REF!</definedName>
    <definedName name="XREF_COLUMN_3" localSheetId="13" hidden="1">'[13]G 5.4 diciembre 2007'!#REF!</definedName>
    <definedName name="XREF_COLUMN_3" localSheetId="14" hidden="1">'[13]G 5.4 diciembre 2007'!#REF!</definedName>
    <definedName name="XREF_COLUMN_3" localSheetId="21" hidden="1">'[13]G 5.4 diciembre 2007'!#REF!</definedName>
    <definedName name="XREF_COLUMN_3" localSheetId="22" hidden="1">'[13]G 5.4 diciembre 2007'!#REF!</definedName>
    <definedName name="XREF_COLUMN_3" hidden="1">'[13]G 5.4 diciembre 2007'!#REF!</definedName>
    <definedName name="XREF_COLUMN_4" localSheetId="3" hidden="1">#REF!</definedName>
    <definedName name="XREF_COLUMN_4" localSheetId="13" hidden="1">#REF!</definedName>
    <definedName name="XREF_COLUMN_4" localSheetId="14" hidden="1">#REF!</definedName>
    <definedName name="XREF_COLUMN_4" localSheetId="21" hidden="1">#REF!</definedName>
    <definedName name="XREF_COLUMN_4" localSheetId="22" hidden="1">#REF!</definedName>
    <definedName name="XREF_COLUMN_4" hidden="1">#REF!</definedName>
    <definedName name="XRefActiveRow" localSheetId="3" hidden="1">#REF!</definedName>
    <definedName name="XRefActiveRow" localSheetId="13" hidden="1">#REF!</definedName>
    <definedName name="XRefActiveRow" localSheetId="14" hidden="1">#REF!</definedName>
    <definedName name="XRefActiveRow" localSheetId="21" hidden="1">#REF!</definedName>
    <definedName name="XRefActiveRow" localSheetId="22" hidden="1">#REF!</definedName>
    <definedName name="XRefActiveRow" hidden="1">#REF!</definedName>
    <definedName name="XRefColumnsCount" hidden="1">4</definedName>
    <definedName name="XRefCopy1" localSheetId="3" hidden="1">'[14]CONC MARZO'!#REF!</definedName>
    <definedName name="XRefCopy1" localSheetId="13" hidden="1">'[14]CONC MARZO'!#REF!</definedName>
    <definedName name="XRefCopy1" localSheetId="14" hidden="1">'[14]CONC MARZO'!#REF!</definedName>
    <definedName name="XRefCopy1" localSheetId="21" hidden="1">'[14]CONC MARZO'!#REF!</definedName>
    <definedName name="XRefCopy1" localSheetId="22" hidden="1">'[14]CONC MARZO'!#REF!</definedName>
    <definedName name="XRefCopy1" hidden="1">'[14]CONC MARZO'!#REF!</definedName>
    <definedName name="XRefCopy1Row" localSheetId="3" hidden="1">#REF!</definedName>
    <definedName name="XRefCopy1Row" localSheetId="13" hidden="1">#REF!</definedName>
    <definedName name="XRefCopy1Row" localSheetId="14" hidden="1">#REF!</definedName>
    <definedName name="XRefCopy1Row" localSheetId="21" hidden="1">#REF!</definedName>
    <definedName name="XRefCopy1Row" localSheetId="22" hidden="1">#REF!</definedName>
    <definedName name="XRefCopy1Row" hidden="1">#REF!</definedName>
    <definedName name="XRefCopy2Row" localSheetId="3" hidden="1">#REF!</definedName>
    <definedName name="XRefCopy2Row" localSheetId="13" hidden="1">#REF!</definedName>
    <definedName name="XRefCopy2Row" localSheetId="14" hidden="1">#REF!</definedName>
    <definedName name="XRefCopy2Row" localSheetId="21" hidden="1">#REF!</definedName>
    <definedName name="XRefCopy2Row" localSheetId="22" hidden="1">#REF!</definedName>
    <definedName name="XRefCopy2Row" hidden="1">#REF!</definedName>
    <definedName name="XRefCopy3Row" localSheetId="3" hidden="1">#REF!</definedName>
    <definedName name="XRefCopy3Row" localSheetId="13" hidden="1">#REF!</definedName>
    <definedName name="XRefCopy3Row" localSheetId="14" hidden="1">#REF!</definedName>
    <definedName name="XRefCopy3Row" localSheetId="21" hidden="1">#REF!</definedName>
    <definedName name="XRefCopy3Row" localSheetId="22" hidden="1">#REF!</definedName>
    <definedName name="XRefCopy3Row" hidden="1">#REF!</definedName>
    <definedName name="XRefCopy4" localSheetId="3" hidden="1">'[14]CONC MARZO'!#REF!</definedName>
    <definedName name="XRefCopy4" localSheetId="13" hidden="1">'[14]CONC MARZO'!#REF!</definedName>
    <definedName name="XRefCopy4" localSheetId="14" hidden="1">'[14]CONC MARZO'!#REF!</definedName>
    <definedName name="XRefCopy4" localSheetId="21" hidden="1">'[14]CONC MARZO'!#REF!</definedName>
    <definedName name="XRefCopy4" localSheetId="22" hidden="1">'[14]CONC MARZO'!#REF!</definedName>
    <definedName name="XRefCopy4" hidden="1">'[14]CONC MARZO'!#REF!</definedName>
    <definedName name="XRefCopy5" localSheetId="3" hidden="1">#REF!</definedName>
    <definedName name="XRefCopy5" localSheetId="13" hidden="1">#REF!</definedName>
    <definedName name="XRefCopy5" localSheetId="14" hidden="1">#REF!</definedName>
    <definedName name="XRefCopy5" localSheetId="21" hidden="1">#REF!</definedName>
    <definedName name="XRefCopy5" localSheetId="22" hidden="1">#REF!</definedName>
    <definedName name="XRefCopy5" hidden="1">#REF!</definedName>
    <definedName name="XRefCopy5Row" localSheetId="3" hidden="1">[15]XREF!#REF!</definedName>
    <definedName name="XRefCopy5Row" localSheetId="13" hidden="1">[15]XREF!#REF!</definedName>
    <definedName name="XRefCopy5Row" localSheetId="14" hidden="1">[15]XREF!#REF!</definedName>
    <definedName name="XRefCopy5Row" localSheetId="21" hidden="1">[15]XREF!#REF!</definedName>
    <definedName name="XRefCopy5Row" localSheetId="22" hidden="1">[15]XREF!#REF!</definedName>
    <definedName name="XRefCopy5Row" hidden="1">[15]XREF!#REF!</definedName>
    <definedName name="XRefCopy6Row" localSheetId="3" hidden="1">#REF!</definedName>
    <definedName name="XRefCopy6Row" localSheetId="13" hidden="1">#REF!</definedName>
    <definedName name="XRefCopy6Row" localSheetId="14" hidden="1">#REF!</definedName>
    <definedName name="XRefCopy6Row" localSheetId="21" hidden="1">#REF!</definedName>
    <definedName name="XRefCopy6Row" localSheetId="22" hidden="1">#REF!</definedName>
    <definedName name="XRefCopy6Row" hidden="1">#REF!</definedName>
    <definedName name="XRefCopyRangeCount" hidden="1">6</definedName>
    <definedName name="XRefPaste1Row" localSheetId="3" hidden="1">#REF!</definedName>
    <definedName name="XRefPaste1Row" localSheetId="13" hidden="1">#REF!</definedName>
    <definedName name="XRefPaste1Row" localSheetId="14" hidden="1">#REF!</definedName>
    <definedName name="XRefPaste1Row" localSheetId="21" hidden="1">#REF!</definedName>
    <definedName name="XRefPaste1Row" localSheetId="22" hidden="1">#REF!</definedName>
    <definedName name="XRefPaste1Row" hidden="1">#REF!</definedName>
    <definedName name="XRefPaste2Row" localSheetId="3" hidden="1">#REF!</definedName>
    <definedName name="XRefPaste2Row" localSheetId="13" hidden="1">#REF!</definedName>
    <definedName name="XRefPaste2Row" localSheetId="14" hidden="1">#REF!</definedName>
    <definedName name="XRefPaste2Row" localSheetId="21" hidden="1">#REF!</definedName>
    <definedName name="XRefPaste2Row" localSheetId="22" hidden="1">#REF!</definedName>
    <definedName name="XRefPaste2Row" hidden="1">#REF!</definedName>
    <definedName name="XRefPaste3Row" localSheetId="3" hidden="1">#REF!</definedName>
    <definedName name="XRefPaste3Row" localSheetId="13" hidden="1">#REF!</definedName>
    <definedName name="XRefPaste3Row" localSheetId="14" hidden="1">#REF!</definedName>
    <definedName name="XRefPaste3Row" localSheetId="21" hidden="1">#REF!</definedName>
    <definedName name="XRefPaste3Row" localSheetId="22" hidden="1">#REF!</definedName>
    <definedName name="XRefPaste3Row" hidden="1">#REF!</definedName>
    <definedName name="XRefPaste4" localSheetId="3" hidden="1">#REF!</definedName>
    <definedName name="XRefPaste4" localSheetId="13" hidden="1">#REF!</definedName>
    <definedName name="XRefPaste4" localSheetId="14" hidden="1">#REF!</definedName>
    <definedName name="XRefPaste4" localSheetId="21" hidden="1">#REF!</definedName>
    <definedName name="XRefPaste4" localSheetId="22" hidden="1">#REF!</definedName>
    <definedName name="XRefPaste4" hidden="1">#REF!</definedName>
    <definedName name="XRefPaste4Row" localSheetId="3" hidden="1">#REF!</definedName>
    <definedName name="XRefPaste4Row" localSheetId="13" hidden="1">#REF!</definedName>
    <definedName name="XRefPaste4Row" localSheetId="14" hidden="1">#REF!</definedName>
    <definedName name="XRefPaste4Row" localSheetId="21" hidden="1">#REF!</definedName>
    <definedName name="XRefPaste4Row" localSheetId="22" hidden="1">#REF!</definedName>
    <definedName name="XRefPaste4Row" hidden="1">#REF!</definedName>
    <definedName name="XRefPasteRangeCount" hidden="1">4</definedName>
    <definedName name="YO" hidden="1">{#N/A,#N/A,FALSE,"EDO. RES. INT";#N/A,#N/A,FALSE,"EDO. RES. CNB";#N/A,#N/A,FALSE,"EDO. RES. CONT."}</definedName>
    <definedName name="yy" hidden="1">{#N/A,#N/A,FALSE,"SUBSIDIARIAS"}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3" l="1"/>
  <c r="B12" i="23"/>
  <c r="F20" i="23"/>
  <c r="E20" i="23"/>
  <c r="D20" i="23"/>
  <c r="C20" i="23"/>
  <c r="B20" i="23"/>
  <c r="A39" i="24" l="1"/>
  <c r="A38" i="24"/>
  <c r="A37" i="24"/>
  <c r="A36" i="24"/>
  <c r="A35" i="24"/>
  <c r="I40" i="24"/>
  <c r="A34" i="24"/>
  <c r="A33" i="24"/>
  <c r="G40" i="24"/>
  <c r="F40" i="24"/>
  <c r="E40" i="24"/>
  <c r="A32" i="24"/>
  <c r="G31" i="24"/>
  <c r="D31" i="24"/>
  <c r="B30" i="24"/>
  <c r="H27" i="24"/>
  <c r="F27" i="24"/>
  <c r="E27" i="24"/>
  <c r="A26" i="24"/>
  <c r="A25" i="24"/>
  <c r="A24" i="24"/>
  <c r="G27" i="24"/>
  <c r="A23" i="24"/>
  <c r="D27" i="24"/>
  <c r="C27" i="24"/>
  <c r="A22" i="24"/>
  <c r="I27" i="24"/>
  <c r="A21" i="24"/>
  <c r="A20" i="24"/>
  <c r="A19" i="24"/>
  <c r="I18" i="24"/>
  <c r="H18" i="24"/>
  <c r="G18" i="24"/>
  <c r="F18" i="24"/>
  <c r="E18" i="24"/>
  <c r="D18" i="24"/>
  <c r="B17" i="24"/>
  <c r="B14" i="24"/>
  <c r="A13" i="24"/>
  <c r="A12" i="24"/>
  <c r="A11" i="24"/>
  <c r="A10" i="24"/>
  <c r="A9" i="24"/>
  <c r="A8" i="24"/>
  <c r="A7" i="24"/>
  <c r="I14" i="24"/>
  <c r="C14" i="24"/>
  <c r="A6" i="24"/>
  <c r="I5" i="24"/>
  <c r="I31" i="24" s="1"/>
  <c r="H5" i="24"/>
  <c r="H31" i="24" s="1"/>
  <c r="G5" i="24"/>
  <c r="F5" i="24"/>
  <c r="F31" i="24" s="1"/>
  <c r="E5" i="24"/>
  <c r="E31" i="24" s="1"/>
  <c r="D5" i="24"/>
  <c r="C5" i="24"/>
  <c r="C31" i="24" s="1"/>
  <c r="B5" i="24"/>
  <c r="B4" i="24"/>
  <c r="A2" i="24"/>
  <c r="A1" i="24"/>
  <c r="I57" i="23"/>
  <c r="A52" i="23"/>
  <c r="A51" i="23"/>
  <c r="G48" i="23"/>
  <c r="A47" i="23"/>
  <c r="I46" i="23"/>
  <c r="H46" i="23"/>
  <c r="H48" i="23" s="1"/>
  <c r="G46" i="23"/>
  <c r="F57" i="23"/>
  <c r="H41" i="23"/>
  <c r="B40" i="23"/>
  <c r="A38" i="23"/>
  <c r="A37" i="23"/>
  <c r="A36" i="23"/>
  <c r="A35" i="23"/>
  <c r="A34" i="23"/>
  <c r="A33" i="23"/>
  <c r="A32" i="23"/>
  <c r="H31" i="23"/>
  <c r="B30" i="23"/>
  <c r="G27" i="23"/>
  <c r="F27" i="23"/>
  <c r="E27" i="23"/>
  <c r="D27" i="23"/>
  <c r="C27" i="23"/>
  <c r="A27" i="23"/>
  <c r="A26" i="23"/>
  <c r="A25" i="23"/>
  <c r="D28" i="23"/>
  <c r="B27" i="23"/>
  <c r="A24" i="23"/>
  <c r="F28" i="23"/>
  <c r="C28" i="23"/>
  <c r="A23" i="23"/>
  <c r="I22" i="23"/>
  <c r="G22" i="23"/>
  <c r="F22" i="23"/>
  <c r="E22" i="23"/>
  <c r="B22" i="23"/>
  <c r="B21" i="23"/>
  <c r="H19" i="23"/>
  <c r="F19" i="23"/>
  <c r="E19" i="23"/>
  <c r="A18" i="23"/>
  <c r="G19" i="23"/>
  <c r="A17" i="23"/>
  <c r="A16" i="23"/>
  <c r="A15" i="23"/>
  <c r="D19" i="23"/>
  <c r="C19" i="23"/>
  <c r="B19" i="23"/>
  <c r="A14" i="23"/>
  <c r="I13" i="23"/>
  <c r="H13" i="23"/>
  <c r="G13" i="23"/>
  <c r="E13" i="23"/>
  <c r="H10" i="23"/>
  <c r="G9" i="23"/>
  <c r="F9" i="23"/>
  <c r="E9" i="23"/>
  <c r="D9" i="23"/>
  <c r="C9" i="23"/>
  <c r="A9" i="23"/>
  <c r="A8" i="23"/>
  <c r="I10" i="23"/>
  <c r="A7" i="23"/>
  <c r="A6" i="23"/>
  <c r="I9" i="23"/>
  <c r="H9" i="23"/>
  <c r="G10" i="23"/>
  <c r="F10" i="23"/>
  <c r="C10" i="23"/>
  <c r="A5" i="23"/>
  <c r="I4" i="23"/>
  <c r="I41" i="23" s="1"/>
  <c r="H4" i="23"/>
  <c r="H22" i="23" s="1"/>
  <c r="G4" i="23"/>
  <c r="G41" i="23" s="1"/>
  <c r="F4" i="23"/>
  <c r="F13" i="23" s="1"/>
  <c r="E4" i="23"/>
  <c r="E41" i="23" s="1"/>
  <c r="D4" i="23"/>
  <c r="C4" i="23"/>
  <c r="B4" i="23"/>
  <c r="B3" i="23"/>
  <c r="A2" i="23"/>
  <c r="A1" i="23"/>
  <c r="A61" i="22"/>
  <c r="H59" i="22"/>
  <c r="E59" i="22"/>
  <c r="C59" i="22"/>
  <c r="B59" i="22"/>
  <c r="A58" i="22"/>
  <c r="I59" i="22"/>
  <c r="C52" i="22"/>
  <c r="B52" i="22"/>
  <c r="B51" i="22"/>
  <c r="A48" i="22"/>
  <c r="A47" i="22"/>
  <c r="A46" i="22"/>
  <c r="A45" i="22"/>
  <c r="A44" i="22"/>
  <c r="B43" i="22"/>
  <c r="B42" i="22"/>
  <c r="G48" i="22"/>
  <c r="F48" i="22"/>
  <c r="A38" i="22"/>
  <c r="A37" i="22"/>
  <c r="A36" i="22"/>
  <c r="A35" i="22"/>
  <c r="A34" i="22"/>
  <c r="A33" i="22"/>
  <c r="A32" i="22"/>
  <c r="F31" i="22"/>
  <c r="C31" i="22"/>
  <c r="B31" i="22"/>
  <c r="B30" i="22"/>
  <c r="A27" i="22"/>
  <c r="I27" i="22"/>
  <c r="B27" i="22"/>
  <c r="A26" i="22"/>
  <c r="A25" i="22"/>
  <c r="A24" i="22"/>
  <c r="A23" i="22"/>
  <c r="A22" i="22"/>
  <c r="A21" i="22"/>
  <c r="A20" i="22"/>
  <c r="A19" i="22"/>
  <c r="B17" i="22"/>
  <c r="A13" i="22"/>
  <c r="I14" i="22"/>
  <c r="A12" i="22"/>
  <c r="A11" i="22"/>
  <c r="A10" i="22"/>
  <c r="A9" i="22"/>
  <c r="A8" i="22"/>
  <c r="G14" i="22"/>
  <c r="F14" i="22"/>
  <c r="E14" i="22"/>
  <c r="A7" i="22"/>
  <c r="A6" i="22"/>
  <c r="I5" i="22"/>
  <c r="H5" i="22"/>
  <c r="G5" i="22"/>
  <c r="F5" i="22"/>
  <c r="E5" i="22"/>
  <c r="D5" i="22"/>
  <c r="D31" i="22" s="1"/>
  <c r="C5" i="22"/>
  <c r="B5" i="22"/>
  <c r="B18" i="22" s="1"/>
  <c r="B4" i="22"/>
  <c r="A2" i="22"/>
  <c r="A1" i="22"/>
  <c r="A21" i="21"/>
  <c r="I17" i="21"/>
  <c r="A17" i="21"/>
  <c r="A16" i="21"/>
  <c r="A15" i="21"/>
  <c r="I10" i="21"/>
  <c r="A14" i="21"/>
  <c r="A13" i="21"/>
  <c r="H10" i="21"/>
  <c r="G10" i="21"/>
  <c r="A12" i="21"/>
  <c r="C10" i="21"/>
  <c r="A11" i="21"/>
  <c r="F10" i="21"/>
  <c r="A10" i="21"/>
  <c r="A9" i="21"/>
  <c r="A8" i="21"/>
  <c r="H17" i="21"/>
  <c r="G17" i="21"/>
  <c r="A7" i="21"/>
  <c r="C17" i="21"/>
  <c r="B17" i="21"/>
  <c r="A6" i="21"/>
  <c r="I5" i="21"/>
  <c r="H5" i="21"/>
  <c r="G5" i="21"/>
  <c r="F5" i="21"/>
  <c r="E5" i="21"/>
  <c r="D5" i="21"/>
  <c r="C5" i="21"/>
  <c r="B5" i="21"/>
  <c r="B4" i="21"/>
  <c r="A2" i="21"/>
  <c r="A1" i="21"/>
  <c r="A38" i="20"/>
  <c r="A36" i="20"/>
  <c r="A35" i="20"/>
  <c r="A34" i="20"/>
  <c r="A32" i="20"/>
  <c r="A31" i="20"/>
  <c r="A30" i="20"/>
  <c r="A28" i="20"/>
  <c r="A27" i="20"/>
  <c r="A26" i="20"/>
  <c r="A24" i="20"/>
  <c r="A23" i="20"/>
  <c r="A22" i="20"/>
  <c r="A20" i="20"/>
  <c r="A19" i="20"/>
  <c r="A18" i="20"/>
  <c r="A16" i="20"/>
  <c r="A15" i="20"/>
  <c r="A14" i="20"/>
  <c r="A12" i="20"/>
  <c r="A11" i="20"/>
  <c r="A10" i="20"/>
  <c r="A8" i="20"/>
  <c r="A7" i="20"/>
  <c r="A6" i="20"/>
  <c r="I4" i="20"/>
  <c r="H4" i="20"/>
  <c r="G4" i="20"/>
  <c r="F4" i="20"/>
  <c r="E4" i="20"/>
  <c r="D4" i="20"/>
  <c r="C4" i="20"/>
  <c r="B4" i="20"/>
  <c r="F3" i="20"/>
  <c r="B3" i="20"/>
  <c r="A2" i="20"/>
  <c r="A1" i="20"/>
  <c r="A17" i="19"/>
  <c r="A16" i="19"/>
  <c r="A15" i="19"/>
  <c r="A12" i="19"/>
  <c r="A11" i="19"/>
  <c r="A10" i="19"/>
  <c r="A9" i="19"/>
  <c r="A8" i="19"/>
  <c r="A7" i="19"/>
  <c r="A6" i="19"/>
  <c r="H5" i="19"/>
  <c r="D5" i="19"/>
  <c r="I5" i="19" s="1"/>
  <c r="I4" i="19"/>
  <c r="E4" i="19"/>
  <c r="D4" i="19"/>
  <c r="H3" i="19"/>
  <c r="C3" i="19"/>
  <c r="A2" i="19"/>
  <c r="A1" i="19"/>
  <c r="A42" i="18"/>
  <c r="A41" i="18"/>
  <c r="A40" i="18"/>
  <c r="A39" i="18"/>
  <c r="A38" i="18"/>
  <c r="A37" i="18"/>
  <c r="A36" i="18"/>
  <c r="A35" i="18"/>
  <c r="F43" i="18"/>
  <c r="E43" i="18"/>
  <c r="D43" i="18"/>
  <c r="C43" i="18"/>
  <c r="B43" i="18"/>
  <c r="A34" i="18"/>
  <c r="A33" i="18"/>
  <c r="H32" i="18"/>
  <c r="G32" i="18"/>
  <c r="F32" i="18"/>
  <c r="E32" i="18"/>
  <c r="D32" i="18"/>
  <c r="C32" i="18"/>
  <c r="B32" i="18"/>
  <c r="A31" i="18"/>
  <c r="A27" i="18"/>
  <c r="A26" i="18"/>
  <c r="A25" i="18"/>
  <c r="A24" i="18"/>
  <c r="A23" i="18"/>
  <c r="A22" i="18"/>
  <c r="A21" i="18"/>
  <c r="A20" i="18"/>
  <c r="F28" i="18"/>
  <c r="E28" i="18"/>
  <c r="D28" i="18"/>
  <c r="A19" i="18"/>
  <c r="A18" i="18"/>
  <c r="I17" i="18"/>
  <c r="H17" i="18"/>
  <c r="G17" i="18"/>
  <c r="F17" i="18"/>
  <c r="E17" i="18"/>
  <c r="D17" i="18"/>
  <c r="B17" i="18"/>
  <c r="A16" i="18"/>
  <c r="A12" i="18"/>
  <c r="A11" i="18"/>
  <c r="A10" i="18"/>
  <c r="A9" i="18"/>
  <c r="A8" i="18"/>
  <c r="A7" i="18"/>
  <c r="A6" i="18"/>
  <c r="A5" i="18"/>
  <c r="I13" i="18"/>
  <c r="H13" i="18"/>
  <c r="A4" i="18"/>
  <c r="D13" i="18"/>
  <c r="A3" i="18"/>
  <c r="I2" i="18"/>
  <c r="I32" i="18" s="1"/>
  <c r="H2" i="18"/>
  <c r="G2" i="18"/>
  <c r="F2" i="18"/>
  <c r="E2" i="18"/>
  <c r="D2" i="18"/>
  <c r="C2" i="18"/>
  <c r="C17" i="18" s="1"/>
  <c r="B2" i="18"/>
  <c r="A1" i="18"/>
  <c r="A49" i="17"/>
  <c r="A47" i="17"/>
  <c r="A45" i="17"/>
  <c r="A43" i="17"/>
  <c r="A41" i="17"/>
  <c r="A39" i="17"/>
  <c r="A36" i="17"/>
  <c r="A35" i="17"/>
  <c r="A32" i="17"/>
  <c r="A30" i="17"/>
  <c r="A28" i="17"/>
  <c r="A26" i="17"/>
  <c r="A24" i="17"/>
  <c r="A22" i="17"/>
  <c r="A19" i="17"/>
  <c r="A18" i="17"/>
  <c r="A15" i="17"/>
  <c r="A13" i="17"/>
  <c r="A11" i="17"/>
  <c r="A9" i="17"/>
  <c r="A7" i="17"/>
  <c r="A5" i="17"/>
  <c r="I3" i="17"/>
  <c r="I37" i="17" s="1"/>
  <c r="H3" i="17"/>
  <c r="H37" i="17" s="1"/>
  <c r="G3" i="17"/>
  <c r="F3" i="17"/>
  <c r="E3" i="17"/>
  <c r="E37" i="17" s="1"/>
  <c r="D3" i="17"/>
  <c r="D37" i="17" s="1"/>
  <c r="C3" i="17"/>
  <c r="C37" i="17" s="1"/>
  <c r="B3" i="17"/>
  <c r="B37" i="17" s="1"/>
  <c r="A2" i="17"/>
  <c r="A1" i="17"/>
  <c r="A17" i="16"/>
  <c r="A15" i="16"/>
  <c r="A13" i="16"/>
  <c r="A11" i="16"/>
  <c r="A9" i="16"/>
  <c r="A7" i="16"/>
  <c r="A5" i="16"/>
  <c r="I3" i="16"/>
  <c r="H3" i="16"/>
  <c r="G3" i="16"/>
  <c r="F3" i="16"/>
  <c r="E3" i="16"/>
  <c r="D3" i="16"/>
  <c r="C3" i="16"/>
  <c r="B3" i="16"/>
  <c r="A2" i="16"/>
  <c r="A1" i="16"/>
  <c r="A113" i="15"/>
  <c r="A112" i="15"/>
  <c r="A111" i="15"/>
  <c r="A110" i="15"/>
  <c r="A109" i="15"/>
  <c r="A108" i="15"/>
  <c r="A107" i="15"/>
  <c r="I106" i="15"/>
  <c r="F106" i="15"/>
  <c r="C106" i="15"/>
  <c r="B106" i="15"/>
  <c r="A105" i="15"/>
  <c r="A104" i="15"/>
  <c r="A101" i="15"/>
  <c r="F100" i="15"/>
  <c r="D100" i="15"/>
  <c r="C100" i="15"/>
  <c r="A100" i="15"/>
  <c r="A99" i="15"/>
  <c r="E100" i="15"/>
  <c r="A98" i="15"/>
  <c r="A97" i="15"/>
  <c r="H100" i="15"/>
  <c r="A96" i="15"/>
  <c r="A95" i="15"/>
  <c r="A94" i="15"/>
  <c r="C93" i="15"/>
  <c r="B93" i="15"/>
  <c r="A93" i="15"/>
  <c r="A92" i="15"/>
  <c r="D93" i="15"/>
  <c r="A91" i="15"/>
  <c r="A90" i="15"/>
  <c r="G93" i="15"/>
  <c r="F93" i="15"/>
  <c r="A89" i="15"/>
  <c r="E93" i="15"/>
  <c r="A88" i="15"/>
  <c r="A87" i="15"/>
  <c r="H86" i="15"/>
  <c r="F86" i="15"/>
  <c r="A85" i="15"/>
  <c r="A84" i="15"/>
  <c r="A81" i="15"/>
  <c r="A80" i="15"/>
  <c r="A79" i="15"/>
  <c r="A78" i="15"/>
  <c r="A77" i="15"/>
  <c r="A76" i="15"/>
  <c r="A75" i="15"/>
  <c r="C74" i="15"/>
  <c r="C77" i="15" s="1"/>
  <c r="A74" i="15"/>
  <c r="A73" i="15"/>
  <c r="A72" i="15"/>
  <c r="A71" i="15"/>
  <c r="A70" i="15"/>
  <c r="A69" i="15"/>
  <c r="A68" i="15"/>
  <c r="A67" i="15"/>
  <c r="A66" i="15"/>
  <c r="I68" i="15"/>
  <c r="I74" i="15" s="1"/>
  <c r="H68" i="15"/>
  <c r="H74" i="15" s="1"/>
  <c r="H77" i="15" s="1"/>
  <c r="H79" i="15" s="1"/>
  <c r="H81" i="15" s="1"/>
  <c r="D68" i="15"/>
  <c r="D74" i="15" s="1"/>
  <c r="D77" i="15" s="1"/>
  <c r="A65" i="15"/>
  <c r="E68" i="15"/>
  <c r="E74" i="15" s="1"/>
  <c r="E77" i="15" s="1"/>
  <c r="E79" i="15" s="1"/>
  <c r="E81" i="15" s="1"/>
  <c r="C68" i="15"/>
  <c r="B68" i="15"/>
  <c r="B74" i="15" s="1"/>
  <c r="B77" i="15" s="1"/>
  <c r="B79" i="15" s="1"/>
  <c r="B81" i="15" s="1"/>
  <c r="A64" i="15"/>
  <c r="A60" i="15"/>
  <c r="A59" i="15"/>
  <c r="A57" i="15"/>
  <c r="A56" i="15"/>
  <c r="A55" i="15"/>
  <c r="A54" i="15"/>
  <c r="A53" i="15"/>
  <c r="A52" i="15"/>
  <c r="A51" i="15"/>
  <c r="I50" i="15"/>
  <c r="E50" i="15"/>
  <c r="D50" i="15"/>
  <c r="C50" i="15"/>
  <c r="A49" i="15"/>
  <c r="A48" i="15"/>
  <c r="A45" i="15"/>
  <c r="G44" i="15"/>
  <c r="F44" i="15"/>
  <c r="E44" i="15"/>
  <c r="A44" i="15"/>
  <c r="A43" i="15"/>
  <c r="A42" i="15"/>
  <c r="A41" i="15"/>
  <c r="H44" i="15"/>
  <c r="A40" i="15"/>
  <c r="D44" i="15"/>
  <c r="C44" i="15"/>
  <c r="A39" i="15"/>
  <c r="A38" i="15"/>
  <c r="C37" i="15"/>
  <c r="B37" i="15"/>
  <c r="A37" i="15"/>
  <c r="A36" i="15"/>
  <c r="E37" i="15"/>
  <c r="D37" i="15"/>
  <c r="A35" i="15"/>
  <c r="A34" i="15"/>
  <c r="G37" i="15"/>
  <c r="F37" i="15"/>
  <c r="A33" i="15"/>
  <c r="A32" i="15"/>
  <c r="A31" i="15"/>
  <c r="I30" i="15"/>
  <c r="I86" i="15" s="1"/>
  <c r="H30" i="15"/>
  <c r="G30" i="15"/>
  <c r="G86" i="15" s="1"/>
  <c r="F30" i="15"/>
  <c r="F50" i="15" s="1"/>
  <c r="E30" i="15"/>
  <c r="D30" i="15"/>
  <c r="C30" i="15"/>
  <c r="C86" i="15" s="1"/>
  <c r="B30" i="15"/>
  <c r="A29" i="15"/>
  <c r="A28" i="15"/>
  <c r="A25" i="15"/>
  <c r="A24" i="15"/>
  <c r="A23" i="15"/>
  <c r="A22" i="15"/>
  <c r="A21" i="15"/>
  <c r="A20" i="15"/>
  <c r="A19" i="15"/>
  <c r="D18" i="15"/>
  <c r="D21" i="15" s="1"/>
  <c r="D23" i="15" s="1"/>
  <c r="D25" i="15" s="1"/>
  <c r="B18" i="15"/>
  <c r="A18" i="15"/>
  <c r="A17" i="15"/>
  <c r="A16" i="15"/>
  <c r="A15" i="15"/>
  <c r="A14" i="15"/>
  <c r="A13" i="15"/>
  <c r="I12" i="15"/>
  <c r="I18" i="15" s="1"/>
  <c r="H12" i="15"/>
  <c r="H18" i="15" s="1"/>
  <c r="H21" i="15" s="1"/>
  <c r="H23" i="15" s="1"/>
  <c r="H25" i="15" s="1"/>
  <c r="A12" i="15"/>
  <c r="A11" i="15"/>
  <c r="A10" i="15"/>
  <c r="D12" i="15"/>
  <c r="A9" i="15"/>
  <c r="G12" i="15"/>
  <c r="G18" i="15" s="1"/>
  <c r="G21" i="15" s="1"/>
  <c r="G23" i="15" s="1"/>
  <c r="G25" i="15" s="1"/>
  <c r="F12" i="15"/>
  <c r="F18" i="15" s="1"/>
  <c r="F21" i="15" s="1"/>
  <c r="F23" i="15" s="1"/>
  <c r="F25" i="15" s="1"/>
  <c r="E12" i="15"/>
  <c r="E18" i="15" s="1"/>
  <c r="E21" i="15" s="1"/>
  <c r="C12" i="15"/>
  <c r="C18" i="15" s="1"/>
  <c r="C21" i="15" s="1"/>
  <c r="C23" i="15" s="1"/>
  <c r="C25" i="15" s="1"/>
  <c r="B12" i="15"/>
  <c r="A8" i="15"/>
  <c r="F6" i="15"/>
  <c r="F62" i="15" s="1"/>
  <c r="B6" i="15"/>
  <c r="B62" i="15" s="1"/>
  <c r="A4" i="15"/>
  <c r="A3" i="15"/>
  <c r="A1" i="15"/>
  <c r="A49" i="14"/>
  <c r="A48" i="14"/>
  <c r="A47" i="14"/>
  <c r="A46" i="14"/>
  <c r="A45" i="14"/>
  <c r="A44" i="14"/>
  <c r="A43" i="14"/>
  <c r="A42" i="14"/>
  <c r="A41" i="14"/>
  <c r="A40" i="14"/>
  <c r="A39" i="14"/>
  <c r="A38" i="14"/>
  <c r="A37" i="14"/>
  <c r="A36" i="14"/>
  <c r="D41" i="14"/>
  <c r="A35" i="14"/>
  <c r="I41" i="14"/>
  <c r="B41" i="14"/>
  <c r="A34" i="14"/>
  <c r="I33" i="14"/>
  <c r="H33" i="14"/>
  <c r="G33" i="14"/>
  <c r="F33" i="14"/>
  <c r="E33" i="14"/>
  <c r="D33" i="14"/>
  <c r="C33" i="14"/>
  <c r="B33" i="14"/>
  <c r="A32" i="14"/>
  <c r="A31" i="14"/>
  <c r="A25" i="14"/>
  <c r="A24" i="14"/>
  <c r="A23" i="14"/>
  <c r="A22" i="14"/>
  <c r="A21" i="14"/>
  <c r="A20" i="14"/>
  <c r="A19" i="14"/>
  <c r="A18" i="14"/>
  <c r="A17" i="14"/>
  <c r="A16" i="14"/>
  <c r="A15" i="14"/>
  <c r="A14" i="14"/>
  <c r="A13" i="14"/>
  <c r="A12" i="14"/>
  <c r="A11" i="14"/>
  <c r="A10" i="14"/>
  <c r="I12" i="14"/>
  <c r="I18" i="14" s="1"/>
  <c r="I21" i="14" s="1"/>
  <c r="I23" i="14" s="1"/>
  <c r="I25" i="14" s="1"/>
  <c r="A9" i="14"/>
  <c r="C12" i="14"/>
  <c r="C18" i="14" s="1"/>
  <c r="C21" i="14" s="1"/>
  <c r="C23" i="14" s="1"/>
  <c r="C25" i="14" s="1"/>
  <c r="B12" i="14"/>
  <c r="B18" i="14" s="1"/>
  <c r="B21" i="14" s="1"/>
  <c r="B23" i="14" s="1"/>
  <c r="B25" i="14" s="1"/>
  <c r="A8" i="14"/>
  <c r="F6" i="14"/>
  <c r="B6" i="14"/>
  <c r="A4" i="14"/>
  <c r="A3" i="14"/>
  <c r="A1" i="14"/>
  <c r="A113" i="13"/>
  <c r="A112" i="13"/>
  <c r="A111" i="13"/>
  <c r="A110" i="13"/>
  <c r="A109" i="13"/>
  <c r="A108" i="13"/>
  <c r="A107" i="13"/>
  <c r="F106" i="13"/>
  <c r="B106" i="13"/>
  <c r="A105" i="13"/>
  <c r="A104" i="13"/>
  <c r="A101" i="13"/>
  <c r="A100" i="13"/>
  <c r="A99" i="13"/>
  <c r="A98" i="13"/>
  <c r="F100" i="13"/>
  <c r="E100" i="13"/>
  <c r="A97" i="13"/>
  <c r="A96" i="13"/>
  <c r="I100" i="13"/>
  <c r="H100" i="13"/>
  <c r="G100" i="13"/>
  <c r="A95" i="13"/>
  <c r="D100" i="13"/>
  <c r="A94" i="13"/>
  <c r="I93" i="13"/>
  <c r="A93" i="13"/>
  <c r="C93" i="13"/>
  <c r="A92" i="13"/>
  <c r="A91" i="13"/>
  <c r="A90" i="13"/>
  <c r="H93" i="13"/>
  <c r="A89" i="13"/>
  <c r="G93" i="13"/>
  <c r="F93" i="13"/>
  <c r="E93" i="13"/>
  <c r="A88" i="13"/>
  <c r="A87" i="13"/>
  <c r="I86" i="13"/>
  <c r="H86" i="13"/>
  <c r="G86" i="13"/>
  <c r="F86" i="13"/>
  <c r="A85" i="13"/>
  <c r="A84" i="13"/>
  <c r="A81" i="13"/>
  <c r="A80" i="13"/>
  <c r="A79" i="13"/>
  <c r="A78" i="13"/>
  <c r="A77" i="13"/>
  <c r="A76" i="13"/>
  <c r="A75" i="13"/>
  <c r="I74" i="13"/>
  <c r="A74" i="13"/>
  <c r="A73" i="13"/>
  <c r="A72" i="13"/>
  <c r="A71" i="13"/>
  <c r="A70" i="13"/>
  <c r="A69" i="13"/>
  <c r="A68" i="13"/>
  <c r="A67" i="13"/>
  <c r="A66" i="13"/>
  <c r="A65" i="13"/>
  <c r="I68" i="13"/>
  <c r="H68" i="13"/>
  <c r="H74" i="13" s="1"/>
  <c r="G68" i="13"/>
  <c r="G74" i="13" s="1"/>
  <c r="G77" i="13" s="1"/>
  <c r="G79" i="13" s="1"/>
  <c r="G81" i="13" s="1"/>
  <c r="F68" i="13"/>
  <c r="F74" i="13" s="1"/>
  <c r="F77" i="13" s="1"/>
  <c r="F79" i="13" s="1"/>
  <c r="F81" i="13" s="1"/>
  <c r="E68" i="13"/>
  <c r="E74" i="13" s="1"/>
  <c r="E77" i="13" s="1"/>
  <c r="E79" i="13" s="1"/>
  <c r="E81" i="13" s="1"/>
  <c r="D68" i="13"/>
  <c r="D74" i="13" s="1"/>
  <c r="D77" i="13" s="1"/>
  <c r="D79" i="13" s="1"/>
  <c r="D81" i="13" s="1"/>
  <c r="B68" i="13"/>
  <c r="A64" i="13"/>
  <c r="A60" i="13"/>
  <c r="A59" i="13"/>
  <c r="A57" i="13"/>
  <c r="A56" i="13"/>
  <c r="A55" i="13"/>
  <c r="A54" i="13"/>
  <c r="A53" i="13"/>
  <c r="A52" i="13"/>
  <c r="A51" i="13"/>
  <c r="I50" i="13"/>
  <c r="H50" i="13"/>
  <c r="G50" i="13"/>
  <c r="F50" i="13"/>
  <c r="E50" i="13"/>
  <c r="B50" i="13"/>
  <c r="A49" i="13"/>
  <c r="A48" i="13"/>
  <c r="A45" i="13"/>
  <c r="A44" i="13"/>
  <c r="A43" i="13"/>
  <c r="H44" i="13"/>
  <c r="G44" i="13"/>
  <c r="A42" i="13"/>
  <c r="A41" i="13"/>
  <c r="I44" i="13"/>
  <c r="A40" i="13"/>
  <c r="F44" i="13"/>
  <c r="E44" i="13"/>
  <c r="A39" i="13"/>
  <c r="A38" i="13"/>
  <c r="G37" i="13"/>
  <c r="F37" i="13"/>
  <c r="E37" i="13"/>
  <c r="D37" i="13"/>
  <c r="A37" i="13"/>
  <c r="A36" i="13"/>
  <c r="A35" i="13"/>
  <c r="A34" i="13"/>
  <c r="I37" i="13"/>
  <c r="H37" i="13"/>
  <c r="A33" i="13"/>
  <c r="A32" i="13"/>
  <c r="A31" i="13"/>
  <c r="I30" i="13"/>
  <c r="I106" i="13" s="1"/>
  <c r="H30" i="13"/>
  <c r="H106" i="13" s="1"/>
  <c r="G30" i="13"/>
  <c r="G106" i="13" s="1"/>
  <c r="F30" i="13"/>
  <c r="E30" i="13"/>
  <c r="D30" i="13"/>
  <c r="C30" i="13"/>
  <c r="C50" i="13" s="1"/>
  <c r="B30" i="13"/>
  <c r="B86" i="13" s="1"/>
  <c r="A29" i="13"/>
  <c r="A28" i="13"/>
  <c r="A25" i="13"/>
  <c r="A24" i="13"/>
  <c r="A23" i="13"/>
  <c r="A22" i="13"/>
  <c r="I21" i="13"/>
  <c r="I23" i="13" s="1"/>
  <c r="I25" i="13" s="1"/>
  <c r="A21" i="13"/>
  <c r="A20" i="13"/>
  <c r="A19" i="13"/>
  <c r="A18" i="13"/>
  <c r="A17" i="13"/>
  <c r="A16" i="13"/>
  <c r="A15" i="13"/>
  <c r="A14" i="13"/>
  <c r="A13" i="13"/>
  <c r="A12" i="13"/>
  <c r="A11" i="13"/>
  <c r="A10" i="13"/>
  <c r="A9" i="13"/>
  <c r="I12" i="13"/>
  <c r="I18" i="13" s="1"/>
  <c r="H12" i="13"/>
  <c r="H18" i="13" s="1"/>
  <c r="H21" i="13" s="1"/>
  <c r="H23" i="13" s="1"/>
  <c r="H25" i="13" s="1"/>
  <c r="B12" i="13"/>
  <c r="B18" i="13" s="1"/>
  <c r="A8" i="13"/>
  <c r="F6" i="13"/>
  <c r="F62" i="13" s="1"/>
  <c r="B6" i="13"/>
  <c r="B62" i="13" s="1"/>
  <c r="A4" i="13"/>
  <c r="A3" i="13"/>
  <c r="A1" i="13"/>
  <c r="A169" i="12"/>
  <c r="A168" i="12"/>
  <c r="A167" i="12"/>
  <c r="A166" i="12"/>
  <c r="A165" i="12"/>
  <c r="A164" i="12"/>
  <c r="A163" i="12"/>
  <c r="I162" i="12"/>
  <c r="H162" i="12"/>
  <c r="G162" i="12"/>
  <c r="F162" i="12"/>
  <c r="E162" i="12"/>
  <c r="A161" i="12"/>
  <c r="A160" i="12"/>
  <c r="A157" i="12"/>
  <c r="A156" i="12"/>
  <c r="A154" i="12"/>
  <c r="A153" i="12"/>
  <c r="A152" i="12"/>
  <c r="A151" i="12"/>
  <c r="A150" i="12"/>
  <c r="A149" i="12"/>
  <c r="A148" i="12"/>
  <c r="A146" i="12"/>
  <c r="A145" i="12"/>
  <c r="B149" i="12"/>
  <c r="A144" i="12"/>
  <c r="A143" i="12"/>
  <c r="I142" i="12"/>
  <c r="H142" i="12"/>
  <c r="G142" i="12"/>
  <c r="F142" i="12"/>
  <c r="E142" i="12"/>
  <c r="C142" i="12"/>
  <c r="A141" i="12"/>
  <c r="A140" i="12"/>
  <c r="A137" i="12"/>
  <c r="A136" i="12"/>
  <c r="I135" i="12"/>
  <c r="I137" i="12" s="1"/>
  <c r="A135" i="12"/>
  <c r="A134" i="12"/>
  <c r="I133" i="12"/>
  <c r="A133" i="12"/>
  <c r="A132" i="12"/>
  <c r="A131" i="12"/>
  <c r="E130" i="12"/>
  <c r="E133" i="12" s="1"/>
  <c r="E135" i="12" s="1"/>
  <c r="E137" i="12" s="1"/>
  <c r="A130" i="12"/>
  <c r="A129" i="12"/>
  <c r="A128" i="12"/>
  <c r="A127" i="12"/>
  <c r="A126" i="12"/>
  <c r="A125" i="12"/>
  <c r="I124" i="12"/>
  <c r="I130" i="12" s="1"/>
  <c r="A124" i="12"/>
  <c r="A123" i="12"/>
  <c r="A122" i="12"/>
  <c r="A121" i="12"/>
  <c r="G124" i="12"/>
  <c r="G130" i="12" s="1"/>
  <c r="G133" i="12" s="1"/>
  <c r="G135" i="12" s="1"/>
  <c r="G137" i="12" s="1"/>
  <c r="F124" i="12"/>
  <c r="F130" i="12" s="1"/>
  <c r="F133" i="12" s="1"/>
  <c r="F135" i="12" s="1"/>
  <c r="F137" i="12" s="1"/>
  <c r="E124" i="12"/>
  <c r="C124" i="12"/>
  <c r="C130" i="12" s="1"/>
  <c r="C133" i="12" s="1"/>
  <c r="C135" i="12" s="1"/>
  <c r="C137" i="12" s="1"/>
  <c r="A120" i="12"/>
  <c r="A116" i="12"/>
  <c r="A115" i="12"/>
  <c r="A113" i="12"/>
  <c r="A112" i="12"/>
  <c r="E58" i="23"/>
  <c r="D58" i="23"/>
  <c r="A111" i="12"/>
  <c r="A110" i="12"/>
  <c r="F58" i="23"/>
  <c r="A109" i="12"/>
  <c r="I58" i="23"/>
  <c r="C58" i="23"/>
  <c r="B58" i="23"/>
  <c r="A108" i="12"/>
  <c r="A107" i="12"/>
  <c r="H106" i="12"/>
  <c r="G106" i="12"/>
  <c r="F106" i="12"/>
  <c r="A105" i="12"/>
  <c r="A104" i="12"/>
  <c r="A101" i="12"/>
  <c r="E100" i="12"/>
  <c r="D100" i="12"/>
  <c r="A100" i="12"/>
  <c r="A98" i="12"/>
  <c r="G100" i="12"/>
  <c r="F100" i="12"/>
  <c r="A97" i="12"/>
  <c r="A96" i="12"/>
  <c r="I100" i="12"/>
  <c r="A95" i="12"/>
  <c r="A94" i="12"/>
  <c r="A93" i="12"/>
  <c r="I93" i="12"/>
  <c r="A92" i="12"/>
  <c r="A90" i="12"/>
  <c r="A89" i="12"/>
  <c r="A88" i="12"/>
  <c r="A87" i="12"/>
  <c r="G86" i="12"/>
  <c r="F86" i="12"/>
  <c r="E86" i="12"/>
  <c r="A85" i="12"/>
  <c r="A84" i="12"/>
  <c r="A81" i="12"/>
  <c r="A80" i="12"/>
  <c r="A79" i="12"/>
  <c r="A78" i="12"/>
  <c r="A77" i="12"/>
  <c r="A76" i="12"/>
  <c r="A75" i="12"/>
  <c r="G74" i="12"/>
  <c r="G77" i="12" s="1"/>
  <c r="G79" i="12" s="1"/>
  <c r="G81" i="12" s="1"/>
  <c r="F74" i="12"/>
  <c r="A74" i="12"/>
  <c r="A73" i="12"/>
  <c r="A72" i="12"/>
  <c r="A71" i="12"/>
  <c r="A70" i="12"/>
  <c r="A69" i="12"/>
  <c r="H68" i="12"/>
  <c r="H74" i="12" s="1"/>
  <c r="H77" i="12" s="1"/>
  <c r="H79" i="12" s="1"/>
  <c r="H81" i="12" s="1"/>
  <c r="G68" i="12"/>
  <c r="A68" i="12"/>
  <c r="A67" i="12"/>
  <c r="I68" i="12"/>
  <c r="I74" i="12" s="1"/>
  <c r="I77" i="12" s="1"/>
  <c r="I79" i="12" s="1"/>
  <c r="I81" i="12" s="1"/>
  <c r="A66" i="12"/>
  <c r="A65" i="12"/>
  <c r="F68" i="12"/>
  <c r="D68" i="12"/>
  <c r="D74" i="12" s="1"/>
  <c r="D77" i="12" s="1"/>
  <c r="D79" i="12" s="1"/>
  <c r="D81" i="12" s="1"/>
  <c r="A64" i="12"/>
  <c r="A60" i="12"/>
  <c r="A59" i="12"/>
  <c r="A57" i="12"/>
  <c r="A56" i="12"/>
  <c r="A55" i="12"/>
  <c r="A54" i="12"/>
  <c r="A53" i="12"/>
  <c r="A52" i="12"/>
  <c r="A51" i="12"/>
  <c r="F50" i="12"/>
  <c r="E50" i="12"/>
  <c r="A49" i="12"/>
  <c r="A48" i="12"/>
  <c r="A45" i="12"/>
  <c r="A44" i="12"/>
  <c r="A42" i="12"/>
  <c r="I44" i="12"/>
  <c r="H44" i="12"/>
  <c r="G44" i="12"/>
  <c r="A41" i="12"/>
  <c r="A40" i="12"/>
  <c r="A39" i="12"/>
  <c r="F44" i="12"/>
  <c r="E44" i="12"/>
  <c r="D44" i="12"/>
  <c r="A38" i="12"/>
  <c r="A37" i="12"/>
  <c r="A36" i="12"/>
  <c r="A34" i="12"/>
  <c r="I37" i="12"/>
  <c r="A33" i="12"/>
  <c r="A32" i="12"/>
  <c r="A31" i="12"/>
  <c r="I30" i="12"/>
  <c r="I50" i="12" s="1"/>
  <c r="H30" i="12"/>
  <c r="H50" i="12" s="1"/>
  <c r="G30" i="12"/>
  <c r="G50" i="12" s="1"/>
  <c r="F30" i="12"/>
  <c r="E30" i="12"/>
  <c r="E106" i="12" s="1"/>
  <c r="D30" i="12"/>
  <c r="C30" i="12"/>
  <c r="B30" i="12"/>
  <c r="A29" i="12"/>
  <c r="A28" i="12"/>
  <c r="A25" i="12"/>
  <c r="A24" i="12"/>
  <c r="I23" i="12"/>
  <c r="I25" i="12" s="1"/>
  <c r="H23" i="12"/>
  <c r="H25" i="12" s="1"/>
  <c r="A23" i="12"/>
  <c r="A22" i="12"/>
  <c r="A21" i="12"/>
  <c r="A20" i="12"/>
  <c r="A19" i="12"/>
  <c r="A18" i="12"/>
  <c r="A17" i="12"/>
  <c r="A16" i="12"/>
  <c r="A15" i="12"/>
  <c r="A14" i="12"/>
  <c r="A13" i="12"/>
  <c r="G12" i="12"/>
  <c r="G18" i="12" s="1"/>
  <c r="G21" i="12" s="1"/>
  <c r="G23" i="12" s="1"/>
  <c r="G25" i="12" s="1"/>
  <c r="A12" i="12"/>
  <c r="A11" i="12"/>
  <c r="I12" i="12"/>
  <c r="I18" i="12" s="1"/>
  <c r="I21" i="12" s="1"/>
  <c r="H12" i="12"/>
  <c r="H18" i="12" s="1"/>
  <c r="H21" i="12" s="1"/>
  <c r="A10" i="12"/>
  <c r="F12" i="12"/>
  <c r="F18" i="12" s="1"/>
  <c r="F21" i="12" s="1"/>
  <c r="F23" i="12" s="1"/>
  <c r="F25" i="12" s="1"/>
  <c r="E12" i="12"/>
  <c r="E18" i="12" s="1"/>
  <c r="E21" i="12" s="1"/>
  <c r="E23" i="12" s="1"/>
  <c r="E25" i="12" s="1"/>
  <c r="A9" i="12"/>
  <c r="A8" i="12"/>
  <c r="F6" i="12"/>
  <c r="F62" i="12" s="1"/>
  <c r="B6" i="12"/>
  <c r="B62" i="12" s="1"/>
  <c r="A4" i="12"/>
  <c r="A3" i="12"/>
  <c r="A1" i="12"/>
  <c r="A169" i="11"/>
  <c r="A168" i="11"/>
  <c r="A167" i="11"/>
  <c r="A166" i="11"/>
  <c r="A165" i="11"/>
  <c r="A164" i="11"/>
  <c r="A163" i="11"/>
  <c r="A161" i="11"/>
  <c r="A160" i="11"/>
  <c r="A157" i="11"/>
  <c r="B156" i="11"/>
  <c r="A156" i="11"/>
  <c r="A154" i="11"/>
  <c r="G156" i="11"/>
  <c r="A153" i="11"/>
  <c r="H156" i="11"/>
  <c r="A152" i="11"/>
  <c r="A151" i="11"/>
  <c r="I156" i="11"/>
  <c r="A150" i="11"/>
  <c r="A149" i="11"/>
  <c r="F149" i="11"/>
  <c r="C149" i="11"/>
  <c r="A148" i="11"/>
  <c r="A146" i="11"/>
  <c r="H149" i="11"/>
  <c r="A145" i="11"/>
  <c r="A144" i="11"/>
  <c r="A143" i="11"/>
  <c r="I142" i="11"/>
  <c r="H142" i="11"/>
  <c r="G142" i="11"/>
  <c r="A141" i="11"/>
  <c r="A140" i="11"/>
  <c r="A137" i="11"/>
  <c r="A136" i="11"/>
  <c r="A135" i="11"/>
  <c r="A134" i="11"/>
  <c r="A133" i="11"/>
  <c r="A132" i="11"/>
  <c r="A131" i="11"/>
  <c r="A130" i="11"/>
  <c r="A129" i="11"/>
  <c r="A128" i="11"/>
  <c r="A127" i="11"/>
  <c r="A126" i="11"/>
  <c r="H130" i="11"/>
  <c r="H133" i="11" s="1"/>
  <c r="H135" i="11" s="1"/>
  <c r="H137" i="11" s="1"/>
  <c r="G130" i="11"/>
  <c r="G133" i="11" s="1"/>
  <c r="G135" i="11" s="1"/>
  <c r="G137" i="11" s="1"/>
  <c r="A125" i="11"/>
  <c r="A124" i="11"/>
  <c r="H124" i="11"/>
  <c r="A123" i="11"/>
  <c r="I124" i="11"/>
  <c r="I130" i="11" s="1"/>
  <c r="I133" i="11" s="1"/>
  <c r="I135" i="11" s="1"/>
  <c r="I137" i="11" s="1"/>
  <c r="A122" i="11"/>
  <c r="G124" i="11"/>
  <c r="F124" i="11"/>
  <c r="A121" i="11"/>
  <c r="A120" i="11"/>
  <c r="A116" i="11"/>
  <c r="A115" i="11"/>
  <c r="A113" i="11"/>
  <c r="A112" i="11"/>
  <c r="A111" i="11"/>
  <c r="A110" i="11"/>
  <c r="A109" i="11"/>
  <c r="A108" i="11"/>
  <c r="A107" i="11"/>
  <c r="I106" i="11"/>
  <c r="H106" i="11"/>
  <c r="G106" i="11"/>
  <c r="F106" i="11"/>
  <c r="A105" i="11"/>
  <c r="A104" i="11"/>
  <c r="I100" i="11"/>
  <c r="A101" i="11"/>
  <c r="C100" i="11"/>
  <c r="B100" i="11"/>
  <c r="A100" i="11"/>
  <c r="A98" i="11"/>
  <c r="A97" i="11"/>
  <c r="A96" i="11"/>
  <c r="F100" i="11"/>
  <c r="A95" i="11"/>
  <c r="H100" i="11"/>
  <c r="A94" i="11"/>
  <c r="I93" i="11"/>
  <c r="H93" i="11"/>
  <c r="A93" i="11"/>
  <c r="A92" i="11"/>
  <c r="A90" i="11"/>
  <c r="A89" i="11"/>
  <c r="B93" i="11"/>
  <c r="A88" i="11"/>
  <c r="A87" i="11"/>
  <c r="H86" i="11"/>
  <c r="G86" i="11"/>
  <c r="F86" i="11"/>
  <c r="C86" i="11"/>
  <c r="A85" i="11"/>
  <c r="A84" i="11"/>
  <c r="A81" i="11"/>
  <c r="A80" i="11"/>
  <c r="C79" i="11"/>
  <c r="C81" i="11" s="1"/>
  <c r="B79" i="11"/>
  <c r="B81" i="11" s="1"/>
  <c r="A79" i="11"/>
  <c r="A78" i="11"/>
  <c r="E77" i="11"/>
  <c r="E79" i="11" s="1"/>
  <c r="E81" i="11" s="1"/>
  <c r="A77" i="11"/>
  <c r="A76" i="11"/>
  <c r="G77" i="11"/>
  <c r="G79" i="11" s="1"/>
  <c r="G81" i="11" s="1"/>
  <c r="F77" i="11"/>
  <c r="F79" i="11" s="1"/>
  <c r="F81" i="11" s="1"/>
  <c r="A75" i="11"/>
  <c r="C74" i="11"/>
  <c r="C77" i="11" s="1"/>
  <c r="B74" i="11"/>
  <c r="B77" i="11" s="1"/>
  <c r="A74" i="11"/>
  <c r="A73" i="11"/>
  <c r="A72" i="11"/>
  <c r="A71" i="11"/>
  <c r="A70" i="11"/>
  <c r="A69" i="11"/>
  <c r="G68" i="11"/>
  <c r="G74" i="11" s="1"/>
  <c r="F68" i="11"/>
  <c r="F74" i="11" s="1"/>
  <c r="E68" i="11"/>
  <c r="E74" i="11" s="1"/>
  <c r="A68" i="11"/>
  <c r="A67" i="11"/>
  <c r="H68" i="11"/>
  <c r="H74" i="11" s="1"/>
  <c r="H77" i="11" s="1"/>
  <c r="H79" i="11" s="1"/>
  <c r="H81" i="11" s="1"/>
  <c r="A66" i="11"/>
  <c r="D68" i="11"/>
  <c r="D74" i="11" s="1"/>
  <c r="D77" i="11" s="1"/>
  <c r="D79" i="11" s="1"/>
  <c r="D81" i="11" s="1"/>
  <c r="A65" i="11"/>
  <c r="I68" i="11"/>
  <c r="I74" i="11" s="1"/>
  <c r="I77" i="11" s="1"/>
  <c r="I79" i="11" s="1"/>
  <c r="I81" i="11" s="1"/>
  <c r="C68" i="11"/>
  <c r="B68" i="11"/>
  <c r="A64" i="11"/>
  <c r="A60" i="11"/>
  <c r="A59" i="11"/>
  <c r="A57" i="11"/>
  <c r="A56" i="11"/>
  <c r="A55" i="11"/>
  <c r="A54" i="11"/>
  <c r="A53" i="11"/>
  <c r="A52" i="11"/>
  <c r="A51" i="11"/>
  <c r="G50" i="11"/>
  <c r="F50" i="11"/>
  <c r="E50" i="11"/>
  <c r="A49" i="11"/>
  <c r="A48" i="11"/>
  <c r="A45" i="11"/>
  <c r="I44" i="11"/>
  <c r="H44" i="11"/>
  <c r="G44" i="11"/>
  <c r="A44" i="11"/>
  <c r="A42" i="11"/>
  <c r="A41" i="11"/>
  <c r="A40" i="11"/>
  <c r="A39" i="11"/>
  <c r="A38" i="11"/>
  <c r="A37" i="11"/>
  <c r="H37" i="11"/>
  <c r="A36" i="11"/>
  <c r="A34" i="11"/>
  <c r="A33" i="11"/>
  <c r="A32" i="11"/>
  <c r="A31" i="11"/>
  <c r="I30" i="11"/>
  <c r="I162" i="11" s="1"/>
  <c r="H30" i="11"/>
  <c r="H162" i="11" s="1"/>
  <c r="G30" i="11"/>
  <c r="G162" i="11" s="1"/>
  <c r="F30" i="11"/>
  <c r="F162" i="11" s="1"/>
  <c r="E30" i="11"/>
  <c r="D30" i="11"/>
  <c r="D142" i="11" s="1"/>
  <c r="C30" i="11"/>
  <c r="C142" i="11" s="1"/>
  <c r="B30" i="11"/>
  <c r="B142" i="11" s="1"/>
  <c r="A29" i="11"/>
  <c r="A28" i="11"/>
  <c r="A25" i="11"/>
  <c r="A24" i="11"/>
  <c r="C23" i="11"/>
  <c r="C25" i="11" s="1"/>
  <c r="A23" i="11"/>
  <c r="A22" i="11"/>
  <c r="F21" i="11"/>
  <c r="F23" i="11" s="1"/>
  <c r="F25" i="11" s="1"/>
  <c r="C21" i="11"/>
  <c r="A21" i="11"/>
  <c r="A20" i="11"/>
  <c r="A19" i="11"/>
  <c r="A18" i="11"/>
  <c r="A17" i="11"/>
  <c r="A16" i="11"/>
  <c r="A15" i="11"/>
  <c r="A14" i="11"/>
  <c r="A13" i="11"/>
  <c r="D12" i="11"/>
  <c r="C12" i="11"/>
  <c r="C18" i="11" s="1"/>
  <c r="A12" i="11"/>
  <c r="E12" i="11"/>
  <c r="E18" i="11" s="1"/>
  <c r="E21" i="11" s="1"/>
  <c r="E23" i="11" s="1"/>
  <c r="E25" i="11" s="1"/>
  <c r="A11" i="11"/>
  <c r="I12" i="11"/>
  <c r="I18" i="11" s="1"/>
  <c r="I21" i="11" s="1"/>
  <c r="I23" i="11" s="1"/>
  <c r="A10" i="11"/>
  <c r="F12" i="11"/>
  <c r="F18" i="11" s="1"/>
  <c r="B12" i="11"/>
  <c r="B18" i="11" s="1"/>
  <c r="B21" i="11" s="1"/>
  <c r="B23" i="11" s="1"/>
  <c r="B25" i="11" s="1"/>
  <c r="A9" i="11"/>
  <c r="H12" i="11"/>
  <c r="H18" i="11" s="1"/>
  <c r="A8" i="11"/>
  <c r="F6" i="11"/>
  <c r="B6" i="11"/>
  <c r="A4" i="11"/>
  <c r="A3" i="11"/>
  <c r="A1" i="11"/>
  <c r="A169" i="10"/>
  <c r="A168" i="10"/>
  <c r="A167" i="10"/>
  <c r="A166" i="10"/>
  <c r="A165" i="10"/>
  <c r="A164" i="10"/>
  <c r="A163" i="10"/>
  <c r="E162" i="10"/>
  <c r="D162" i="10"/>
  <c r="B162" i="10"/>
  <c r="A161" i="10"/>
  <c r="A160" i="10"/>
  <c r="A157" i="10"/>
  <c r="H156" i="10"/>
  <c r="A156" i="10"/>
  <c r="A154" i="10"/>
  <c r="E156" i="10"/>
  <c r="A153" i="10"/>
  <c r="C156" i="10"/>
  <c r="A152" i="10"/>
  <c r="A151" i="10"/>
  <c r="F156" i="10"/>
  <c r="A150" i="10"/>
  <c r="A149" i="10"/>
  <c r="A148" i="10"/>
  <c r="A146" i="10"/>
  <c r="A145" i="10"/>
  <c r="A144" i="10"/>
  <c r="A143" i="10"/>
  <c r="E142" i="10"/>
  <c r="B142" i="10"/>
  <c r="A141" i="10"/>
  <c r="A140" i="10"/>
  <c r="F137" i="10"/>
  <c r="A137" i="10"/>
  <c r="A136" i="10"/>
  <c r="A135" i="10"/>
  <c r="A134" i="10"/>
  <c r="A133" i="10"/>
  <c r="A132" i="10"/>
  <c r="B133" i="10"/>
  <c r="B135" i="10" s="1"/>
  <c r="B137" i="10" s="1"/>
  <c r="A131" i="10"/>
  <c r="A130" i="10"/>
  <c r="A129" i="10"/>
  <c r="A128" i="10"/>
  <c r="A127" i="10"/>
  <c r="A126" i="10"/>
  <c r="A125" i="10"/>
  <c r="A124" i="10"/>
  <c r="A123" i="10"/>
  <c r="D124" i="10"/>
  <c r="D130" i="10" s="1"/>
  <c r="D133" i="10" s="1"/>
  <c r="D135" i="10" s="1"/>
  <c r="D137" i="10" s="1"/>
  <c r="A122" i="10"/>
  <c r="B124" i="10"/>
  <c r="B130" i="10" s="1"/>
  <c r="A121" i="10"/>
  <c r="G124" i="10"/>
  <c r="G130" i="10" s="1"/>
  <c r="F124" i="10"/>
  <c r="F130" i="10" s="1"/>
  <c r="F133" i="10" s="1"/>
  <c r="F135" i="10" s="1"/>
  <c r="C124" i="10"/>
  <c r="C130" i="10" s="1"/>
  <c r="C133" i="10" s="1"/>
  <c r="C135" i="10" s="1"/>
  <c r="C137" i="10" s="1"/>
  <c r="A120" i="10"/>
  <c r="F118" i="10"/>
  <c r="B118" i="10"/>
  <c r="A116" i="10"/>
  <c r="A115" i="10"/>
  <c r="A113" i="10"/>
  <c r="A112" i="10"/>
  <c r="A111" i="10"/>
  <c r="A110" i="10"/>
  <c r="A109" i="10"/>
  <c r="I56" i="23"/>
  <c r="H56" i="23"/>
  <c r="A108" i="10"/>
  <c r="A107" i="10"/>
  <c r="I106" i="10"/>
  <c r="H106" i="10"/>
  <c r="G106" i="10"/>
  <c r="D106" i="10"/>
  <c r="B106" i="10"/>
  <c r="A105" i="10"/>
  <c r="A104" i="10"/>
  <c r="A101" i="10"/>
  <c r="A100" i="10"/>
  <c r="C100" i="10"/>
  <c r="A98" i="10"/>
  <c r="A97" i="10"/>
  <c r="E100" i="10"/>
  <c r="A96" i="10"/>
  <c r="A95" i="10"/>
  <c r="A94" i="10"/>
  <c r="A93" i="10"/>
  <c r="E93" i="10"/>
  <c r="B93" i="10"/>
  <c r="A92" i="10"/>
  <c r="A90" i="10"/>
  <c r="A89" i="10"/>
  <c r="C93" i="10"/>
  <c r="A88" i="10"/>
  <c r="A87" i="10"/>
  <c r="I86" i="10"/>
  <c r="H86" i="10"/>
  <c r="G86" i="10"/>
  <c r="E86" i="10"/>
  <c r="B86" i="10"/>
  <c r="A85" i="10"/>
  <c r="A84" i="10"/>
  <c r="A81" i="10"/>
  <c r="A80" i="10"/>
  <c r="A79" i="10"/>
  <c r="A78" i="10"/>
  <c r="A77" i="10"/>
  <c r="A76" i="10"/>
  <c r="A75" i="10"/>
  <c r="A74" i="10"/>
  <c r="A73" i="10"/>
  <c r="A72" i="10"/>
  <c r="A71" i="10"/>
  <c r="A70" i="10"/>
  <c r="A69" i="10"/>
  <c r="I68" i="10"/>
  <c r="I74" i="10" s="1"/>
  <c r="I77" i="10" s="1"/>
  <c r="I79" i="10" s="1"/>
  <c r="I81" i="10" s="1"/>
  <c r="G68" i="10"/>
  <c r="G74" i="10" s="1"/>
  <c r="G77" i="10" s="1"/>
  <c r="G79" i="10" s="1"/>
  <c r="G81" i="10" s="1"/>
  <c r="A68" i="10"/>
  <c r="A67" i="10"/>
  <c r="H68" i="10"/>
  <c r="H74" i="10" s="1"/>
  <c r="H77" i="10" s="1"/>
  <c r="H79" i="10" s="1"/>
  <c r="H81" i="10" s="1"/>
  <c r="A66" i="10"/>
  <c r="E68" i="10"/>
  <c r="E74" i="10" s="1"/>
  <c r="E77" i="10" s="1"/>
  <c r="E79" i="10" s="1"/>
  <c r="E81" i="10" s="1"/>
  <c r="D68" i="10"/>
  <c r="D74" i="10" s="1"/>
  <c r="D77" i="10" s="1"/>
  <c r="D79" i="10" s="1"/>
  <c r="D81" i="10" s="1"/>
  <c r="A65" i="10"/>
  <c r="F68" i="10"/>
  <c r="F74" i="10" s="1"/>
  <c r="F77" i="10" s="1"/>
  <c r="F79" i="10" s="1"/>
  <c r="F81" i="10" s="1"/>
  <c r="A64" i="10"/>
  <c r="B62" i="10"/>
  <c r="A60" i="10"/>
  <c r="A59" i="10"/>
  <c r="A57" i="10"/>
  <c r="A56" i="10"/>
  <c r="A55" i="10"/>
  <c r="A54" i="10"/>
  <c r="A53" i="10"/>
  <c r="A52" i="10"/>
  <c r="A51" i="10"/>
  <c r="I50" i="10"/>
  <c r="B50" i="10"/>
  <c r="A49" i="10"/>
  <c r="A48" i="10"/>
  <c r="A45" i="10"/>
  <c r="H44" i="10"/>
  <c r="A44" i="10"/>
  <c r="A42" i="10"/>
  <c r="A41" i="10"/>
  <c r="A40" i="10"/>
  <c r="A39" i="10"/>
  <c r="E44" i="10"/>
  <c r="A38" i="10"/>
  <c r="A37" i="10"/>
  <c r="I37" i="10"/>
  <c r="F37" i="10"/>
  <c r="C37" i="10"/>
  <c r="B37" i="10"/>
  <c r="A36" i="10"/>
  <c r="A34" i="10"/>
  <c r="H37" i="10"/>
  <c r="E37" i="10"/>
  <c r="A33" i="10"/>
  <c r="A32" i="10"/>
  <c r="A31" i="10"/>
  <c r="I30" i="10"/>
  <c r="H30" i="10"/>
  <c r="G30" i="10"/>
  <c r="G50" i="10" s="1"/>
  <c r="F30" i="10"/>
  <c r="E30" i="10"/>
  <c r="E106" i="10" s="1"/>
  <c r="D30" i="10"/>
  <c r="D86" i="10" s="1"/>
  <c r="C30" i="10"/>
  <c r="C86" i="10" s="1"/>
  <c r="B30" i="10"/>
  <c r="A29" i="10"/>
  <c r="A28" i="10"/>
  <c r="A25" i="10"/>
  <c r="A24" i="10"/>
  <c r="A23" i="10"/>
  <c r="A22" i="10"/>
  <c r="A21" i="10"/>
  <c r="A20" i="10"/>
  <c r="A19" i="10"/>
  <c r="A18" i="10"/>
  <c r="A17" i="10"/>
  <c r="A16" i="10"/>
  <c r="A15" i="10"/>
  <c r="A14" i="10"/>
  <c r="A13" i="10"/>
  <c r="B12" i="10"/>
  <c r="B18" i="10" s="1"/>
  <c r="A12" i="10"/>
  <c r="A11" i="10"/>
  <c r="A10" i="10"/>
  <c r="H12" i="10"/>
  <c r="H18" i="10" s="1"/>
  <c r="A9" i="10"/>
  <c r="E12" i="10"/>
  <c r="E18" i="10" s="1"/>
  <c r="E21" i="10" s="1"/>
  <c r="E23" i="10" s="1"/>
  <c r="E25" i="10" s="1"/>
  <c r="A8" i="10"/>
  <c r="F6" i="10"/>
  <c r="F62" i="10" s="1"/>
  <c r="B6" i="10"/>
  <c r="A4" i="10"/>
  <c r="A3" i="10"/>
  <c r="A1" i="10"/>
  <c r="A169" i="9"/>
  <c r="A168" i="9"/>
  <c r="A167" i="9"/>
  <c r="A166" i="9"/>
  <c r="A165" i="9"/>
  <c r="A164" i="9"/>
  <c r="A163" i="9"/>
  <c r="H162" i="9"/>
  <c r="G162" i="9"/>
  <c r="F162" i="9"/>
  <c r="E162" i="9"/>
  <c r="D162" i="9"/>
  <c r="A161" i="9"/>
  <c r="A160" i="9"/>
  <c r="A157" i="9"/>
  <c r="H156" i="9"/>
  <c r="F156" i="9"/>
  <c r="C156" i="9"/>
  <c r="A156" i="9"/>
  <c r="A154" i="9"/>
  <c r="A153" i="9"/>
  <c r="I156" i="9"/>
  <c r="A152" i="9"/>
  <c r="G156" i="9"/>
  <c r="A151" i="9"/>
  <c r="A150" i="9"/>
  <c r="I149" i="9"/>
  <c r="G149" i="9"/>
  <c r="A149" i="9"/>
  <c r="B149" i="9"/>
  <c r="A148" i="9"/>
  <c r="A146" i="9"/>
  <c r="A145" i="9"/>
  <c r="D149" i="9"/>
  <c r="A144" i="9"/>
  <c r="A143" i="9"/>
  <c r="G142" i="9"/>
  <c r="F142" i="9"/>
  <c r="E142" i="9"/>
  <c r="D142" i="9"/>
  <c r="B142" i="9"/>
  <c r="A141" i="9"/>
  <c r="A140" i="9"/>
  <c r="A137" i="9"/>
  <c r="A136" i="9"/>
  <c r="A135" i="9"/>
  <c r="A134" i="9"/>
  <c r="A133" i="9"/>
  <c r="A132" i="9"/>
  <c r="A131" i="9"/>
  <c r="A130" i="9"/>
  <c r="A129" i="9"/>
  <c r="A128" i="9"/>
  <c r="A127" i="9"/>
  <c r="A126" i="9"/>
  <c r="A125" i="9"/>
  <c r="A124" i="9"/>
  <c r="A123" i="9"/>
  <c r="F124" i="9"/>
  <c r="F130" i="9" s="1"/>
  <c r="F133" i="9" s="1"/>
  <c r="F135" i="9" s="1"/>
  <c r="F137" i="9" s="1"/>
  <c r="A122" i="9"/>
  <c r="G124" i="9"/>
  <c r="G130" i="9" s="1"/>
  <c r="G133" i="9" s="1"/>
  <c r="G135" i="9" s="1"/>
  <c r="G137" i="9" s="1"/>
  <c r="A121" i="9"/>
  <c r="D124" i="9"/>
  <c r="D130" i="9" s="1"/>
  <c r="D133" i="9" s="1"/>
  <c r="D135" i="9" s="1"/>
  <c r="D137" i="9" s="1"/>
  <c r="C124" i="9"/>
  <c r="C130" i="9" s="1"/>
  <c r="C133" i="9" s="1"/>
  <c r="C135" i="9" s="1"/>
  <c r="C137" i="9" s="1"/>
  <c r="A120" i="9"/>
  <c r="F118" i="9"/>
  <c r="A116" i="9"/>
  <c r="A115" i="9"/>
  <c r="A113" i="9"/>
  <c r="A112" i="9"/>
  <c r="A111" i="9"/>
  <c r="A110" i="9"/>
  <c r="A109" i="9"/>
  <c r="G55" i="23"/>
  <c r="A108" i="9"/>
  <c r="A107" i="9"/>
  <c r="H106" i="9"/>
  <c r="G106" i="9"/>
  <c r="F106" i="9"/>
  <c r="C106" i="9"/>
  <c r="A105" i="9"/>
  <c r="A104" i="9"/>
  <c r="A101" i="9"/>
  <c r="A100" i="9"/>
  <c r="A98" i="9"/>
  <c r="A97" i="9"/>
  <c r="A96" i="9"/>
  <c r="A95" i="9"/>
  <c r="G93" i="9"/>
  <c r="F100" i="9"/>
  <c r="B100" i="9"/>
  <c r="A94" i="9"/>
  <c r="D93" i="9"/>
  <c r="C93" i="9"/>
  <c r="B93" i="9"/>
  <c r="A93" i="9"/>
  <c r="A92" i="9"/>
  <c r="A90" i="9"/>
  <c r="A89" i="9"/>
  <c r="E93" i="9"/>
  <c r="A88" i="9"/>
  <c r="A87" i="9"/>
  <c r="I86" i="9"/>
  <c r="H86" i="9"/>
  <c r="G86" i="9"/>
  <c r="F86" i="9"/>
  <c r="E86" i="9"/>
  <c r="D86" i="9"/>
  <c r="A85" i="9"/>
  <c r="A84" i="9"/>
  <c r="A81" i="9"/>
  <c r="A80" i="9"/>
  <c r="A79" i="9"/>
  <c r="A78" i="9"/>
  <c r="C77" i="9"/>
  <c r="C79" i="9" s="1"/>
  <c r="C81" i="9" s="1"/>
  <c r="A77" i="9"/>
  <c r="H77" i="9"/>
  <c r="H79" i="9" s="1"/>
  <c r="H81" i="9" s="1"/>
  <c r="A76" i="9"/>
  <c r="A75" i="9"/>
  <c r="A74" i="9"/>
  <c r="A73" i="9"/>
  <c r="A72" i="9"/>
  <c r="A71" i="9"/>
  <c r="A70" i="9"/>
  <c r="A69" i="9"/>
  <c r="A68" i="9"/>
  <c r="A67" i="9"/>
  <c r="A66" i="9"/>
  <c r="H68" i="9"/>
  <c r="H74" i="9" s="1"/>
  <c r="A65" i="9"/>
  <c r="G68" i="9"/>
  <c r="G74" i="9" s="1"/>
  <c r="D68" i="9"/>
  <c r="D74" i="9" s="1"/>
  <c r="D77" i="9" s="1"/>
  <c r="D79" i="9" s="1"/>
  <c r="D81" i="9" s="1"/>
  <c r="C68" i="9"/>
  <c r="C74" i="9" s="1"/>
  <c r="A64" i="9"/>
  <c r="A60" i="9"/>
  <c r="A59" i="9"/>
  <c r="A57" i="9"/>
  <c r="A56" i="9"/>
  <c r="A55" i="9"/>
  <c r="A54" i="9"/>
  <c r="A53" i="9"/>
  <c r="A52" i="9"/>
  <c r="A51" i="9"/>
  <c r="G50" i="9"/>
  <c r="D50" i="9"/>
  <c r="C50" i="9"/>
  <c r="B50" i="9"/>
  <c r="A49" i="9"/>
  <c r="A48" i="9"/>
  <c r="A45" i="9"/>
  <c r="B44" i="9"/>
  <c r="A44" i="9"/>
  <c r="A42" i="9"/>
  <c r="C44" i="9"/>
  <c r="A41" i="9"/>
  <c r="A40" i="9"/>
  <c r="G44" i="9"/>
  <c r="F44" i="9"/>
  <c r="E44" i="9"/>
  <c r="A39" i="9"/>
  <c r="D44" i="9"/>
  <c r="B37" i="9"/>
  <c r="A38" i="9"/>
  <c r="I37" i="9"/>
  <c r="H37" i="9"/>
  <c r="G37" i="9"/>
  <c r="A37" i="9"/>
  <c r="A36" i="9"/>
  <c r="A34" i="9"/>
  <c r="A33" i="9"/>
  <c r="A32" i="9"/>
  <c r="A31" i="9"/>
  <c r="I30" i="9"/>
  <c r="I106" i="9" s="1"/>
  <c r="H30" i="9"/>
  <c r="H142" i="9" s="1"/>
  <c r="G30" i="9"/>
  <c r="F30" i="9"/>
  <c r="F50" i="9" s="1"/>
  <c r="E30" i="9"/>
  <c r="E106" i="9" s="1"/>
  <c r="D30" i="9"/>
  <c r="D106" i="9" s="1"/>
  <c r="C30" i="9"/>
  <c r="C162" i="9" s="1"/>
  <c r="B30" i="9"/>
  <c r="A29" i="9"/>
  <c r="A28" i="9"/>
  <c r="A25" i="9"/>
  <c r="A24" i="9"/>
  <c r="A23" i="9"/>
  <c r="A22" i="9"/>
  <c r="A21" i="9"/>
  <c r="A20" i="9"/>
  <c r="A19" i="9"/>
  <c r="A18" i="9"/>
  <c r="A17" i="9"/>
  <c r="A16" i="9"/>
  <c r="A15" i="9"/>
  <c r="A14" i="9"/>
  <c r="A13" i="9"/>
  <c r="A12" i="9"/>
  <c r="A11" i="9"/>
  <c r="A10" i="9"/>
  <c r="H12" i="9"/>
  <c r="H18" i="9" s="1"/>
  <c r="H21" i="9" s="1"/>
  <c r="H23" i="9" s="1"/>
  <c r="H25" i="9" s="1"/>
  <c r="E12" i="9"/>
  <c r="E18" i="9" s="1"/>
  <c r="E21" i="9" s="1"/>
  <c r="E23" i="9" s="1"/>
  <c r="E25" i="9" s="1"/>
  <c r="C12" i="9"/>
  <c r="C18" i="9" s="1"/>
  <c r="C21" i="9" s="1"/>
  <c r="C23" i="9" s="1"/>
  <c r="C25" i="9" s="1"/>
  <c r="A9" i="9"/>
  <c r="I12" i="9"/>
  <c r="I18" i="9" s="1"/>
  <c r="I21" i="9" s="1"/>
  <c r="I23" i="9" s="1"/>
  <c r="I25" i="9" s="1"/>
  <c r="G12" i="9"/>
  <c r="G18" i="9" s="1"/>
  <c r="G21" i="9" s="1"/>
  <c r="G23" i="9" s="1"/>
  <c r="G25" i="9" s="1"/>
  <c r="A8" i="9"/>
  <c r="F6" i="9"/>
  <c r="F62" i="9" s="1"/>
  <c r="B6" i="9"/>
  <c r="B62" i="9" s="1"/>
  <c r="A4" i="9"/>
  <c r="A3" i="9"/>
  <c r="A1" i="9"/>
  <c r="A113" i="8"/>
  <c r="A112" i="8"/>
  <c r="A111" i="8"/>
  <c r="A110" i="8"/>
  <c r="A109" i="8"/>
  <c r="G59" i="23"/>
  <c r="D59" i="23"/>
  <c r="A108" i="8"/>
  <c r="A107" i="8"/>
  <c r="I106" i="8"/>
  <c r="E106" i="8"/>
  <c r="D106" i="8"/>
  <c r="C106" i="8"/>
  <c r="A105" i="8"/>
  <c r="A104" i="8"/>
  <c r="A101" i="8"/>
  <c r="A100" i="8"/>
  <c r="A98" i="8"/>
  <c r="G100" i="8"/>
  <c r="A97" i="8"/>
  <c r="D100" i="8"/>
  <c r="A96" i="8"/>
  <c r="I100" i="8"/>
  <c r="H100" i="8"/>
  <c r="A95" i="8"/>
  <c r="A94" i="8"/>
  <c r="A93" i="8"/>
  <c r="A92" i="8"/>
  <c r="A90" i="8"/>
  <c r="I93" i="8"/>
  <c r="A89" i="8"/>
  <c r="A88" i="8"/>
  <c r="A87" i="8"/>
  <c r="H86" i="8"/>
  <c r="E86" i="8"/>
  <c r="D86" i="8"/>
  <c r="C86" i="8"/>
  <c r="A85" i="8"/>
  <c r="A84" i="8"/>
  <c r="A81" i="8"/>
  <c r="A80" i="8"/>
  <c r="A79" i="8"/>
  <c r="A78" i="8"/>
  <c r="B77" i="8"/>
  <c r="B79" i="8" s="1"/>
  <c r="B81" i="8" s="1"/>
  <c r="A77" i="8"/>
  <c r="A76" i="8"/>
  <c r="A75" i="8"/>
  <c r="F74" i="8"/>
  <c r="F77" i="8" s="1"/>
  <c r="F79" i="8" s="1"/>
  <c r="F81" i="8" s="1"/>
  <c r="A74" i="8"/>
  <c r="A73" i="8"/>
  <c r="A72" i="8"/>
  <c r="A71" i="8"/>
  <c r="A70" i="8"/>
  <c r="A69" i="8"/>
  <c r="B68" i="8"/>
  <c r="B74" i="8" s="1"/>
  <c r="A68" i="8"/>
  <c r="H68" i="8"/>
  <c r="H74" i="8" s="1"/>
  <c r="H77" i="8" s="1"/>
  <c r="H79" i="8" s="1"/>
  <c r="E68" i="8"/>
  <c r="E74" i="8" s="1"/>
  <c r="E77" i="8" s="1"/>
  <c r="E79" i="8" s="1"/>
  <c r="E81" i="8" s="1"/>
  <c r="A67" i="8"/>
  <c r="A66" i="8"/>
  <c r="G68" i="8"/>
  <c r="G74" i="8" s="1"/>
  <c r="G77" i="8" s="1"/>
  <c r="G79" i="8" s="1"/>
  <c r="G81" i="8" s="1"/>
  <c r="D68" i="8"/>
  <c r="D74" i="8" s="1"/>
  <c r="D77" i="8" s="1"/>
  <c r="D79" i="8" s="1"/>
  <c r="D81" i="8" s="1"/>
  <c r="A65" i="8"/>
  <c r="I68" i="8"/>
  <c r="F68" i="8"/>
  <c r="C68" i="8"/>
  <c r="C74" i="8" s="1"/>
  <c r="C77" i="8" s="1"/>
  <c r="C79" i="8" s="1"/>
  <c r="C81" i="8" s="1"/>
  <c r="A64" i="8"/>
  <c r="A60" i="8"/>
  <c r="A59" i="8"/>
  <c r="A57" i="8"/>
  <c r="A56" i="8"/>
  <c r="A55" i="8"/>
  <c r="A54" i="8"/>
  <c r="A53" i="8"/>
  <c r="A52" i="8"/>
  <c r="A51" i="8"/>
  <c r="G50" i="8"/>
  <c r="D50" i="8"/>
  <c r="C50" i="8"/>
  <c r="A49" i="8"/>
  <c r="A48" i="8"/>
  <c r="A45" i="8"/>
  <c r="G44" i="8"/>
  <c r="F44" i="8"/>
  <c r="E44" i="8"/>
  <c r="A44" i="8"/>
  <c r="A42" i="8"/>
  <c r="A41" i="8"/>
  <c r="A40" i="8"/>
  <c r="A39" i="8"/>
  <c r="A38" i="8"/>
  <c r="A37" i="8"/>
  <c r="A36" i="8"/>
  <c r="A34" i="8"/>
  <c r="G37" i="8"/>
  <c r="A33" i="8"/>
  <c r="A32" i="8"/>
  <c r="I37" i="8"/>
  <c r="H37" i="8"/>
  <c r="A31" i="8"/>
  <c r="I30" i="8"/>
  <c r="H30" i="8"/>
  <c r="H50" i="8" s="1"/>
  <c r="G30" i="8"/>
  <c r="G86" i="8" s="1"/>
  <c r="F30" i="8"/>
  <c r="E30" i="8"/>
  <c r="E50" i="8" s="1"/>
  <c r="D30" i="8"/>
  <c r="C30" i="8"/>
  <c r="B30" i="8"/>
  <c r="B86" i="8" s="1"/>
  <c r="A29" i="8"/>
  <c r="A28" i="8"/>
  <c r="A25" i="8"/>
  <c r="A24" i="8"/>
  <c r="A23" i="8"/>
  <c r="A22" i="8"/>
  <c r="A21" i="8"/>
  <c r="A20" i="8"/>
  <c r="A19" i="8"/>
  <c r="D18" i="8"/>
  <c r="D21" i="8" s="1"/>
  <c r="D23" i="8" s="1"/>
  <c r="D25" i="8" s="1"/>
  <c r="A18" i="8"/>
  <c r="A17" i="8"/>
  <c r="A16" i="8"/>
  <c r="A15" i="8"/>
  <c r="A14" i="8"/>
  <c r="A13" i="8"/>
  <c r="I12" i="8"/>
  <c r="I18" i="8" s="1"/>
  <c r="I21" i="8" s="1"/>
  <c r="C12" i="8"/>
  <c r="C18" i="8" s="1"/>
  <c r="C21" i="8" s="1"/>
  <c r="C23" i="8" s="1"/>
  <c r="C25" i="8" s="1"/>
  <c r="A12" i="8"/>
  <c r="A11" i="8"/>
  <c r="A10" i="8"/>
  <c r="D12" i="8"/>
  <c r="A9" i="8"/>
  <c r="H12" i="8"/>
  <c r="H18" i="8" s="1"/>
  <c r="H21" i="8" s="1"/>
  <c r="G12" i="8"/>
  <c r="G18" i="8" s="1"/>
  <c r="G21" i="8" s="1"/>
  <c r="G23" i="8" s="1"/>
  <c r="G25" i="8" s="1"/>
  <c r="F12" i="8"/>
  <c r="F18" i="8" s="1"/>
  <c r="F21" i="8" s="1"/>
  <c r="F23" i="8" s="1"/>
  <c r="F25" i="8" s="1"/>
  <c r="A8" i="8"/>
  <c r="F6" i="8"/>
  <c r="F62" i="8" s="1"/>
  <c r="B6" i="8"/>
  <c r="B62" i="8" s="1"/>
  <c r="A4" i="8"/>
  <c r="A3" i="8"/>
  <c r="A1" i="8"/>
  <c r="A169" i="7"/>
  <c r="A168" i="7"/>
  <c r="A167" i="7"/>
  <c r="A166" i="7"/>
  <c r="A165" i="7"/>
  <c r="A164" i="7"/>
  <c r="A163" i="7"/>
  <c r="C162" i="7"/>
  <c r="B162" i="7"/>
  <c r="A161" i="7"/>
  <c r="A160" i="7"/>
  <c r="A157" i="7"/>
  <c r="A156" i="7"/>
  <c r="A154" i="7"/>
  <c r="A153" i="7"/>
  <c r="A152" i="7"/>
  <c r="E156" i="7"/>
  <c r="D156" i="7"/>
  <c r="C156" i="7"/>
  <c r="B156" i="7"/>
  <c r="A151" i="7"/>
  <c r="A150" i="7"/>
  <c r="G149" i="7"/>
  <c r="F149" i="7"/>
  <c r="E149" i="7"/>
  <c r="D149" i="7"/>
  <c r="A149" i="7"/>
  <c r="A148" i="7"/>
  <c r="A146" i="7"/>
  <c r="A145" i="7"/>
  <c r="I149" i="7"/>
  <c r="H149" i="7"/>
  <c r="A144" i="7"/>
  <c r="A143" i="7"/>
  <c r="B142" i="7"/>
  <c r="A141" i="7"/>
  <c r="A140" i="7"/>
  <c r="A137" i="7"/>
  <c r="A136" i="7"/>
  <c r="A135" i="7"/>
  <c r="A134" i="7"/>
  <c r="H133" i="7"/>
  <c r="H135" i="7" s="1"/>
  <c r="H137" i="7" s="1"/>
  <c r="B133" i="7"/>
  <c r="B135" i="7" s="1"/>
  <c r="A133" i="7"/>
  <c r="A132" i="7"/>
  <c r="A131" i="7"/>
  <c r="A130" i="7"/>
  <c r="A129" i="7"/>
  <c r="A128" i="7"/>
  <c r="A127" i="7"/>
  <c r="A126" i="7"/>
  <c r="F130" i="7"/>
  <c r="F133" i="7" s="1"/>
  <c r="F135" i="7" s="1"/>
  <c r="F137" i="7" s="1"/>
  <c r="A125" i="7"/>
  <c r="G124" i="7"/>
  <c r="F124" i="7"/>
  <c r="E124" i="7"/>
  <c r="E130" i="7" s="1"/>
  <c r="E133" i="7" s="1"/>
  <c r="E135" i="7" s="1"/>
  <c r="A124" i="7"/>
  <c r="H124" i="7"/>
  <c r="H130" i="7" s="1"/>
  <c r="A123" i="7"/>
  <c r="A122" i="7"/>
  <c r="A121" i="7"/>
  <c r="I124" i="7"/>
  <c r="I130" i="7" s="1"/>
  <c r="I133" i="7" s="1"/>
  <c r="I135" i="7" s="1"/>
  <c r="I137" i="7" s="1"/>
  <c r="D124" i="7"/>
  <c r="D130" i="7" s="1"/>
  <c r="C124" i="7"/>
  <c r="C130" i="7" s="1"/>
  <c r="C133" i="7" s="1"/>
  <c r="C135" i="7" s="1"/>
  <c r="B124" i="7"/>
  <c r="B130" i="7" s="1"/>
  <c r="A120" i="7"/>
  <c r="F118" i="7"/>
  <c r="B118" i="7"/>
  <c r="A116" i="7"/>
  <c r="A115" i="7"/>
  <c r="A113" i="7"/>
  <c r="A112" i="7"/>
  <c r="A111" i="7"/>
  <c r="A110" i="7"/>
  <c r="A109" i="7"/>
  <c r="D29" i="23"/>
  <c r="A108" i="7"/>
  <c r="A107" i="7"/>
  <c r="F106" i="7"/>
  <c r="D106" i="7"/>
  <c r="A105" i="7"/>
  <c r="A104" i="7"/>
  <c r="A101" i="7"/>
  <c r="A100" i="7"/>
  <c r="C100" i="7"/>
  <c r="A98" i="7"/>
  <c r="A97" i="7"/>
  <c r="A96" i="7"/>
  <c r="B100" i="7"/>
  <c r="A95" i="7"/>
  <c r="I100" i="7"/>
  <c r="A94" i="7"/>
  <c r="A93" i="7"/>
  <c r="B93" i="7"/>
  <c r="A92" i="7"/>
  <c r="A90" i="7"/>
  <c r="D93" i="7"/>
  <c r="A89" i="7"/>
  <c r="C93" i="7"/>
  <c r="A88" i="7"/>
  <c r="A87" i="7"/>
  <c r="G86" i="7"/>
  <c r="F86" i="7"/>
  <c r="E86" i="7"/>
  <c r="C86" i="7"/>
  <c r="A85" i="7"/>
  <c r="A84" i="7"/>
  <c r="A81" i="7"/>
  <c r="A80" i="7"/>
  <c r="A79" i="7"/>
  <c r="A78" i="7"/>
  <c r="A77" i="7"/>
  <c r="A76" i="7"/>
  <c r="A75" i="7"/>
  <c r="C74" i="7"/>
  <c r="C77" i="7" s="1"/>
  <c r="C79" i="7" s="1"/>
  <c r="C81" i="7" s="1"/>
  <c r="A74" i="7"/>
  <c r="A73" i="7"/>
  <c r="A72" i="7"/>
  <c r="A71" i="7"/>
  <c r="A70" i="7"/>
  <c r="A69" i="7"/>
  <c r="E68" i="7"/>
  <c r="E74" i="7" s="1"/>
  <c r="E77" i="7" s="1"/>
  <c r="D68" i="7"/>
  <c r="D74" i="7" s="1"/>
  <c r="D77" i="7" s="1"/>
  <c r="A68" i="7"/>
  <c r="A67" i="7"/>
  <c r="G68" i="7"/>
  <c r="G74" i="7" s="1"/>
  <c r="G77" i="7" s="1"/>
  <c r="G79" i="7" s="1"/>
  <c r="G81" i="7" s="1"/>
  <c r="F68" i="7"/>
  <c r="F74" i="7" s="1"/>
  <c r="F77" i="7" s="1"/>
  <c r="F79" i="7" s="1"/>
  <c r="F81" i="7" s="1"/>
  <c r="C68" i="7"/>
  <c r="A66" i="7"/>
  <c r="B68" i="7"/>
  <c r="B74" i="7" s="1"/>
  <c r="B77" i="7" s="1"/>
  <c r="B79" i="7" s="1"/>
  <c r="B81" i="7" s="1"/>
  <c r="A65" i="7"/>
  <c r="I68" i="7"/>
  <c r="I74" i="7" s="1"/>
  <c r="I77" i="7" s="1"/>
  <c r="I79" i="7" s="1"/>
  <c r="I81" i="7" s="1"/>
  <c r="H68" i="7"/>
  <c r="H74" i="7" s="1"/>
  <c r="H77" i="7" s="1"/>
  <c r="H79" i="7" s="1"/>
  <c r="H81" i="7" s="1"/>
  <c r="A64" i="7"/>
  <c r="F62" i="7"/>
  <c r="B62" i="7"/>
  <c r="A60" i="7"/>
  <c r="A59" i="7"/>
  <c r="A57" i="7"/>
  <c r="A56" i="7"/>
  <c r="A55" i="7"/>
  <c r="A54" i="7"/>
  <c r="A53" i="7"/>
  <c r="A52" i="7"/>
  <c r="A51" i="7"/>
  <c r="H50" i="7"/>
  <c r="C50" i="7"/>
  <c r="B50" i="7"/>
  <c r="A49" i="7"/>
  <c r="A48" i="7"/>
  <c r="A45" i="7"/>
  <c r="F44" i="7"/>
  <c r="E44" i="7"/>
  <c r="A44" i="7"/>
  <c r="A42" i="7"/>
  <c r="A41" i="7"/>
  <c r="A40" i="7"/>
  <c r="A39" i="7"/>
  <c r="F37" i="7"/>
  <c r="A38" i="7"/>
  <c r="E37" i="7"/>
  <c r="D37" i="7"/>
  <c r="C37" i="7"/>
  <c r="A37" i="7"/>
  <c r="A36" i="7"/>
  <c r="A34" i="7"/>
  <c r="A33" i="7"/>
  <c r="A32" i="7"/>
  <c r="A31" i="7"/>
  <c r="I30" i="7"/>
  <c r="I50" i="7" s="1"/>
  <c r="H30" i="7"/>
  <c r="H86" i="7" s="1"/>
  <c r="G30" i="7"/>
  <c r="F30" i="7"/>
  <c r="E30" i="7"/>
  <c r="D30" i="7"/>
  <c r="D50" i="7" s="1"/>
  <c r="C30" i="7"/>
  <c r="B30" i="7"/>
  <c r="A29" i="7"/>
  <c r="A28" i="7"/>
  <c r="A25" i="7"/>
  <c r="A24" i="7"/>
  <c r="A23" i="7"/>
  <c r="A22" i="7"/>
  <c r="A21" i="7"/>
  <c r="A20" i="7"/>
  <c r="A19" i="7"/>
  <c r="A18" i="7"/>
  <c r="A17" i="7"/>
  <c r="A16" i="7"/>
  <c r="A15" i="7"/>
  <c r="A14" i="7"/>
  <c r="A13" i="7"/>
  <c r="A12" i="7"/>
  <c r="A11" i="7"/>
  <c r="A10" i="7"/>
  <c r="I12" i="7"/>
  <c r="I18" i="7" s="1"/>
  <c r="I21" i="7" s="1"/>
  <c r="I23" i="7" s="1"/>
  <c r="I25" i="7" s="1"/>
  <c r="D12" i="7"/>
  <c r="D18" i="7" s="1"/>
  <c r="D21" i="7" s="1"/>
  <c r="D23" i="7" s="1"/>
  <c r="D25" i="7" s="1"/>
  <c r="C12" i="7"/>
  <c r="C18" i="7" s="1"/>
  <c r="C21" i="7" s="1"/>
  <c r="C23" i="7" s="1"/>
  <c r="C25" i="7" s="1"/>
  <c r="A9" i="7"/>
  <c r="A8" i="7"/>
  <c r="I7" i="7"/>
  <c r="I119" i="7" s="1"/>
  <c r="F6" i="7"/>
  <c r="B6" i="7"/>
  <c r="A4" i="7"/>
  <c r="A3" i="7"/>
  <c r="A1" i="7"/>
  <c r="A169" i="6"/>
  <c r="A168" i="6"/>
  <c r="A167" i="6"/>
  <c r="A166" i="6"/>
  <c r="A165" i="6"/>
  <c r="A164" i="6"/>
  <c r="A163" i="6"/>
  <c r="I162" i="6"/>
  <c r="H162" i="6"/>
  <c r="E162" i="6"/>
  <c r="C162" i="6"/>
  <c r="B162" i="6"/>
  <c r="A161" i="6"/>
  <c r="A160" i="6"/>
  <c r="A157" i="6"/>
  <c r="D156" i="6"/>
  <c r="C156" i="6"/>
  <c r="A156" i="6"/>
  <c r="A154" i="6"/>
  <c r="F156" i="6"/>
  <c r="E156" i="6"/>
  <c r="A153" i="6"/>
  <c r="A152" i="6"/>
  <c r="H156" i="6"/>
  <c r="G156" i="6"/>
  <c r="A151" i="6"/>
  <c r="I156" i="6"/>
  <c r="D149" i="6"/>
  <c r="A150" i="6"/>
  <c r="I149" i="6"/>
  <c r="G149" i="6"/>
  <c r="B149" i="6"/>
  <c r="A149" i="6"/>
  <c r="A148" i="6"/>
  <c r="A146" i="6"/>
  <c r="A145" i="6"/>
  <c r="A144" i="6"/>
  <c r="A143" i="6"/>
  <c r="I142" i="6"/>
  <c r="H142" i="6"/>
  <c r="G142" i="6"/>
  <c r="C142" i="6"/>
  <c r="A141" i="6"/>
  <c r="A140" i="6"/>
  <c r="A137" i="6"/>
  <c r="A136" i="6"/>
  <c r="A135" i="6"/>
  <c r="A134" i="6"/>
  <c r="A133" i="6"/>
  <c r="A132" i="6"/>
  <c r="A131" i="6"/>
  <c r="A130" i="6"/>
  <c r="A129" i="6"/>
  <c r="A128" i="6"/>
  <c r="A127" i="6"/>
  <c r="A126" i="6"/>
  <c r="A125" i="6"/>
  <c r="C124" i="6"/>
  <c r="C130" i="6" s="1"/>
  <c r="C133" i="6" s="1"/>
  <c r="C135" i="6" s="1"/>
  <c r="C137" i="6" s="1"/>
  <c r="B124" i="6"/>
  <c r="B130" i="6" s="1"/>
  <c r="B133" i="6" s="1"/>
  <c r="B135" i="6" s="1"/>
  <c r="B137" i="6" s="1"/>
  <c r="A124" i="6"/>
  <c r="A123" i="6"/>
  <c r="D124" i="6"/>
  <c r="D130" i="6" s="1"/>
  <c r="D133" i="6" s="1"/>
  <c r="D135" i="6" s="1"/>
  <c r="D137" i="6" s="1"/>
  <c r="A122" i="6"/>
  <c r="I124" i="6"/>
  <c r="I130" i="6" s="1"/>
  <c r="A121" i="6"/>
  <c r="H124" i="6"/>
  <c r="H130" i="6" s="1"/>
  <c r="H133" i="6" s="1"/>
  <c r="H135" i="6" s="1"/>
  <c r="G124" i="6"/>
  <c r="G130" i="6" s="1"/>
  <c r="G133" i="6" s="1"/>
  <c r="G135" i="6" s="1"/>
  <c r="F124" i="6"/>
  <c r="F130" i="6" s="1"/>
  <c r="F133" i="6" s="1"/>
  <c r="F135" i="6" s="1"/>
  <c r="F137" i="6" s="1"/>
  <c r="A120" i="6"/>
  <c r="A116" i="6"/>
  <c r="A115" i="6"/>
  <c r="A113" i="6"/>
  <c r="A112" i="6"/>
  <c r="A111" i="6"/>
  <c r="A110" i="6"/>
  <c r="A109" i="6"/>
  <c r="I20" i="23"/>
  <c r="A108" i="6"/>
  <c r="A107" i="6"/>
  <c r="I106" i="6"/>
  <c r="H106" i="6"/>
  <c r="G106" i="6"/>
  <c r="B106" i="6"/>
  <c r="A105" i="6"/>
  <c r="A104" i="6"/>
  <c r="A101" i="6"/>
  <c r="E100" i="6"/>
  <c r="D100" i="6"/>
  <c r="A100" i="6"/>
  <c r="A98" i="6"/>
  <c r="A97" i="6"/>
  <c r="A96" i="6"/>
  <c r="A95" i="6"/>
  <c r="A94" i="6"/>
  <c r="C93" i="6"/>
  <c r="B93" i="6"/>
  <c r="A93" i="6"/>
  <c r="A92" i="6"/>
  <c r="A90" i="6"/>
  <c r="A89" i="6"/>
  <c r="E93" i="6"/>
  <c r="D93" i="6"/>
  <c r="A88" i="6"/>
  <c r="A87" i="6"/>
  <c r="I86" i="6"/>
  <c r="H86" i="6"/>
  <c r="G86" i="6"/>
  <c r="F86" i="6"/>
  <c r="A85" i="6"/>
  <c r="A84" i="6"/>
  <c r="A81" i="6"/>
  <c r="A80" i="6"/>
  <c r="A79" i="6"/>
  <c r="A78" i="6"/>
  <c r="A77" i="6"/>
  <c r="A76" i="6"/>
  <c r="A75" i="6"/>
  <c r="A74" i="6"/>
  <c r="A73" i="6"/>
  <c r="A72" i="6"/>
  <c r="A71" i="6"/>
  <c r="A70" i="6"/>
  <c r="A69" i="6"/>
  <c r="E68" i="6"/>
  <c r="E74" i="6" s="1"/>
  <c r="E77" i="6" s="1"/>
  <c r="E79" i="6" s="1"/>
  <c r="E81" i="6" s="1"/>
  <c r="A68" i="6"/>
  <c r="A67" i="6"/>
  <c r="A66" i="6"/>
  <c r="A65" i="6"/>
  <c r="H68" i="6"/>
  <c r="H74" i="6" s="1"/>
  <c r="H77" i="6" s="1"/>
  <c r="H79" i="6" s="1"/>
  <c r="H81" i="6" s="1"/>
  <c r="G68" i="6"/>
  <c r="G74" i="6" s="1"/>
  <c r="G77" i="6" s="1"/>
  <c r="D68" i="6"/>
  <c r="D74" i="6" s="1"/>
  <c r="D77" i="6" s="1"/>
  <c r="D79" i="6" s="1"/>
  <c r="D81" i="6" s="1"/>
  <c r="A64" i="6"/>
  <c r="F62" i="6"/>
  <c r="A60" i="6"/>
  <c r="A59" i="6"/>
  <c r="A57" i="6"/>
  <c r="A56" i="6"/>
  <c r="A55" i="6"/>
  <c r="A54" i="6"/>
  <c r="A53" i="6"/>
  <c r="A52" i="6"/>
  <c r="A51" i="6"/>
  <c r="H50" i="6"/>
  <c r="G50" i="6"/>
  <c r="F50" i="6"/>
  <c r="E50" i="6"/>
  <c r="D50" i="6"/>
  <c r="C50" i="6"/>
  <c r="B50" i="6"/>
  <c r="A49" i="6"/>
  <c r="A48" i="6"/>
  <c r="A45" i="6"/>
  <c r="H44" i="6"/>
  <c r="G44" i="6"/>
  <c r="F44" i="6"/>
  <c r="E44" i="6"/>
  <c r="A44" i="6"/>
  <c r="A42" i="6"/>
  <c r="A41" i="6"/>
  <c r="A40" i="6"/>
  <c r="I44" i="6"/>
  <c r="A39" i="6"/>
  <c r="E37" i="6"/>
  <c r="D44" i="6"/>
  <c r="A38" i="6"/>
  <c r="G37" i="6"/>
  <c r="F37" i="6"/>
  <c r="A37" i="6"/>
  <c r="A36" i="6"/>
  <c r="A34" i="6"/>
  <c r="A33" i="6"/>
  <c r="A32" i="6"/>
  <c r="A31" i="6"/>
  <c r="I30" i="6"/>
  <c r="I50" i="6" s="1"/>
  <c r="H30" i="6"/>
  <c r="G30" i="6"/>
  <c r="G162" i="6" s="1"/>
  <c r="F30" i="6"/>
  <c r="F162" i="6" s="1"/>
  <c r="E30" i="6"/>
  <c r="D30" i="6"/>
  <c r="D162" i="6" s="1"/>
  <c r="C30" i="6"/>
  <c r="B30" i="6"/>
  <c r="B86" i="6" s="1"/>
  <c r="A29" i="6"/>
  <c r="A28" i="6"/>
  <c r="A25" i="6"/>
  <c r="A24" i="6"/>
  <c r="A23" i="6"/>
  <c r="A22" i="6"/>
  <c r="A21" i="6"/>
  <c r="A20" i="6"/>
  <c r="A19" i="6"/>
  <c r="A18" i="6"/>
  <c r="A17" i="6"/>
  <c r="A16" i="6"/>
  <c r="A15" i="6"/>
  <c r="A14" i="6"/>
  <c r="A13" i="6"/>
  <c r="A12" i="6"/>
  <c r="A11" i="6"/>
  <c r="C12" i="6"/>
  <c r="C18" i="6" s="1"/>
  <c r="C21" i="6" s="1"/>
  <c r="C23" i="6" s="1"/>
  <c r="C25" i="6" s="1"/>
  <c r="A10" i="6"/>
  <c r="H12" i="6"/>
  <c r="H18" i="6" s="1"/>
  <c r="H21" i="6" s="1"/>
  <c r="H23" i="6" s="1"/>
  <c r="H25" i="6" s="1"/>
  <c r="D12" i="6"/>
  <c r="D18" i="6" s="1"/>
  <c r="D21" i="6" s="1"/>
  <c r="A9" i="6"/>
  <c r="E12" i="6"/>
  <c r="B12" i="6"/>
  <c r="B18" i="6" s="1"/>
  <c r="B21" i="6" s="1"/>
  <c r="B23" i="6" s="1"/>
  <c r="B25" i="6" s="1"/>
  <c r="A8" i="6"/>
  <c r="F6" i="6"/>
  <c r="F118" i="6" s="1"/>
  <c r="B6" i="6"/>
  <c r="B62" i="6" s="1"/>
  <c r="A4" i="6"/>
  <c r="A3" i="6"/>
  <c r="A1" i="6"/>
  <c r="A59" i="5"/>
  <c r="A58" i="5"/>
  <c r="A57" i="5"/>
  <c r="A56" i="5"/>
  <c r="A55" i="5"/>
  <c r="D11" i="23"/>
  <c r="C11" i="23"/>
  <c r="A54" i="5"/>
  <c r="A53" i="5"/>
  <c r="I52" i="5"/>
  <c r="H52" i="5"/>
  <c r="G52" i="5"/>
  <c r="F52" i="5"/>
  <c r="E52" i="5"/>
  <c r="D52" i="5"/>
  <c r="C52" i="5"/>
  <c r="B52" i="5"/>
  <c r="A51" i="5"/>
  <c r="A50" i="5"/>
  <c r="I48" i="14"/>
  <c r="H48" i="14"/>
  <c r="E48" i="14"/>
  <c r="D48" i="14"/>
  <c r="A47" i="5"/>
  <c r="I46" i="5"/>
  <c r="A46" i="5"/>
  <c r="A45" i="5"/>
  <c r="A44" i="5"/>
  <c r="A43" i="5"/>
  <c r="A42" i="5"/>
  <c r="F46" i="5"/>
  <c r="A41" i="5"/>
  <c r="H46" i="5"/>
  <c r="G39" i="5"/>
  <c r="D39" i="5"/>
  <c r="C39" i="5"/>
  <c r="A40" i="5"/>
  <c r="I39" i="5"/>
  <c r="H39" i="5"/>
  <c r="A39" i="5"/>
  <c r="F39" i="5"/>
  <c r="B39" i="5"/>
  <c r="A38" i="5"/>
  <c r="A37" i="5"/>
  <c r="A36" i="5"/>
  <c r="A35" i="5"/>
  <c r="A34" i="5"/>
  <c r="A33" i="5"/>
  <c r="A31" i="5"/>
  <c r="A30" i="5"/>
  <c r="A27" i="5"/>
  <c r="A26" i="5"/>
  <c r="A25" i="5"/>
  <c r="A24" i="5"/>
  <c r="A23" i="5"/>
  <c r="A22" i="5"/>
  <c r="A21" i="5"/>
  <c r="A20" i="5"/>
  <c r="A19" i="5"/>
  <c r="A18" i="5"/>
  <c r="A17" i="5"/>
  <c r="A16" i="5"/>
  <c r="A15" i="5"/>
  <c r="A14" i="5"/>
  <c r="A13" i="5"/>
  <c r="A12" i="5"/>
  <c r="A11" i="5"/>
  <c r="A10" i="5"/>
  <c r="H12" i="5"/>
  <c r="H18" i="5" s="1"/>
  <c r="H21" i="5" s="1"/>
  <c r="H23" i="5" s="1"/>
  <c r="H25" i="5" s="1"/>
  <c r="H27" i="5" s="1"/>
  <c r="F12" i="5"/>
  <c r="F18" i="5" s="1"/>
  <c r="F21" i="5" s="1"/>
  <c r="F23" i="5" s="1"/>
  <c r="F25" i="5" s="1"/>
  <c r="F27" i="5" s="1"/>
  <c r="A9" i="5"/>
  <c r="E12" i="5"/>
  <c r="E18" i="5" s="1"/>
  <c r="E21" i="5" s="1"/>
  <c r="E23" i="5" s="1"/>
  <c r="E25" i="5" s="1"/>
  <c r="E27" i="5" s="1"/>
  <c r="D12" i="5"/>
  <c r="D18" i="5" s="1"/>
  <c r="D21" i="5" s="1"/>
  <c r="D23" i="5" s="1"/>
  <c r="D25" i="5" s="1"/>
  <c r="D27" i="5" s="1"/>
  <c r="C12" i="5"/>
  <c r="C18" i="5" s="1"/>
  <c r="C21" i="5" s="1"/>
  <c r="C23" i="5" s="1"/>
  <c r="C25" i="5" s="1"/>
  <c r="B12" i="5"/>
  <c r="B18" i="5" s="1"/>
  <c r="B21" i="5" s="1"/>
  <c r="B23" i="5" s="1"/>
  <c r="B25" i="5" s="1"/>
  <c r="B27" i="5" s="1"/>
  <c r="A8" i="5"/>
  <c r="I7" i="5"/>
  <c r="I7" i="11" s="1"/>
  <c r="H7" i="5"/>
  <c r="H7" i="14" s="1"/>
  <c r="G7" i="5"/>
  <c r="G7" i="8" s="1"/>
  <c r="G63" i="8" s="1"/>
  <c r="F7" i="5"/>
  <c r="F7" i="8" s="1"/>
  <c r="F63" i="8" s="1"/>
  <c r="E7" i="5"/>
  <c r="E7" i="8" s="1"/>
  <c r="E63" i="8" s="1"/>
  <c r="D7" i="5"/>
  <c r="D7" i="11" s="1"/>
  <c r="C7" i="5"/>
  <c r="C41" i="3" s="1"/>
  <c r="B7" i="5"/>
  <c r="B41" i="3" s="1"/>
  <c r="A4" i="5"/>
  <c r="A3" i="5"/>
  <c r="A1" i="5"/>
  <c r="D38" i="4"/>
  <c r="C38" i="4"/>
  <c r="A37" i="4"/>
  <c r="D35" i="4"/>
  <c r="C35" i="4"/>
  <c r="B35" i="4"/>
  <c r="A35" i="4"/>
  <c r="A34" i="4"/>
  <c r="H35" i="4"/>
  <c r="G35" i="4"/>
  <c r="F35" i="4"/>
  <c r="E35" i="4"/>
  <c r="A33" i="4"/>
  <c r="I35" i="4"/>
  <c r="A32" i="4"/>
  <c r="A30" i="4"/>
  <c r="A29" i="4"/>
  <c r="A28" i="4"/>
  <c r="A27" i="4"/>
  <c r="A26" i="4"/>
  <c r="A25" i="4"/>
  <c r="A24" i="4"/>
  <c r="G30" i="4"/>
  <c r="F30" i="4"/>
  <c r="A23" i="4"/>
  <c r="A22" i="4"/>
  <c r="I30" i="4"/>
  <c r="H30" i="4"/>
  <c r="E30" i="4"/>
  <c r="D30" i="4"/>
  <c r="C30" i="4"/>
  <c r="A21" i="4"/>
  <c r="A20" i="4"/>
  <c r="A19" i="4"/>
  <c r="A18" i="4"/>
  <c r="A17" i="4"/>
  <c r="A16" i="4"/>
  <c r="A15" i="4"/>
  <c r="A14" i="4"/>
  <c r="A13" i="4"/>
  <c r="A12" i="4"/>
  <c r="A11" i="4"/>
  <c r="B20" i="4"/>
  <c r="B37" i="4" s="1"/>
  <c r="A10" i="4"/>
  <c r="A9" i="4"/>
  <c r="D20" i="4"/>
  <c r="D37" i="4" s="1"/>
  <c r="C20" i="4"/>
  <c r="C37" i="4" s="1"/>
  <c r="A8" i="4"/>
  <c r="A7" i="4"/>
  <c r="D39" i="4"/>
  <c r="A6" i="4"/>
  <c r="I5" i="4"/>
  <c r="H5" i="4"/>
  <c r="G5" i="4"/>
  <c r="F5" i="4"/>
  <c r="E5" i="4"/>
  <c r="D5" i="4"/>
  <c r="C5" i="4"/>
  <c r="B5" i="4"/>
  <c r="A4" i="4"/>
  <c r="A3" i="4"/>
  <c r="A1" i="4"/>
  <c r="A62" i="3"/>
  <c r="A61" i="3"/>
  <c r="A60" i="3"/>
  <c r="A59" i="3"/>
  <c r="A58" i="3"/>
  <c r="A57" i="3"/>
  <c r="A56" i="3"/>
  <c r="A55" i="3"/>
  <c r="A54" i="3"/>
  <c r="A53" i="3"/>
  <c r="A52" i="3"/>
  <c r="A51" i="3"/>
  <c r="A50" i="3"/>
  <c r="A49" i="3"/>
  <c r="C48" i="3"/>
  <c r="C54" i="3" s="1"/>
  <c r="A48" i="3"/>
  <c r="A47" i="3"/>
  <c r="E48" i="3"/>
  <c r="E54" i="3" s="1"/>
  <c r="A46" i="3"/>
  <c r="A45" i="3"/>
  <c r="G48" i="3"/>
  <c r="G54" i="3" s="1"/>
  <c r="G58" i="3" s="1"/>
  <c r="G60" i="3" s="1"/>
  <c r="G62" i="3" s="1"/>
  <c r="D48" i="3"/>
  <c r="D54" i="3" s="1"/>
  <c r="D58" i="3" s="1"/>
  <c r="D60" i="3" s="1"/>
  <c r="D62" i="3" s="1"/>
  <c r="A44" i="3"/>
  <c r="H48" i="3"/>
  <c r="H54" i="3" s="1"/>
  <c r="H58" i="3" s="1"/>
  <c r="H60" i="3" s="1"/>
  <c r="H62" i="3" s="1"/>
  <c r="A43" i="3"/>
  <c r="F48" i="3"/>
  <c r="F54" i="3" s="1"/>
  <c r="F58" i="3" s="1"/>
  <c r="F60" i="3" s="1"/>
  <c r="F62" i="3" s="1"/>
  <c r="A42" i="3"/>
  <c r="G41" i="3"/>
  <c r="E41" i="3"/>
  <c r="D41" i="3"/>
  <c r="F40" i="3"/>
  <c r="B40" i="3"/>
  <c r="A38" i="3"/>
  <c r="A37" i="3"/>
  <c r="A28" i="3"/>
  <c r="A27" i="3"/>
  <c r="A26" i="3"/>
  <c r="A25" i="3"/>
  <c r="A24" i="3"/>
  <c r="A23" i="3"/>
  <c r="A22" i="3"/>
  <c r="A21" i="3"/>
  <c r="A20" i="3"/>
  <c r="A19" i="3"/>
  <c r="A18" i="3"/>
  <c r="A17" i="3"/>
  <c r="A16" i="3"/>
  <c r="A15" i="3"/>
  <c r="I14" i="3"/>
  <c r="I20" i="3" s="1"/>
  <c r="I24" i="3" s="1"/>
  <c r="H14" i="3"/>
  <c r="H20" i="3" s="1"/>
  <c r="G14" i="3"/>
  <c r="G20" i="3" s="1"/>
  <c r="G24" i="3" s="1"/>
  <c r="G26" i="3" s="1"/>
  <c r="A14" i="3"/>
  <c r="A13" i="3"/>
  <c r="A12" i="3"/>
  <c r="A11" i="3"/>
  <c r="A10" i="3"/>
  <c r="A9" i="3"/>
  <c r="A8" i="3"/>
  <c r="F6" i="3"/>
  <c r="B6" i="3"/>
  <c r="A4" i="3"/>
  <c r="A3" i="3"/>
  <c r="A1" i="3"/>
  <c r="F31" i="2"/>
  <c r="C31" i="2"/>
  <c r="F30" i="2"/>
  <c r="C30" i="2"/>
  <c r="F29" i="2"/>
  <c r="C29" i="2"/>
  <c r="F28" i="2"/>
  <c r="C28" i="2"/>
  <c r="F27" i="2"/>
  <c r="C27" i="2"/>
  <c r="F26" i="2"/>
  <c r="C26" i="2"/>
  <c r="F25" i="2"/>
  <c r="C25" i="2"/>
  <c r="F24" i="2"/>
  <c r="C24" i="2"/>
  <c r="C23" i="2"/>
  <c r="F22" i="2"/>
  <c r="C22" i="2"/>
  <c r="C21" i="2"/>
  <c r="C20" i="2"/>
  <c r="F19" i="2"/>
  <c r="F18" i="2"/>
  <c r="C18" i="2"/>
  <c r="F17" i="2"/>
  <c r="C17" i="2"/>
  <c r="F16" i="2"/>
  <c r="C16" i="2"/>
  <c r="F15" i="2"/>
  <c r="C15" i="2"/>
  <c r="F14" i="2"/>
  <c r="C14" i="2"/>
  <c r="F13" i="2"/>
  <c r="C13" i="2"/>
  <c r="F12" i="2"/>
  <c r="C12" i="2"/>
  <c r="F11" i="2"/>
  <c r="C11" i="2"/>
  <c r="F10" i="2"/>
  <c r="C10" i="2"/>
  <c r="F9" i="2"/>
  <c r="C9" i="2"/>
  <c r="C8" i="2"/>
  <c r="C7" i="2"/>
  <c r="F6" i="2"/>
  <c r="F5" i="2"/>
  <c r="C5" i="2"/>
  <c r="C4" i="2"/>
  <c r="C2" i="2"/>
  <c r="H7" i="12" l="1"/>
  <c r="G7" i="3"/>
  <c r="H7" i="3"/>
  <c r="I41" i="3"/>
  <c r="G7" i="9"/>
  <c r="G119" i="9" s="1"/>
  <c r="H7" i="9"/>
  <c r="H119" i="9" s="1"/>
  <c r="C7" i="3"/>
  <c r="E7" i="7"/>
  <c r="E63" i="7" s="1"/>
  <c r="D7" i="3"/>
  <c r="F7" i="7"/>
  <c r="F63" i="7" s="1"/>
  <c r="E7" i="3"/>
  <c r="G7" i="7"/>
  <c r="G63" i="7" s="1"/>
  <c r="F7" i="3"/>
  <c r="H7" i="7"/>
  <c r="H119" i="7" s="1"/>
  <c r="B38" i="4"/>
  <c r="H100" i="7"/>
  <c r="H93" i="7"/>
  <c r="E14" i="3"/>
  <c r="E20" i="3" s="1"/>
  <c r="E24" i="3" s="1"/>
  <c r="E26" i="3" s="1"/>
  <c r="E28" i="3" s="1"/>
  <c r="G20" i="4"/>
  <c r="G37" i="4" s="1"/>
  <c r="E18" i="6"/>
  <c r="E21" i="6" s="1"/>
  <c r="E23" i="6" s="1"/>
  <c r="E25" i="6" s="1"/>
  <c r="C58" i="3"/>
  <c r="C60" i="3" s="1"/>
  <c r="C62" i="3" s="1"/>
  <c r="H20" i="4"/>
  <c r="H37" i="4" s="1"/>
  <c r="E39" i="5"/>
  <c r="G100" i="7"/>
  <c r="G93" i="7"/>
  <c r="E20" i="4"/>
  <c r="E37" i="4" s="1"/>
  <c r="I48" i="3"/>
  <c r="I54" i="3" s="1"/>
  <c r="I58" i="3" s="1"/>
  <c r="I60" i="3" s="1"/>
  <c r="I62" i="3" s="1"/>
  <c r="E58" i="3"/>
  <c r="E60" i="3" s="1"/>
  <c r="E62" i="3" s="1"/>
  <c r="G12" i="6"/>
  <c r="G18" i="6" s="1"/>
  <c r="G21" i="6" s="1"/>
  <c r="G23" i="6" s="1"/>
  <c r="G25" i="6" s="1"/>
  <c r="G79" i="6"/>
  <c r="G81" i="6" s="1"/>
  <c r="D37" i="8"/>
  <c r="D44" i="8"/>
  <c r="B14" i="3"/>
  <c r="B20" i="3" s="1"/>
  <c r="B24" i="3" s="1"/>
  <c r="B26" i="3" s="1"/>
  <c r="B28" i="3" s="1"/>
  <c r="C14" i="3"/>
  <c r="C20" i="3" s="1"/>
  <c r="C24" i="3" s="1"/>
  <c r="C26" i="3" s="1"/>
  <c r="C28" i="3" s="1"/>
  <c r="B12" i="7"/>
  <c r="B18" i="7" s="1"/>
  <c r="B21" i="7" s="1"/>
  <c r="B23" i="7" s="1"/>
  <c r="B25" i="7" s="1"/>
  <c r="B37" i="8"/>
  <c r="B44" i="8"/>
  <c r="F14" i="3"/>
  <c r="F20" i="3" s="1"/>
  <c r="F24" i="3" s="1"/>
  <c r="F26" i="3" s="1"/>
  <c r="F28" i="3" s="1"/>
  <c r="G28" i="3"/>
  <c r="D79" i="7"/>
  <c r="D81" i="7" s="1"/>
  <c r="F100" i="10"/>
  <c r="F93" i="10"/>
  <c r="C27" i="5"/>
  <c r="I18" i="22"/>
  <c r="I31" i="22"/>
  <c r="I43" i="22"/>
  <c r="I52" i="22"/>
  <c r="F20" i="4"/>
  <c r="F37" i="4" s="1"/>
  <c r="D44" i="10"/>
  <c r="D37" i="10"/>
  <c r="F12" i="6"/>
  <c r="F18" i="6" s="1"/>
  <c r="F21" i="6" s="1"/>
  <c r="F23" i="6" s="1"/>
  <c r="F25" i="6" s="1"/>
  <c r="C37" i="8"/>
  <c r="C44" i="8"/>
  <c r="H24" i="3"/>
  <c r="H26" i="3" s="1"/>
  <c r="H28" i="3" s="1"/>
  <c r="I12" i="5"/>
  <c r="I18" i="5" s="1"/>
  <c r="I21" i="5" s="1"/>
  <c r="I23" i="5" s="1"/>
  <c r="I25" i="5" s="1"/>
  <c r="I27" i="5" s="1"/>
  <c r="G12" i="5"/>
  <c r="G18" i="5" s="1"/>
  <c r="G21" i="5" s="1"/>
  <c r="G23" i="5" s="1"/>
  <c r="G25" i="5" s="1"/>
  <c r="G27" i="5" s="1"/>
  <c r="I12" i="6"/>
  <c r="I18" i="6" s="1"/>
  <c r="I21" i="6" s="1"/>
  <c r="I23" i="6" s="1"/>
  <c r="I25" i="6" s="1"/>
  <c r="E79" i="7"/>
  <c r="E81" i="7" s="1"/>
  <c r="C137" i="7"/>
  <c r="G93" i="10"/>
  <c r="G100" i="10"/>
  <c r="B137" i="7"/>
  <c r="G77" i="9"/>
  <c r="G79" i="9" s="1"/>
  <c r="G81" i="9" s="1"/>
  <c r="I26" i="3"/>
  <c r="I28" i="3" s="1"/>
  <c r="E93" i="8"/>
  <c r="E100" i="8"/>
  <c r="H100" i="10"/>
  <c r="H93" i="10"/>
  <c r="F93" i="8"/>
  <c r="F100" i="8"/>
  <c r="I63" i="11"/>
  <c r="I119" i="11"/>
  <c r="D63" i="11"/>
  <c r="D119" i="11"/>
  <c r="B46" i="5"/>
  <c r="B44" i="6"/>
  <c r="B37" i="6"/>
  <c r="H137" i="6"/>
  <c r="E100" i="7"/>
  <c r="I74" i="8"/>
  <c r="I77" i="8" s="1"/>
  <c r="I79" i="8" s="1"/>
  <c r="I81" i="8" s="1"/>
  <c r="D86" i="13"/>
  <c r="D106" i="13"/>
  <c r="D50" i="13"/>
  <c r="I142" i="7"/>
  <c r="I106" i="7"/>
  <c r="I162" i="7"/>
  <c r="I86" i="7"/>
  <c r="B30" i="4"/>
  <c r="G43" i="22"/>
  <c r="G18" i="22"/>
  <c r="G52" i="22"/>
  <c r="G31" i="22"/>
  <c r="H18" i="22"/>
  <c r="H31" i="22"/>
  <c r="H43" i="22"/>
  <c r="H52" i="22"/>
  <c r="G137" i="6"/>
  <c r="D14" i="3"/>
  <c r="D20" i="3" s="1"/>
  <c r="D24" i="3" s="1"/>
  <c r="D26" i="3" s="1"/>
  <c r="D28" i="3" s="1"/>
  <c r="D23" i="6"/>
  <c r="D25" i="6" s="1"/>
  <c r="F100" i="7"/>
  <c r="F93" i="7"/>
  <c r="G44" i="10"/>
  <c r="G37" i="10"/>
  <c r="I100" i="10"/>
  <c r="I93" i="10"/>
  <c r="B37" i="11"/>
  <c r="B44" i="11"/>
  <c r="G28" i="18"/>
  <c r="I20" i="4"/>
  <c r="I37" i="4" s="1"/>
  <c r="C44" i="6"/>
  <c r="C37" i="6"/>
  <c r="G149" i="10"/>
  <c r="H63" i="12"/>
  <c r="H119" i="12"/>
  <c r="D79" i="15"/>
  <c r="D81" i="15" s="1"/>
  <c r="H28" i="18"/>
  <c r="I68" i="6"/>
  <c r="I74" i="6" s="1"/>
  <c r="I77" i="6" s="1"/>
  <c r="I79" i="6" s="1"/>
  <c r="I81" i="6" s="1"/>
  <c r="F37" i="8"/>
  <c r="E124" i="9"/>
  <c r="E130" i="9" s="1"/>
  <c r="E133" i="9" s="1"/>
  <c r="E135" i="9" s="1"/>
  <c r="E137" i="9" s="1"/>
  <c r="G133" i="10"/>
  <c r="G135" i="10" s="1"/>
  <c r="G137" i="10" s="1"/>
  <c r="H149" i="10"/>
  <c r="D37" i="11"/>
  <c r="D44" i="11"/>
  <c r="I28" i="18"/>
  <c r="F48" i="14"/>
  <c r="B118" i="6"/>
  <c r="B156" i="6"/>
  <c r="E137" i="7"/>
  <c r="E37" i="8"/>
  <c r="H81" i="8"/>
  <c r="F12" i="9"/>
  <c r="F18" i="9" s="1"/>
  <c r="F21" i="9" s="1"/>
  <c r="F23" i="9" s="1"/>
  <c r="F25" i="9" s="1"/>
  <c r="B162" i="12"/>
  <c r="B106" i="12"/>
  <c r="B86" i="12"/>
  <c r="B50" i="12"/>
  <c r="F41" i="3"/>
  <c r="G48" i="14"/>
  <c r="B100" i="6"/>
  <c r="C149" i="6"/>
  <c r="B12" i="8"/>
  <c r="B18" i="8" s="1"/>
  <c r="B21" i="8" s="1"/>
  <c r="B23" i="8" s="1"/>
  <c r="B25" i="8" s="1"/>
  <c r="H93" i="8"/>
  <c r="I7" i="9"/>
  <c r="H44" i="9"/>
  <c r="H100" i="9"/>
  <c r="H93" i="9"/>
  <c r="B44" i="10"/>
  <c r="G156" i="10"/>
  <c r="D100" i="11"/>
  <c r="F130" i="11"/>
  <c r="F133" i="11" s="1"/>
  <c r="F135" i="11" s="1"/>
  <c r="F137" i="11" s="1"/>
  <c r="C162" i="12"/>
  <c r="C86" i="12"/>
  <c r="C50" i="12"/>
  <c r="C106" i="12"/>
  <c r="H37" i="12"/>
  <c r="B7" i="15"/>
  <c r="B63" i="15" s="1"/>
  <c r="B7" i="14"/>
  <c r="B7" i="13"/>
  <c r="B63" i="13" s="1"/>
  <c r="B7" i="12"/>
  <c r="B7" i="10"/>
  <c r="B7" i="11"/>
  <c r="B7" i="8"/>
  <c r="B63" i="8" s="1"/>
  <c r="B7" i="7"/>
  <c r="B7" i="9"/>
  <c r="B7" i="6"/>
  <c r="I44" i="9"/>
  <c r="H41" i="3"/>
  <c r="C7" i="15"/>
  <c r="C63" i="15" s="1"/>
  <c r="C7" i="14"/>
  <c r="C7" i="13"/>
  <c r="C63" i="13" s="1"/>
  <c r="C7" i="12"/>
  <c r="C7" i="10"/>
  <c r="C7" i="11"/>
  <c r="C7" i="7"/>
  <c r="C7" i="8"/>
  <c r="C63" i="8" s="1"/>
  <c r="C7" i="9"/>
  <c r="C7" i="6"/>
  <c r="C86" i="6"/>
  <c r="C106" i="6"/>
  <c r="H37" i="6"/>
  <c r="E149" i="6"/>
  <c r="E12" i="7"/>
  <c r="E18" i="7" s="1"/>
  <c r="E21" i="7" s="1"/>
  <c r="E23" i="7" s="1"/>
  <c r="E25" i="7" s="1"/>
  <c r="G44" i="7"/>
  <c r="G37" i="7"/>
  <c r="C149" i="7"/>
  <c r="D7" i="8"/>
  <c r="D63" i="8" s="1"/>
  <c r="C37" i="9"/>
  <c r="I156" i="10"/>
  <c r="I149" i="12"/>
  <c r="I156" i="12"/>
  <c r="I77" i="15"/>
  <c r="I79" i="15" s="1"/>
  <c r="I81" i="15" s="1"/>
  <c r="C100" i="6"/>
  <c r="I63" i="7"/>
  <c r="B149" i="7"/>
  <c r="G93" i="8"/>
  <c r="E100" i="11"/>
  <c r="D7" i="15"/>
  <c r="D63" i="15" s="1"/>
  <c r="D7" i="14"/>
  <c r="D7" i="13"/>
  <c r="D63" i="13" s="1"/>
  <c r="D7" i="12"/>
  <c r="D7" i="7"/>
  <c r="D7" i="10"/>
  <c r="D7" i="9"/>
  <c r="C46" i="5"/>
  <c r="D7" i="6"/>
  <c r="D86" i="6"/>
  <c r="D106" i="6"/>
  <c r="D142" i="6"/>
  <c r="F12" i="7"/>
  <c r="F18" i="7" s="1"/>
  <c r="F21" i="7" s="1"/>
  <c r="F23" i="7" s="1"/>
  <c r="F25" i="7" s="1"/>
  <c r="H44" i="7"/>
  <c r="H37" i="7"/>
  <c r="I29" i="23"/>
  <c r="E12" i="8"/>
  <c r="E18" i="8" s="1"/>
  <c r="E21" i="8" s="1"/>
  <c r="E23" i="8" s="1"/>
  <c r="E25" i="8" s="1"/>
  <c r="F50" i="8"/>
  <c r="F86" i="8"/>
  <c r="D37" i="9"/>
  <c r="C12" i="10"/>
  <c r="C18" i="10" s="1"/>
  <c r="C21" i="10" s="1"/>
  <c r="C23" i="10" s="1"/>
  <c r="C25" i="10" s="1"/>
  <c r="C44" i="10"/>
  <c r="E149" i="11"/>
  <c r="E156" i="11"/>
  <c r="D47" i="14"/>
  <c r="I149" i="10"/>
  <c r="G130" i="7"/>
  <c r="G133" i="7" s="1"/>
  <c r="G135" i="7" s="1"/>
  <c r="G137" i="7" s="1"/>
  <c r="I93" i="9"/>
  <c r="I100" i="9"/>
  <c r="H21" i="10"/>
  <c r="H23" i="10" s="1"/>
  <c r="H25" i="10" s="1"/>
  <c r="C50" i="10"/>
  <c r="C162" i="10"/>
  <c r="C142" i="10"/>
  <c r="C106" i="10"/>
  <c r="D162" i="12"/>
  <c r="D50" i="12"/>
  <c r="D106" i="12"/>
  <c r="D86" i="12"/>
  <c r="G37" i="12"/>
  <c r="E11" i="23"/>
  <c r="E7" i="14"/>
  <c r="E7" i="13"/>
  <c r="E63" i="13" s="1"/>
  <c r="E7" i="15"/>
  <c r="E63" i="15" s="1"/>
  <c r="E7" i="12"/>
  <c r="E7" i="10"/>
  <c r="E7" i="11"/>
  <c r="E7" i="9"/>
  <c r="D46" i="5"/>
  <c r="E7" i="6"/>
  <c r="E106" i="6"/>
  <c r="E142" i="6"/>
  <c r="F68" i="6"/>
  <c r="F74" i="6" s="1"/>
  <c r="F77" i="6" s="1"/>
  <c r="F79" i="6" s="1"/>
  <c r="F81" i="6" s="1"/>
  <c r="G12" i="7"/>
  <c r="G18" i="7" s="1"/>
  <c r="G21" i="7" s="1"/>
  <c r="G23" i="7" s="1"/>
  <c r="G25" i="7" s="1"/>
  <c r="I37" i="7"/>
  <c r="I44" i="7"/>
  <c r="I93" i="7"/>
  <c r="B106" i="8"/>
  <c r="D12" i="9"/>
  <c r="D18" i="9" s="1"/>
  <c r="D21" i="9" s="1"/>
  <c r="D23" i="9" s="1"/>
  <c r="D25" i="9" s="1"/>
  <c r="I124" i="9"/>
  <c r="I130" i="9" s="1"/>
  <c r="I133" i="9" s="1"/>
  <c r="I135" i="9" s="1"/>
  <c r="I137" i="9" s="1"/>
  <c r="D12" i="10"/>
  <c r="D18" i="10" s="1"/>
  <c r="D21" i="10" s="1"/>
  <c r="D23" i="10" s="1"/>
  <c r="D25" i="10" s="1"/>
  <c r="F142" i="10"/>
  <c r="F106" i="10"/>
  <c r="F50" i="10"/>
  <c r="F162" i="10"/>
  <c r="F86" i="10"/>
  <c r="B68" i="10"/>
  <c r="B74" i="10" s="1"/>
  <c r="B77" i="10" s="1"/>
  <c r="B79" i="10" s="1"/>
  <c r="B81" i="10" s="1"/>
  <c r="B142" i="12"/>
  <c r="I23" i="8"/>
  <c r="I25" i="8" s="1"/>
  <c r="B44" i="7"/>
  <c r="B48" i="3"/>
  <c r="B54" i="3" s="1"/>
  <c r="B58" i="3" s="1"/>
  <c r="B60" i="3" s="1"/>
  <c r="B62" i="3" s="1"/>
  <c r="I39" i="4"/>
  <c r="F7" i="13"/>
  <c r="F63" i="13" s="1"/>
  <c r="F7" i="15"/>
  <c r="F63" i="15" s="1"/>
  <c r="F7" i="10"/>
  <c r="F7" i="12"/>
  <c r="F7" i="14"/>
  <c r="F7" i="11"/>
  <c r="F7" i="9"/>
  <c r="E46" i="5"/>
  <c r="F7" i="6"/>
  <c r="F106" i="6"/>
  <c r="F142" i="6"/>
  <c r="I37" i="6"/>
  <c r="G100" i="6"/>
  <c r="G93" i="6"/>
  <c r="I133" i="6"/>
  <c r="I135" i="6" s="1"/>
  <c r="I137" i="6" s="1"/>
  <c r="H12" i="7"/>
  <c r="H18" i="7" s="1"/>
  <c r="H21" i="7" s="1"/>
  <c r="H23" i="7" s="1"/>
  <c r="H25" i="7" s="1"/>
  <c r="E106" i="7"/>
  <c r="E162" i="7"/>
  <c r="E50" i="7"/>
  <c r="E142" i="7"/>
  <c r="F156" i="7"/>
  <c r="B50" i="15"/>
  <c r="B86" i="15"/>
  <c r="B39" i="4"/>
  <c r="G7" i="15"/>
  <c r="G63" i="15" s="1"/>
  <c r="G7" i="14"/>
  <c r="G7" i="11"/>
  <c r="G7" i="13"/>
  <c r="G63" i="13" s="1"/>
  <c r="G7" i="12"/>
  <c r="G7" i="10"/>
  <c r="G7" i="6"/>
  <c r="H100" i="6"/>
  <c r="H93" i="6"/>
  <c r="F100" i="6"/>
  <c r="F149" i="6"/>
  <c r="F142" i="7"/>
  <c r="F50" i="7"/>
  <c r="F162" i="7"/>
  <c r="B100" i="8"/>
  <c r="B93" i="8"/>
  <c r="F12" i="10"/>
  <c r="F18" i="10" s="1"/>
  <c r="F21" i="10" s="1"/>
  <c r="F23" i="10" s="1"/>
  <c r="F25" i="10" s="1"/>
  <c r="B21" i="10"/>
  <c r="B23" i="10" s="1"/>
  <c r="B25" i="10" s="1"/>
  <c r="D142" i="12"/>
  <c r="D133" i="7"/>
  <c r="D135" i="7" s="1"/>
  <c r="D137" i="7" s="1"/>
  <c r="B7" i="3"/>
  <c r="C39" i="4"/>
  <c r="G46" i="5"/>
  <c r="H7" i="6"/>
  <c r="D37" i="6"/>
  <c r="I100" i="6"/>
  <c r="I93" i="6"/>
  <c r="G162" i="7"/>
  <c r="G50" i="7"/>
  <c r="G142" i="7"/>
  <c r="G106" i="7"/>
  <c r="B50" i="8"/>
  <c r="C93" i="8"/>
  <c r="C100" i="8"/>
  <c r="B68" i="9"/>
  <c r="B74" i="9" s="1"/>
  <c r="B77" i="9" s="1"/>
  <c r="B79" i="9" s="1"/>
  <c r="B81" i="9" s="1"/>
  <c r="I68" i="9"/>
  <c r="I74" i="9" s="1"/>
  <c r="I77" i="9" s="1"/>
  <c r="I79" i="9" s="1"/>
  <c r="I81" i="9" s="1"/>
  <c r="D100" i="10"/>
  <c r="D93" i="10"/>
  <c r="E43" i="22"/>
  <c r="E18" i="22"/>
  <c r="E52" i="22"/>
  <c r="E31" i="22"/>
  <c r="C14" i="22"/>
  <c r="H14" i="22"/>
  <c r="H23" i="8"/>
  <c r="H25" i="8" s="1"/>
  <c r="H7" i="15"/>
  <c r="H63" i="15" s="1"/>
  <c r="H7" i="10"/>
  <c r="H7" i="11"/>
  <c r="H7" i="13"/>
  <c r="H63" i="13" s="1"/>
  <c r="H7" i="8"/>
  <c r="H63" i="8" s="1"/>
  <c r="B68" i="6"/>
  <c r="B74" i="6" s="1"/>
  <c r="B77" i="6" s="1"/>
  <c r="B79" i="6" s="1"/>
  <c r="B81" i="6" s="1"/>
  <c r="I7" i="15"/>
  <c r="I63" i="15" s="1"/>
  <c r="I7" i="12"/>
  <c r="I7" i="13"/>
  <c r="I63" i="13" s="1"/>
  <c r="I7" i="8"/>
  <c r="I63" i="8" s="1"/>
  <c r="I7" i="10"/>
  <c r="I7" i="3"/>
  <c r="I7" i="6"/>
  <c r="C68" i="6"/>
  <c r="C74" i="6" s="1"/>
  <c r="C77" i="6" s="1"/>
  <c r="C79" i="6" s="1"/>
  <c r="C81" i="6" s="1"/>
  <c r="E86" i="6"/>
  <c r="E124" i="6"/>
  <c r="E130" i="6" s="1"/>
  <c r="E133" i="6" s="1"/>
  <c r="E135" i="6" s="1"/>
  <c r="E137" i="6" s="1"/>
  <c r="B142" i="6"/>
  <c r="H142" i="7"/>
  <c r="H106" i="7"/>
  <c r="H162" i="7"/>
  <c r="B37" i="7"/>
  <c r="D44" i="7"/>
  <c r="E93" i="7"/>
  <c r="D100" i="7"/>
  <c r="I156" i="7"/>
  <c r="D93" i="8"/>
  <c r="F106" i="8"/>
  <c r="F37" i="9"/>
  <c r="E162" i="11"/>
  <c r="E106" i="11"/>
  <c r="E142" i="11"/>
  <c r="E86" i="11"/>
  <c r="I77" i="13"/>
  <c r="I79" i="13" s="1"/>
  <c r="I81" i="13" s="1"/>
  <c r="I7" i="14"/>
  <c r="F43" i="22"/>
  <c r="F18" i="22"/>
  <c r="F52" i="22"/>
  <c r="D14" i="22"/>
  <c r="E13" i="18"/>
  <c r="B48" i="14"/>
  <c r="E37" i="9"/>
  <c r="E50" i="9"/>
  <c r="F93" i="9"/>
  <c r="C149" i="9"/>
  <c r="I44" i="10"/>
  <c r="E37" i="11"/>
  <c r="E44" i="11"/>
  <c r="C44" i="11"/>
  <c r="H77" i="13"/>
  <c r="H79" i="13" s="1"/>
  <c r="H81" i="13" s="1"/>
  <c r="H37" i="15"/>
  <c r="I93" i="15"/>
  <c r="I100" i="15"/>
  <c r="C48" i="14"/>
  <c r="B162" i="9"/>
  <c r="B86" i="9"/>
  <c r="B106" i="9"/>
  <c r="D156" i="9"/>
  <c r="I162" i="9"/>
  <c r="I12" i="10"/>
  <c r="I18" i="10" s="1"/>
  <c r="I21" i="10" s="1"/>
  <c r="I23" i="10" s="1"/>
  <c r="I25" i="10" s="1"/>
  <c r="H142" i="10"/>
  <c r="H162" i="10"/>
  <c r="H50" i="10"/>
  <c r="I124" i="10"/>
  <c r="I130" i="10" s="1"/>
  <c r="I133" i="10" s="1"/>
  <c r="I135" i="10" s="1"/>
  <c r="I137" i="10" s="1"/>
  <c r="F149" i="10"/>
  <c r="G12" i="11"/>
  <c r="G18" i="11" s="1"/>
  <c r="G21" i="11" s="1"/>
  <c r="G23" i="11" s="1"/>
  <c r="G25" i="11" s="1"/>
  <c r="D18" i="11"/>
  <c r="D21" i="11" s="1"/>
  <c r="D23" i="11" s="1"/>
  <c r="D25" i="11" s="1"/>
  <c r="F44" i="11"/>
  <c r="F37" i="11"/>
  <c r="G100" i="11"/>
  <c r="E23" i="15"/>
  <c r="E25" i="15" s="1"/>
  <c r="D86" i="15"/>
  <c r="D106" i="15"/>
  <c r="H149" i="6"/>
  <c r="H124" i="9"/>
  <c r="H130" i="9" s="1"/>
  <c r="H133" i="9" s="1"/>
  <c r="H135" i="9" s="1"/>
  <c r="H137" i="9" s="1"/>
  <c r="E156" i="9"/>
  <c r="E149" i="9"/>
  <c r="H21" i="11"/>
  <c r="H23" i="11" s="1"/>
  <c r="H25" i="11" s="1"/>
  <c r="G37" i="11"/>
  <c r="B21" i="15"/>
  <c r="B23" i="15" s="1"/>
  <c r="B25" i="15" s="1"/>
  <c r="E86" i="15"/>
  <c r="E106" i="15"/>
  <c r="G28" i="23"/>
  <c r="F46" i="23"/>
  <c r="F48" i="23" s="1"/>
  <c r="H44" i="8"/>
  <c r="F149" i="9"/>
  <c r="C68" i="10"/>
  <c r="C74" i="10" s="1"/>
  <c r="C77" i="10" s="1"/>
  <c r="C79" i="10" s="1"/>
  <c r="C81" i="10" s="1"/>
  <c r="I21" i="15"/>
  <c r="I23" i="15" s="1"/>
  <c r="I25" i="15" s="1"/>
  <c r="H28" i="23"/>
  <c r="H27" i="23"/>
  <c r="I44" i="8"/>
  <c r="B118" i="9"/>
  <c r="B56" i="23"/>
  <c r="E124" i="10"/>
  <c r="E130" i="10" s="1"/>
  <c r="E133" i="10" s="1"/>
  <c r="E135" i="10" s="1"/>
  <c r="E137" i="10" s="1"/>
  <c r="B149" i="10"/>
  <c r="B156" i="10"/>
  <c r="G20" i="23"/>
  <c r="I28" i="23"/>
  <c r="I27" i="23"/>
  <c r="C44" i="7"/>
  <c r="E29" i="23"/>
  <c r="G156" i="7"/>
  <c r="D100" i="9"/>
  <c r="B124" i="9"/>
  <c r="B130" i="9" s="1"/>
  <c r="B133" i="9" s="1"/>
  <c r="B135" i="9" s="1"/>
  <c r="B137" i="9" s="1"/>
  <c r="H149" i="9"/>
  <c r="I25" i="11"/>
  <c r="D86" i="11"/>
  <c r="H20" i="23"/>
  <c r="B86" i="7"/>
  <c r="B106" i="7"/>
  <c r="F29" i="23"/>
  <c r="H156" i="7"/>
  <c r="I50" i="8"/>
  <c r="I86" i="8"/>
  <c r="B12" i="9"/>
  <c r="B18" i="9" s="1"/>
  <c r="B21" i="9" s="1"/>
  <c r="B23" i="9" s="1"/>
  <c r="B25" i="9" s="1"/>
  <c r="E100" i="9"/>
  <c r="D56" i="23"/>
  <c r="D149" i="10"/>
  <c r="D156" i="10"/>
  <c r="B162" i="11"/>
  <c r="B86" i="11"/>
  <c r="B50" i="11"/>
  <c r="B106" i="11"/>
  <c r="I149" i="11"/>
  <c r="G149" i="11"/>
  <c r="B100" i="12"/>
  <c r="B93" i="12"/>
  <c r="F55" i="23"/>
  <c r="C106" i="7"/>
  <c r="C142" i="7"/>
  <c r="G29" i="23"/>
  <c r="C86" i="9"/>
  <c r="B100" i="10"/>
  <c r="E56" i="23"/>
  <c r="H124" i="10"/>
  <c r="H130" i="10" s="1"/>
  <c r="H133" i="10" s="1"/>
  <c r="H135" i="10" s="1"/>
  <c r="H137" i="10" s="1"/>
  <c r="E149" i="10"/>
  <c r="B62" i="11"/>
  <c r="B118" i="11"/>
  <c r="C162" i="11"/>
  <c r="C50" i="11"/>
  <c r="C106" i="11"/>
  <c r="B93" i="13"/>
  <c r="B100" i="13"/>
  <c r="B28" i="18"/>
  <c r="F93" i="6"/>
  <c r="D86" i="7"/>
  <c r="D142" i="7"/>
  <c r="D162" i="7"/>
  <c r="H29" i="23"/>
  <c r="I142" i="9"/>
  <c r="I50" i="9"/>
  <c r="E68" i="9"/>
  <c r="E74" i="9" s="1"/>
  <c r="E77" i="9" s="1"/>
  <c r="E79" i="9" s="1"/>
  <c r="E81" i="9" s="1"/>
  <c r="G100" i="9"/>
  <c r="C142" i="9"/>
  <c r="B156" i="9"/>
  <c r="G12" i="10"/>
  <c r="G18" i="10" s="1"/>
  <c r="G21" i="10" s="1"/>
  <c r="G23" i="10" s="1"/>
  <c r="G25" i="10" s="1"/>
  <c r="F56" i="23"/>
  <c r="F62" i="11"/>
  <c r="F118" i="11"/>
  <c r="D162" i="11"/>
  <c r="D106" i="11"/>
  <c r="I37" i="11"/>
  <c r="D50" i="11"/>
  <c r="C86" i="13"/>
  <c r="C106" i="13"/>
  <c r="C100" i="13"/>
  <c r="I47" i="14"/>
  <c r="C28" i="18"/>
  <c r="D43" i="22"/>
  <c r="D18" i="22"/>
  <c r="D52" i="22"/>
  <c r="H48" i="22"/>
  <c r="G106" i="8"/>
  <c r="E59" i="23"/>
  <c r="H50" i="9"/>
  <c r="D50" i="10"/>
  <c r="F142" i="11"/>
  <c r="E68" i="12"/>
  <c r="E74" i="12" s="1"/>
  <c r="E77" i="12" s="1"/>
  <c r="E79" i="12" s="1"/>
  <c r="E81" i="12" s="1"/>
  <c r="E86" i="13"/>
  <c r="E106" i="13"/>
  <c r="H20" i="17"/>
  <c r="B14" i="22"/>
  <c r="F11" i="23"/>
  <c r="G57" i="23"/>
  <c r="B59" i="23"/>
  <c r="H106" i="8"/>
  <c r="F68" i="9"/>
  <c r="F74" i="9" s="1"/>
  <c r="F77" i="9" s="1"/>
  <c r="F79" i="9" s="1"/>
  <c r="F81" i="9" s="1"/>
  <c r="E50" i="10"/>
  <c r="D142" i="10"/>
  <c r="B124" i="11"/>
  <c r="B130" i="11" s="1"/>
  <c r="B133" i="11" s="1"/>
  <c r="B135" i="11" s="1"/>
  <c r="B137" i="11" s="1"/>
  <c r="I20" i="17"/>
  <c r="D17" i="21"/>
  <c r="C13" i="23"/>
  <c r="C41" i="23"/>
  <c r="C31" i="23"/>
  <c r="C22" i="23"/>
  <c r="G11" i="23"/>
  <c r="H55" i="23"/>
  <c r="H57" i="23"/>
  <c r="C59" i="23"/>
  <c r="C93" i="11"/>
  <c r="C124" i="11"/>
  <c r="C130" i="11" s="1"/>
  <c r="C133" i="11" s="1"/>
  <c r="C135" i="11" s="1"/>
  <c r="C137" i="11" s="1"/>
  <c r="H93" i="12"/>
  <c r="H100" i="12"/>
  <c r="B74" i="13"/>
  <c r="B77" i="13" s="1"/>
  <c r="B79" i="13" s="1"/>
  <c r="B81" i="13" s="1"/>
  <c r="D93" i="13"/>
  <c r="D13" i="23"/>
  <c r="D41" i="23"/>
  <c r="D31" i="23"/>
  <c r="D22" i="23"/>
  <c r="B10" i="23"/>
  <c r="B9" i="23"/>
  <c r="B11" i="23" s="1"/>
  <c r="C29" i="23"/>
  <c r="I48" i="23"/>
  <c r="I55" i="23"/>
  <c r="H59" i="23"/>
  <c r="C100" i="9"/>
  <c r="D93" i="11"/>
  <c r="D124" i="11"/>
  <c r="D130" i="11" s="1"/>
  <c r="D133" i="11" s="1"/>
  <c r="D135" i="11" s="1"/>
  <c r="D137" i="11" s="1"/>
  <c r="F156" i="11"/>
  <c r="D156" i="11"/>
  <c r="C156" i="12"/>
  <c r="C149" i="12"/>
  <c r="C68" i="13"/>
  <c r="C74" i="13" s="1"/>
  <c r="C77" i="13" s="1"/>
  <c r="C79" i="13" s="1"/>
  <c r="C81" i="13" s="1"/>
  <c r="F68" i="15"/>
  <c r="F74" i="15" s="1"/>
  <c r="F77" i="15" s="1"/>
  <c r="F79" i="15" s="1"/>
  <c r="F81" i="15" s="1"/>
  <c r="H93" i="15"/>
  <c r="G100" i="15"/>
  <c r="F17" i="21"/>
  <c r="F44" i="10"/>
  <c r="E93" i="11"/>
  <c r="E124" i="11"/>
  <c r="E130" i="11" s="1"/>
  <c r="E133" i="11" s="1"/>
  <c r="E135" i="11" s="1"/>
  <c r="E137" i="11" s="1"/>
  <c r="B37" i="12"/>
  <c r="B44" i="12"/>
  <c r="B124" i="12"/>
  <c r="B130" i="12" s="1"/>
  <c r="B133" i="12" s="1"/>
  <c r="B135" i="12" s="1"/>
  <c r="B137" i="12" s="1"/>
  <c r="D156" i="12"/>
  <c r="D149" i="12"/>
  <c r="C79" i="15"/>
  <c r="C81" i="15" s="1"/>
  <c r="F20" i="17"/>
  <c r="F37" i="17"/>
  <c r="F93" i="11"/>
  <c r="C37" i="12"/>
  <c r="C44" i="12"/>
  <c r="E156" i="12"/>
  <c r="E149" i="12"/>
  <c r="G20" i="17"/>
  <c r="G37" i="17"/>
  <c r="B48" i="22"/>
  <c r="G142" i="10"/>
  <c r="G162" i="10"/>
  <c r="G93" i="11"/>
  <c r="D37" i="12"/>
  <c r="F77" i="12"/>
  <c r="F79" i="12" s="1"/>
  <c r="F81" i="12" s="1"/>
  <c r="D124" i="12"/>
  <c r="D130" i="12" s="1"/>
  <c r="D133" i="12" s="1"/>
  <c r="D135" i="12" s="1"/>
  <c r="D137" i="12" s="1"/>
  <c r="F149" i="12"/>
  <c r="F156" i="12"/>
  <c r="D59" i="22"/>
  <c r="C156" i="11"/>
  <c r="E37" i="12"/>
  <c r="G149" i="12"/>
  <c r="G156" i="12"/>
  <c r="B21" i="13"/>
  <c r="B23" i="13" s="1"/>
  <c r="B25" i="13" s="1"/>
  <c r="B47" i="14"/>
  <c r="F13" i="18"/>
  <c r="D48" i="22"/>
  <c r="I59" i="23"/>
  <c r="I142" i="10"/>
  <c r="I162" i="10"/>
  <c r="C56" i="23"/>
  <c r="C149" i="10"/>
  <c r="C37" i="11"/>
  <c r="F37" i="12"/>
  <c r="H149" i="12"/>
  <c r="H156" i="12"/>
  <c r="C41" i="14"/>
  <c r="C47" i="14" s="1"/>
  <c r="I37" i="15"/>
  <c r="I44" i="15"/>
  <c r="G13" i="18"/>
  <c r="E48" i="22"/>
  <c r="F59" i="22"/>
  <c r="H50" i="11"/>
  <c r="I86" i="11"/>
  <c r="C100" i="12"/>
  <c r="C93" i="12"/>
  <c r="H124" i="12"/>
  <c r="H130" i="12" s="1"/>
  <c r="H133" i="12" s="1"/>
  <c r="H135" i="12" s="1"/>
  <c r="H137" i="12" s="1"/>
  <c r="C12" i="13"/>
  <c r="C18" i="13" s="1"/>
  <c r="C21" i="13" s="1"/>
  <c r="C23" i="13" s="1"/>
  <c r="C25" i="13" s="1"/>
  <c r="D12" i="14"/>
  <c r="D18" i="14" s="1"/>
  <c r="D21" i="14" s="1"/>
  <c r="D23" i="14" s="1"/>
  <c r="D25" i="14" s="1"/>
  <c r="G43" i="18"/>
  <c r="E10" i="21"/>
  <c r="C27" i="22"/>
  <c r="G59" i="22"/>
  <c r="I19" i="23"/>
  <c r="D14" i="24"/>
  <c r="I50" i="11"/>
  <c r="D93" i="12"/>
  <c r="D12" i="13"/>
  <c r="D18" i="13" s="1"/>
  <c r="D21" i="13" s="1"/>
  <c r="D23" i="13" s="1"/>
  <c r="D25" i="13" s="1"/>
  <c r="E12" i="14"/>
  <c r="E18" i="14" s="1"/>
  <c r="E21" i="14" s="1"/>
  <c r="E23" i="14" s="1"/>
  <c r="E25" i="14" s="1"/>
  <c r="E41" i="14"/>
  <c r="E47" i="14" s="1"/>
  <c r="G50" i="15"/>
  <c r="H43" i="18"/>
  <c r="D27" i="22"/>
  <c r="E14" i="24"/>
  <c r="B149" i="11"/>
  <c r="B12" i="12"/>
  <c r="B18" i="12" s="1"/>
  <c r="B21" i="12" s="1"/>
  <c r="B23" i="12" s="1"/>
  <c r="B25" i="12" s="1"/>
  <c r="E93" i="12"/>
  <c r="E12" i="13"/>
  <c r="E18" i="13" s="1"/>
  <c r="E21" i="13" s="1"/>
  <c r="E23" i="13" s="1"/>
  <c r="E25" i="13" s="1"/>
  <c r="B37" i="13"/>
  <c r="B44" i="13"/>
  <c r="F12" i="14"/>
  <c r="F18" i="14" s="1"/>
  <c r="F21" i="14" s="1"/>
  <c r="F23" i="14" s="1"/>
  <c r="F25" i="14" s="1"/>
  <c r="F41" i="14"/>
  <c r="H106" i="15"/>
  <c r="H50" i="15"/>
  <c r="I43" i="18"/>
  <c r="E27" i="22"/>
  <c r="B29" i="23"/>
  <c r="B28" i="23"/>
  <c r="G56" i="23"/>
  <c r="G58" i="23"/>
  <c r="F59" i="23"/>
  <c r="F14" i="24"/>
  <c r="B27" i="24"/>
  <c r="B40" i="24"/>
  <c r="C12" i="12"/>
  <c r="C18" i="12" s="1"/>
  <c r="C21" i="12" s="1"/>
  <c r="C23" i="12" s="1"/>
  <c r="C25" i="12" s="1"/>
  <c r="B68" i="12"/>
  <c r="B74" i="12" s="1"/>
  <c r="B77" i="12" s="1"/>
  <c r="B79" i="12" s="1"/>
  <c r="B81" i="12" s="1"/>
  <c r="F93" i="12"/>
  <c r="F12" i="13"/>
  <c r="F18" i="13" s="1"/>
  <c r="F21" i="13" s="1"/>
  <c r="F23" i="13" s="1"/>
  <c r="F25" i="13" s="1"/>
  <c r="C37" i="13"/>
  <c r="G12" i="14"/>
  <c r="G18" i="14" s="1"/>
  <c r="G21" i="14" s="1"/>
  <c r="G23" i="14" s="1"/>
  <c r="G25" i="14" s="1"/>
  <c r="G41" i="14"/>
  <c r="G106" i="15"/>
  <c r="F27" i="22"/>
  <c r="D10" i="23"/>
  <c r="E28" i="23"/>
  <c r="G14" i="24"/>
  <c r="C40" i="24"/>
  <c r="D149" i="11"/>
  <c r="D12" i="12"/>
  <c r="D18" i="12" s="1"/>
  <c r="D21" i="12" s="1"/>
  <c r="D23" i="12" s="1"/>
  <c r="D25" i="12" s="1"/>
  <c r="C68" i="12"/>
  <c r="C74" i="12" s="1"/>
  <c r="C77" i="12" s="1"/>
  <c r="C79" i="12" s="1"/>
  <c r="C81" i="12" s="1"/>
  <c r="G93" i="12"/>
  <c r="H58" i="23"/>
  <c r="B156" i="12"/>
  <c r="G12" i="13"/>
  <c r="G18" i="13" s="1"/>
  <c r="G21" i="13" s="1"/>
  <c r="G23" i="13" s="1"/>
  <c r="G25" i="13" s="1"/>
  <c r="D44" i="13"/>
  <c r="H12" i="14"/>
  <c r="H18" i="14" s="1"/>
  <c r="H21" i="14" s="1"/>
  <c r="H23" i="14" s="1"/>
  <c r="H25" i="14" s="1"/>
  <c r="H41" i="14"/>
  <c r="H47" i="14" s="1"/>
  <c r="B44" i="15"/>
  <c r="B10" i="21"/>
  <c r="G27" i="22"/>
  <c r="E10" i="23"/>
  <c r="H14" i="24"/>
  <c r="D40" i="24"/>
  <c r="H27" i="22"/>
  <c r="B55" i="23"/>
  <c r="B57" i="23"/>
  <c r="B46" i="23"/>
  <c r="B18" i="24"/>
  <c r="B31" i="24"/>
  <c r="B100" i="15"/>
  <c r="D10" i="21"/>
  <c r="C55" i="23"/>
  <c r="C57" i="23"/>
  <c r="C46" i="23"/>
  <c r="C48" i="23" s="1"/>
  <c r="B48" i="23"/>
  <c r="B13" i="18"/>
  <c r="E17" i="21"/>
  <c r="H11" i="23"/>
  <c r="D55" i="23"/>
  <c r="D57" i="23"/>
  <c r="D46" i="23"/>
  <c r="G68" i="15"/>
  <c r="G74" i="15" s="1"/>
  <c r="G77" i="15" s="1"/>
  <c r="G79" i="15" s="1"/>
  <c r="G81" i="15" s="1"/>
  <c r="C13" i="18"/>
  <c r="C43" i="22"/>
  <c r="C18" i="22"/>
  <c r="I48" i="22"/>
  <c r="C48" i="22"/>
  <c r="B13" i="23"/>
  <c r="B41" i="23"/>
  <c r="B31" i="23"/>
  <c r="I11" i="23"/>
  <c r="E55" i="23"/>
  <c r="E57" i="23"/>
  <c r="E46" i="23"/>
  <c r="E48" i="23" s="1"/>
  <c r="D48" i="23"/>
  <c r="C18" i="24"/>
  <c r="H40" i="24"/>
  <c r="H86" i="12"/>
  <c r="I106" i="12"/>
  <c r="I86" i="12"/>
  <c r="B118" i="12"/>
  <c r="F118" i="12"/>
  <c r="E31" i="23"/>
  <c r="B20" i="17"/>
  <c r="F31" i="23"/>
  <c r="F41" i="23"/>
  <c r="C20" i="17"/>
  <c r="G31" i="23"/>
  <c r="C44" i="13"/>
  <c r="D20" i="17"/>
  <c r="E20" i="17"/>
  <c r="I31" i="23"/>
  <c r="F119" i="7" l="1"/>
  <c r="G119" i="7"/>
  <c r="H63" i="7"/>
  <c r="H63" i="9"/>
  <c r="E119" i="7"/>
  <c r="G63" i="9"/>
  <c r="F119" i="12"/>
  <c r="F63" i="12"/>
  <c r="H63" i="6"/>
  <c r="H119" i="6"/>
  <c r="C63" i="12"/>
  <c r="C119" i="12"/>
  <c r="G119" i="10"/>
  <c r="G63" i="10"/>
  <c r="G47" i="14"/>
  <c r="I63" i="12"/>
  <c r="I119" i="12"/>
  <c r="G119" i="12"/>
  <c r="G63" i="12"/>
  <c r="D63" i="7"/>
  <c r="D119" i="7"/>
  <c r="G39" i="4"/>
  <c r="B119" i="11"/>
  <c r="B63" i="11"/>
  <c r="C63" i="9"/>
  <c r="C119" i="9"/>
  <c r="I63" i="10"/>
  <c r="I119" i="10"/>
  <c r="D63" i="10"/>
  <c r="D119" i="10"/>
  <c r="G38" i="4"/>
  <c r="D119" i="12"/>
  <c r="D63" i="12"/>
  <c r="F119" i="10"/>
  <c r="F63" i="10"/>
  <c r="F38" i="4"/>
  <c r="I119" i="6"/>
  <c r="I63" i="6"/>
  <c r="D63" i="6"/>
  <c r="D119" i="6"/>
  <c r="G63" i="6"/>
  <c r="G119" i="6"/>
  <c r="C119" i="10"/>
  <c r="C63" i="10"/>
  <c r="I38" i="4"/>
  <c r="D119" i="9"/>
  <c r="D63" i="9"/>
  <c r="G63" i="11"/>
  <c r="G119" i="11"/>
  <c r="F47" i="14"/>
  <c r="E119" i="10"/>
  <c r="E63" i="10"/>
  <c r="E119" i="12"/>
  <c r="E63" i="12"/>
  <c r="I63" i="9"/>
  <c r="I119" i="9"/>
  <c r="H38" i="4"/>
  <c r="F63" i="6"/>
  <c r="F119" i="6"/>
  <c r="E63" i="6"/>
  <c r="E119" i="6"/>
  <c r="B119" i="6"/>
  <c r="B63" i="6"/>
  <c r="C63" i="6"/>
  <c r="C119" i="6"/>
  <c r="C119" i="7"/>
  <c r="C63" i="7"/>
  <c r="H63" i="11"/>
  <c r="H119" i="11"/>
  <c r="B119" i="9"/>
  <c r="B63" i="9"/>
  <c r="E38" i="4"/>
  <c r="F39" i="4"/>
  <c r="C119" i="11"/>
  <c r="C63" i="11"/>
  <c r="H63" i="10"/>
  <c r="H119" i="10"/>
  <c r="F63" i="9"/>
  <c r="F119" i="9"/>
  <c r="E119" i="9"/>
  <c r="E63" i="9"/>
  <c r="B119" i="7"/>
  <c r="B63" i="7"/>
  <c r="E39" i="4"/>
  <c r="B119" i="10"/>
  <c r="B63" i="10"/>
  <c r="B63" i="12"/>
  <c r="B119" i="12"/>
  <c r="H39" i="4"/>
  <c r="F63" i="11"/>
  <c r="F119" i="11"/>
  <c r="E63" i="11"/>
  <c r="E119" i="11"/>
</calcChain>
</file>

<file path=xl/sharedStrings.xml><?xml version="1.0" encoding="utf-8"?>
<sst xmlns="http://schemas.openxmlformats.org/spreadsheetml/2006/main" count="670" uniqueCount="556">
  <si>
    <t>Orden</t>
  </si>
  <si>
    <t>Castellano</t>
  </si>
  <si>
    <t>Inglés</t>
  </si>
  <si>
    <t>IDIOMA/LANGUAGE</t>
  </si>
  <si>
    <t>Series trimestrales 2023-2024</t>
  </si>
  <si>
    <t>Quarterly series 2023-2024</t>
  </si>
  <si>
    <t>ESPAÑOL</t>
  </si>
  <si>
    <t>Grupo BBVA</t>
  </si>
  <si>
    <t>BBVA Group</t>
  </si>
  <si>
    <t>ENGLISH</t>
  </si>
  <si>
    <t>Cuentas de resultados consolidadas</t>
  </si>
  <si>
    <t>Consolidated income statement</t>
  </si>
  <si>
    <t>Balances de situación consolidados</t>
  </si>
  <si>
    <t>Consolidated balance sheet</t>
  </si>
  <si>
    <t>Áreas de negocio</t>
  </si>
  <si>
    <t>Business areas</t>
  </si>
  <si>
    <t>España</t>
  </si>
  <si>
    <t>Spain</t>
  </si>
  <si>
    <t>Actividad bancaria en España</t>
  </si>
  <si>
    <t>Banking activity in Spain</t>
  </si>
  <si>
    <t>Non Core Real Estate</t>
  </si>
  <si>
    <t>EEUU</t>
  </si>
  <si>
    <t>USA</t>
  </si>
  <si>
    <t>México</t>
  </si>
  <si>
    <t>Mexico</t>
  </si>
  <si>
    <t xml:space="preserve">Turquía </t>
  </si>
  <si>
    <t xml:space="preserve">Turkey </t>
  </si>
  <si>
    <t xml:space="preserve">América del Sur </t>
  </si>
  <si>
    <t>South America</t>
  </si>
  <si>
    <t>Argentina</t>
  </si>
  <si>
    <t>Chile</t>
  </si>
  <si>
    <t>Colombia</t>
  </si>
  <si>
    <t>Perú</t>
  </si>
  <si>
    <t>Peru</t>
  </si>
  <si>
    <t>Resto de Eurasia</t>
  </si>
  <si>
    <t>Rest of Eurasia</t>
  </si>
  <si>
    <t>Centro Corporativo</t>
  </si>
  <si>
    <t xml:space="preserve">Corporate Center </t>
  </si>
  <si>
    <t>Información adicional:</t>
  </si>
  <si>
    <t>Additional information:</t>
  </si>
  <si>
    <t>Corporate &amp; Investment Banking</t>
  </si>
  <si>
    <t>Anexo:</t>
  </si>
  <si>
    <t>Annex:</t>
  </si>
  <si>
    <t>Eficiencia</t>
  </si>
  <si>
    <t>Efficiency</t>
  </si>
  <si>
    <t>Tasas de mora, cobertura y coste de riesgo</t>
  </si>
  <si>
    <t>NPL, coverage ratios and cost of risk</t>
  </si>
  <si>
    <t>Empleados, oficinas y cajeros automáticos</t>
  </si>
  <si>
    <t>Branches, employees and atm´s</t>
  </si>
  <si>
    <t>Tipos de cambio</t>
  </si>
  <si>
    <t>Exchange rates</t>
  </si>
  <si>
    <t>Diferenciales de la clientela</t>
  </si>
  <si>
    <t>Customer Spreads</t>
  </si>
  <si>
    <t>Activos ponderados por riesgo. Desglose por áreas de negocio y principales países</t>
  </si>
  <si>
    <t>Risk-weighted assets. Breakdown by business areas and main countries</t>
  </si>
  <si>
    <t>Desglose del crédito no dudoso en gestión</t>
  </si>
  <si>
    <t>Breakdown of performing loans under management</t>
  </si>
  <si>
    <t>Desglose de los recursos de clientes en gestión</t>
  </si>
  <si>
    <t>Breakdown of customer funds under management</t>
  </si>
  <si>
    <t xml:space="preserve">Cuenta de resultados  </t>
  </si>
  <si>
    <t xml:space="preserve">Income statement  </t>
  </si>
  <si>
    <t>(Millones de euros)</t>
  </si>
  <si>
    <t>(Million euros)</t>
  </si>
  <si>
    <t>Margen de intereses</t>
  </si>
  <si>
    <t>Net interest income</t>
  </si>
  <si>
    <t>Comisiones netas</t>
  </si>
  <si>
    <t>Net fees and commissions</t>
  </si>
  <si>
    <t>Resultados de operaciones financieras</t>
  </si>
  <si>
    <t>Net trading income</t>
  </si>
  <si>
    <t>Otros ingresos y cargas de explotación</t>
  </si>
  <si>
    <t>Other operating income and expenses</t>
  </si>
  <si>
    <t>Margen bruto</t>
  </si>
  <si>
    <t>Gross income</t>
  </si>
  <si>
    <t>Gastos de explotación</t>
  </si>
  <si>
    <t>Operating expenses</t>
  </si>
  <si>
    <t xml:space="preserve">  Gastos de administración</t>
  </si>
  <si>
    <t xml:space="preserve">  Administration expenses</t>
  </si>
  <si>
    <t xml:space="preserve">  Gastos de personal</t>
  </si>
  <si>
    <t xml:space="preserve">  Personnel expenses</t>
  </si>
  <si>
    <t xml:space="preserve">  Otros gastos de administración</t>
  </si>
  <si>
    <t xml:space="preserve">  General and administrative expenses</t>
  </si>
  <si>
    <t xml:space="preserve">  Amortización</t>
  </si>
  <si>
    <t xml:space="preserve">  Depreciation</t>
  </si>
  <si>
    <t>Margen neto</t>
  </si>
  <si>
    <t>Operating income</t>
  </si>
  <si>
    <t>pe</t>
  </si>
  <si>
    <t>Deterioro de activos financieros no valorados a valor razonable con cambios en resultados</t>
  </si>
  <si>
    <t>Impaiment on financial assets not measured at fair value through profit or loss</t>
  </si>
  <si>
    <t>Provisiones o reversión de provisiones y otros resultados</t>
  </si>
  <si>
    <t>Provisions or reversal of provisions and other results</t>
  </si>
  <si>
    <t>Resultado antes de impuestos</t>
  </si>
  <si>
    <t>Profit/(loss) before tax</t>
  </si>
  <si>
    <t>Impuesto sobre beneficios</t>
  </si>
  <si>
    <t>Income tax</t>
  </si>
  <si>
    <t>Resultado del ejercicio</t>
  </si>
  <si>
    <t>Profit/(loss) for the year</t>
  </si>
  <si>
    <t>Minoritarios</t>
  </si>
  <si>
    <t>Non-controlling interests</t>
  </si>
  <si>
    <t>Resultado atribuido</t>
  </si>
  <si>
    <t>Net attributable profit</t>
  </si>
  <si>
    <t>Balances</t>
  </si>
  <si>
    <t>Balance sheets</t>
  </si>
  <si>
    <t>Efectivo, saldos en efectivo en bancos centrales y otros depósitos a la vista</t>
  </si>
  <si>
    <t>Cash, cash balances at central banks and other demand deposits</t>
  </si>
  <si>
    <t>Activos financieros a valor razonable</t>
  </si>
  <si>
    <t xml:space="preserve">Financial assets designated at fair value </t>
  </si>
  <si>
    <t>Activos financieros a coste amortizado</t>
  </si>
  <si>
    <t>Financial assets at amortized cost</t>
  </si>
  <si>
    <t xml:space="preserve">    de los que préstamos y anticipos a la clientela</t>
  </si>
  <si>
    <t xml:space="preserve">    of which loans and advances to customers</t>
  </si>
  <si>
    <t>Activos tangibles</t>
  </si>
  <si>
    <t>Tangible assets</t>
  </si>
  <si>
    <t>Otros activos</t>
  </si>
  <si>
    <t>Other assets</t>
  </si>
  <si>
    <t>Total activo / pasivo</t>
  </si>
  <si>
    <t>Total assets / Liabilities and equity</t>
  </si>
  <si>
    <t>Pasivos financieros mantenidos para negociar y designados a valor razonable con cambios en resultados</t>
  </si>
  <si>
    <t>Financial liabilities held for trading and designated at fair value through profit or loss</t>
  </si>
  <si>
    <t>Depósitos de bancos centrales y entidades de crédito</t>
  </si>
  <si>
    <t>Deposits from central banks and credit institutions</t>
  </si>
  <si>
    <t>Depósitos de la clientela</t>
  </si>
  <si>
    <t>Deposits from customers</t>
  </si>
  <si>
    <t>Valores representativos de deuda emitidos</t>
  </si>
  <si>
    <t>Debt certificates</t>
  </si>
  <si>
    <t>Otros pasivos</t>
  </si>
  <si>
    <t>Other liabilities</t>
  </si>
  <si>
    <t>Dotación de capital económico</t>
  </si>
  <si>
    <t>Economic capital allocated</t>
  </si>
  <si>
    <t>Indicadores relevantes y de gestión</t>
  </si>
  <si>
    <t>Relevant business indicators</t>
  </si>
  <si>
    <t>Préstamos y anticipos a la clientela bruto (*)</t>
  </si>
  <si>
    <t>Loans and advances to customers (gross) (*)</t>
  </si>
  <si>
    <t>Depósitos de clientes en gestión (**)</t>
  </si>
  <si>
    <t>Customer deposits under management (*)</t>
  </si>
  <si>
    <t>Fondos de inversión y carteras gestionadas</t>
  </si>
  <si>
    <t>Investment funds and managed portfolios</t>
  </si>
  <si>
    <t>Fondos de pensiones</t>
  </si>
  <si>
    <t>Pension funds</t>
  </si>
  <si>
    <t>Otros recursos fuera de balance</t>
  </si>
  <si>
    <t>Other off balance-sheet funds</t>
  </si>
  <si>
    <t>(*) No incluye las adquisiciones temporales de activos.</t>
  </si>
  <si>
    <t xml:space="preserve">(*) Excluding repos. </t>
  </si>
  <si>
    <t>(**) No incluye las cesiones temporales de activos.</t>
  </si>
  <si>
    <t>(Millones de euros constantes)</t>
  </si>
  <si>
    <t xml:space="preserve">(Constant million euros)    </t>
  </si>
  <si>
    <t>(Millones de pesos mexicanos)</t>
  </si>
  <si>
    <t>(Million Mexican pesos)</t>
  </si>
  <si>
    <t>(Millones de pesos colombianos)</t>
  </si>
  <si>
    <t>(Million Colombian pesos)</t>
  </si>
  <si>
    <t>(Millones de dolares)</t>
  </si>
  <si>
    <t>(Million dolars)</t>
  </si>
  <si>
    <t>(Millones de liras turcas)</t>
  </si>
  <si>
    <t>(Million Turkish liras)</t>
  </si>
  <si>
    <t>(Millones de pesos argentinos)</t>
  </si>
  <si>
    <t>(Million Argentinian pesos)</t>
  </si>
  <si>
    <t>(Millones de soles peruanos)</t>
  </si>
  <si>
    <t>(Million Peruvian soles)</t>
  </si>
  <si>
    <t>Venezuela</t>
  </si>
  <si>
    <t>(Millones de pesos chilenos)</t>
  </si>
  <si>
    <t>(Million Chilean pesos)</t>
  </si>
  <si>
    <t>Eficiencia (*)</t>
  </si>
  <si>
    <t>Efficiency (*)</t>
  </si>
  <si>
    <t>(*) Gastos de explotación / Margen bruto. Incluye amortizaciones</t>
  </si>
  <si>
    <t>(*) Operating expenses / Gross income. Including depreciation</t>
  </si>
  <si>
    <t>(Porcentaje)</t>
  </si>
  <si>
    <t>(Percentage)</t>
  </si>
  <si>
    <t>Tasa de mora</t>
  </si>
  <si>
    <t>NPL ratio</t>
  </si>
  <si>
    <t>Tasa de cobertura</t>
  </si>
  <si>
    <t>NPL coverage ratio</t>
  </si>
  <si>
    <t>Coste del riesgo acumulado</t>
  </si>
  <si>
    <t>Cost of risk YTD</t>
  </si>
  <si>
    <t>Resto de América del Sur</t>
  </si>
  <si>
    <t>Resto of South América</t>
  </si>
  <si>
    <t>CRD IV fully-loaded</t>
  </si>
  <si>
    <t>Grupo BBVA. Cuentas de resultados consolidadas</t>
  </si>
  <si>
    <t xml:space="preserve">BBVA Group. Consolidated Income statement </t>
  </si>
  <si>
    <t>1er Trim.</t>
  </si>
  <si>
    <t>1Q</t>
  </si>
  <si>
    <t>2º Trim.</t>
  </si>
  <si>
    <t>2Q</t>
  </si>
  <si>
    <t>3er Trim.</t>
  </si>
  <si>
    <t>3Q</t>
  </si>
  <si>
    <t>4º Trim.</t>
  </si>
  <si>
    <t>4Q</t>
  </si>
  <si>
    <t>Ingresos por dividendos</t>
  </si>
  <si>
    <t>Dividend income</t>
  </si>
  <si>
    <t>Part. gananc/pdas inversiones en dependientes, neg conjunt y asoc</t>
  </si>
  <si>
    <t>Share of  profit/loss of invest. in subsidaries, joint ventures and associates</t>
  </si>
  <si>
    <t>Otros productos/cargas de explotación</t>
  </si>
  <si>
    <t>Other products and expenses</t>
  </si>
  <si>
    <t>Resultado después de impuestos de operaciones continuadas</t>
  </si>
  <si>
    <t>Result after continuing operation tax</t>
  </si>
  <si>
    <t>Resultado de operaciones corporativas</t>
  </si>
  <si>
    <t>Result from corporate operations</t>
  </si>
  <si>
    <t>Resultado atribuido sin operaciones corporativas</t>
  </si>
  <si>
    <t xml:space="preserve">Attributable profit without corporate transactions </t>
  </si>
  <si>
    <t>Nota general: los datos de los trimestres estancos del 2018 se presentan como datos proforma que tienen la consideración de Medidas Alternativas de Rendimiento (MAR), recogiéndose íntegramente el efecto acumulado para reflejar el impacto derivado de la contabilización de la hiperinflación en Argentina entre el 1-1-2018 y el 30-9-2018 en el tercer trimestre del 2018, sin haberse reexpresado los datos mostrados en la tabla anterior del primer y segundo trimestre del 2018.</t>
  </si>
  <si>
    <t>General note: the data for the quarters of 2018 are presented as proforma data which are considered as Alternative Performance Measures (APM), the accumulated effect being fully collected to reflect the impact derived from the accounting for hyperinflation in Argentina between 1-1-2018 and the 30-9-2018 in the third quarter of 2018, without having been reexpressed the data shown in the previous table of the first and second quarter of 2018.</t>
  </si>
  <si>
    <t>(*) Incluye plusvalías netas de la venta de BBVA Chile.</t>
  </si>
  <si>
    <t>(*) Includes net capital gains  from the sale of BBVA Chile.</t>
  </si>
  <si>
    <t>Grupo BBVA. Balances de situación consolidados</t>
  </si>
  <si>
    <t>BBVA Group. Consolidated balance sheet</t>
  </si>
  <si>
    <t>Hipotecario</t>
  </si>
  <si>
    <t>Mortages</t>
  </si>
  <si>
    <t>Consumo</t>
  </si>
  <si>
    <t>Consumer</t>
  </si>
  <si>
    <t>Tarjetas de Crédito</t>
  </si>
  <si>
    <t>Credit Cards</t>
  </si>
  <si>
    <t>Sector público</t>
  </si>
  <si>
    <t>Public Sector</t>
  </si>
  <si>
    <t>Sociedades financieras y sociedades no financieras</t>
  </si>
  <si>
    <t>Financial and Non Financial Companies</t>
  </si>
  <si>
    <t>Pymes</t>
  </si>
  <si>
    <t>SMEs</t>
  </si>
  <si>
    <t>Otros</t>
  </si>
  <si>
    <t>Others</t>
  </si>
  <si>
    <t>Crédito no dudoso en gestión (*)</t>
  </si>
  <si>
    <t>Performing Loans under management (*)</t>
  </si>
  <si>
    <t>Depósitos a la vista + Disponibles con preaviso</t>
  </si>
  <si>
    <t>Demand deposits</t>
  </si>
  <si>
    <t>Depósitos a plazo</t>
  </si>
  <si>
    <t>Time deposits</t>
  </si>
  <si>
    <t>Recursos fuera de balance (*)</t>
  </si>
  <si>
    <t>Off balance sheet funds (*)</t>
  </si>
  <si>
    <t>Vista+Plazo</t>
  </si>
  <si>
    <t>Demand + Time deposits</t>
  </si>
  <si>
    <t>(*) Incluye fondos de inversión, fondos de pensiones y otros recursos fuera de balance.</t>
  </si>
  <si>
    <t>Posiciones inter-áreas activo</t>
  </si>
  <si>
    <t>Inter-area positions</t>
  </si>
  <si>
    <t>Posiciones inter-áreas pasivo</t>
  </si>
  <si>
    <t>Oficinas</t>
  </si>
  <si>
    <t>Branches</t>
  </si>
  <si>
    <t>Empleados</t>
  </si>
  <si>
    <t>Employees</t>
  </si>
  <si>
    <t>Cajeros automáticos</t>
  </si>
  <si>
    <t>ATM´s</t>
  </si>
  <si>
    <t>Uruguay</t>
  </si>
  <si>
    <t>Paraguay</t>
  </si>
  <si>
    <t>Bolivia</t>
  </si>
  <si>
    <t>Cuba</t>
  </si>
  <si>
    <t>Brasil</t>
  </si>
  <si>
    <t>Activos financieros mantenidos para negociar</t>
  </si>
  <si>
    <t>Financial assets held for trading</t>
  </si>
  <si>
    <t>Activos financieros no destinados a negociación valorados obligatoriamente a valor razonable con cambios en resultados</t>
  </si>
  <si>
    <t>Non-trading financial assets mandatorily at fair value through profit or loss</t>
  </si>
  <si>
    <t>Activos financieros designados a valor razonable con cambios en resultados</t>
  </si>
  <si>
    <t>Financial assets designated at fair value through profit or loss</t>
  </si>
  <si>
    <t>Activos financieros designados a valor razonable con cambios en otro resultado global acumulado</t>
  </si>
  <si>
    <t>Financial assets at fair value through accumulated other comprehensive income</t>
  </si>
  <si>
    <t>. Préstamos y anticipos en bancos centrales  y entidades de crédito</t>
  </si>
  <si>
    <t xml:space="preserve">. Loans and advances to central banks and credit institutions </t>
  </si>
  <si>
    <t>. Préstamos y anticipos a la clientela</t>
  </si>
  <si>
    <t>. Loans and advances to customers</t>
  </si>
  <si>
    <t>. Valores representativos de deuda</t>
  </si>
  <si>
    <t>. Debt securities</t>
  </si>
  <si>
    <t>Inversiones mantenidas hasta el vencimiento</t>
  </si>
  <si>
    <t>Held-to-maturity investments</t>
  </si>
  <si>
    <t>Inversiones en negocios conjuntos y asociadas</t>
  </si>
  <si>
    <t>Investments in subsidiaries, joint ventures and associates</t>
  </si>
  <si>
    <t>Activos Intangibles</t>
  </si>
  <si>
    <t>Intangible assets</t>
  </si>
  <si>
    <t>Pasivos financieros designados a valor razonable con cambios en resultados</t>
  </si>
  <si>
    <t>Other financial liabilities designated at fair value through profit or loss</t>
  </si>
  <si>
    <t>Pasivos financieros a coste amortizado</t>
  </si>
  <si>
    <t>Financial liabilities at amortized cost</t>
  </si>
  <si>
    <t>. Otros pasivos financieros</t>
  </si>
  <si>
    <t>. Other financial liabilities</t>
  </si>
  <si>
    <t>Pasivos amparados por contratos de seguros o reaseguro</t>
  </si>
  <si>
    <t>Liabilities under insurance and reinsurance contracts</t>
  </si>
  <si>
    <t>Total pasivo</t>
  </si>
  <si>
    <t>Total liabilities</t>
  </si>
  <si>
    <t>Intereses minoritarios</t>
  </si>
  <si>
    <t>Otro resultado global acumulado</t>
  </si>
  <si>
    <t>Accumulated other comprehensive income</t>
  </si>
  <si>
    <t>Fondos propios</t>
  </si>
  <si>
    <t>Shareholders' funds</t>
  </si>
  <si>
    <t>Patrimonio neto</t>
  </si>
  <si>
    <t>Total equity</t>
  </si>
  <si>
    <t>Total patrimonio neto y pasivo</t>
  </si>
  <si>
    <t>Total equity and liabilities</t>
  </si>
  <si>
    <t>Peso mexicano</t>
  </si>
  <si>
    <t>Mexican peso</t>
  </si>
  <si>
    <t>Dólar estadounidense</t>
  </si>
  <si>
    <t>U.S. dollar</t>
  </si>
  <si>
    <t>Peso argentino</t>
  </si>
  <si>
    <t>Argentine peso</t>
  </si>
  <si>
    <t>Peso chileno</t>
  </si>
  <si>
    <t>Chilean peso</t>
  </si>
  <si>
    <t>Peso colombiano</t>
  </si>
  <si>
    <t>Colombian peso</t>
  </si>
  <si>
    <t>Sol peruano</t>
  </si>
  <si>
    <t>Peruvian sol</t>
  </si>
  <si>
    <t>Lira turca</t>
  </si>
  <si>
    <t>Turkish lira</t>
  </si>
  <si>
    <t>(*) Utilizados en el cálculo de euros constantes de los datos de balance y actividad</t>
  </si>
  <si>
    <t>(*) Used in the constant euros comparisons for the balance sheet and business activity</t>
  </si>
  <si>
    <t>(**) Utilizados en el cálculo de euros constantes de los datos de resultados</t>
  </si>
  <si>
    <t>(**) Used in the constant euros comparisons for the profit and loss</t>
  </si>
  <si>
    <t>(Expresados en divisa/euro)</t>
  </si>
  <si>
    <t>(Expressed in currency/euro)</t>
  </si>
  <si>
    <t>Cambios finales (*)</t>
  </si>
  <si>
    <t>Year-end exchange rates (*)</t>
  </si>
  <si>
    <t>Cambios medios (**)</t>
  </si>
  <si>
    <t>Average exchange rates (**)</t>
  </si>
  <si>
    <t>∆% sobre</t>
  </si>
  <si>
    <t>∆% on</t>
  </si>
  <si>
    <t>Diferenciales de la clientela (*)</t>
  </si>
  <si>
    <t>Customer Spreads (*)</t>
  </si>
  <si>
    <t>Rentabilidad de los prestamos</t>
  </si>
  <si>
    <t>Lending Yield</t>
  </si>
  <si>
    <t>Coste de los depositos</t>
  </si>
  <si>
    <t>Cost of deposits</t>
  </si>
  <si>
    <t>Estados Unidos (**)</t>
  </si>
  <si>
    <t>The United States (**)</t>
  </si>
  <si>
    <t>México pesos mexicanos</t>
  </si>
  <si>
    <t>Mexico MXN</t>
  </si>
  <si>
    <t>México moneda extranjera</t>
  </si>
  <si>
    <t>Mexico  FC (Foreing currency)</t>
  </si>
  <si>
    <t>Turquía liras turcas</t>
  </si>
  <si>
    <t>Turkey TRY</t>
  </si>
  <si>
    <t>Turquía moneda extranjera</t>
  </si>
  <si>
    <t>Turkey FC (Foreing currency)</t>
  </si>
  <si>
    <t>(*) Diferencia entre el rendimiento de los préstamos y el coste de los depósitos de los clientes.</t>
  </si>
  <si>
    <t>(*) Difference between lending yield on loans and cost of deposits from customers.</t>
  </si>
  <si>
    <t>(**)  Excluye la actividad en Nueva York.</t>
  </si>
  <si>
    <t>(**) Excluding New York Business Activity.</t>
  </si>
  <si>
    <t>Nota: Los diferenciales de la clientela han sido actualizados.</t>
  </si>
  <si>
    <t>Note: Customer spreads have been restated.</t>
  </si>
  <si>
    <t>Capital y Reservas</t>
  </si>
  <si>
    <t xml:space="preserve">Hogares - Prestamos Hipotecarios </t>
  </si>
  <si>
    <t>Hogares - Consumo</t>
  </si>
  <si>
    <t>Hogares - Tarjetas  de crédito</t>
  </si>
  <si>
    <t>Resto de Empresas</t>
  </si>
  <si>
    <t>Sector Público</t>
  </si>
  <si>
    <t>Tarjeta de Crédito</t>
  </si>
  <si>
    <t>Resto Minorista</t>
  </si>
  <si>
    <t>Total Cartera Vigente</t>
  </si>
  <si>
    <t>Resto Comercial</t>
  </si>
  <si>
    <t>Other Commercial</t>
  </si>
  <si>
    <t>Mexico (***)</t>
  </si>
  <si>
    <t xml:space="preserve">Criterio Local Contable(***) </t>
  </si>
  <si>
    <t xml:space="preserve">According to Local GAAP(***) </t>
  </si>
  <si>
    <t>Incluye fondos de inversión, carteras gestionadas , fondos de pensiones y otros recursos fuera de balance.(*)</t>
  </si>
  <si>
    <t xml:space="preserve">Includes investment funds, managed portfolios, pension funds and other off-balance sheet funds. (*) </t>
  </si>
  <si>
    <t>No incluye las cesiones temporales de activos.  (**)</t>
  </si>
  <si>
    <t>Excluding repos  (**)</t>
  </si>
  <si>
    <t xml:space="preserve"> Recursos de clientes en gestión (**)</t>
  </si>
  <si>
    <t>Customer funds under management (**)</t>
  </si>
  <si>
    <t>Consumo  y tarjetas de Credito</t>
  </si>
  <si>
    <t>Consumer &amp; Credit Cards</t>
  </si>
  <si>
    <t>Negocios retail</t>
  </si>
  <si>
    <t>Very small business</t>
  </si>
  <si>
    <t>Empresas medianas</t>
  </si>
  <si>
    <t>Mid-size companies</t>
  </si>
  <si>
    <t>Corporativa + CIB</t>
  </si>
  <si>
    <t>Corporates + CIB</t>
  </si>
  <si>
    <t>Other</t>
  </si>
  <si>
    <t>Other Retail</t>
  </si>
  <si>
    <t>Resto Empresas</t>
  </si>
  <si>
    <t xml:space="preserve">Nota general: la aplicación de la contabilidad por hiperinflación en Argentina se realizó por primera vez en septiembre del 2018 con efectos contables 1 de enero del 2018, recogiéndose el impacto de los nueve meses en el tercer trimestre. Con el fin de que la información del 2019 sea comparable con la del 2018, se ha procedido a reexpresar el balance de situación de los tres primeros trimestres del 2018 para recoger los impactos de la inflación sobre los activos y pasivos del mismo. </t>
  </si>
  <si>
    <t>General note: the application of accounting for hyperinflation in Argentina was performed for the first time in September 2018 with accounting effects on January 1, 2018, recording the impact of the nine months in the third quarter. In order to make the 2019 information comparable to the 2018, the balance sheet of the first three quarters of 2018 has been reexpressed to reflect the impacts of inflation on its assets and liabilities.</t>
  </si>
  <si>
    <t>Nota general: la aplicación de la contabilidad por hiperinflación en Argentina se realizó por primera vez en septiembre del 2018 con efectos contables 1 de enero del 2018, recogiéndose el impacto de los 9 meses en el tercer trimestre. Con el fin de que la información del 2019 sea comparable con la del 2018, se ha procedido a reexpresar las cuentas de resultados de los tres primeros trimestres del 2018 para recoger los impactos de la inflación sobre los ingresos y gastos de las mismas.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</si>
  <si>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performed for the first time in September 2018 with accounting effects on January 1, 2018, recording the impact of the 9 months in the third quarter. In order to make the 2019 information comparable to the 2018, the income statements for the first three quarters of 2018 have been reexpressed to reflect the impacts of inflation on their income and expenses.</t>
  </si>
  <si>
    <t>(1) Incluye plusvalías netas de la venta de BBVA Chile.</t>
  </si>
  <si>
    <t>(1) Includes net capital gains  from the sale of BBVA Chile.</t>
  </si>
  <si>
    <t>(2) Ajustado por remuneración de instrumentos de capital de nivel 1 adicional.</t>
  </si>
  <si>
    <t>(2) Adjusted by additional Tier 1 instrument remuneration.</t>
  </si>
  <si>
    <t>CRD IV fully loaded</t>
  </si>
  <si>
    <t>Grupo BBVA. Cuentas de resultados proforma (*)</t>
  </si>
  <si>
    <t>BBVA group. Consolidated income statements proforma (*)</t>
  </si>
  <si>
    <t>(*) No se incluye los resultados de los dos primeros trimestres del 2018 de BBVA Chile ni las plusvalías por su venta del tercer trimestre del 2018.</t>
  </si>
  <si>
    <t>(*) Not including BBVA Chile`s profit for the 2 first quarters of 2018 and net capital gains in 3Q 2018 of its sale .</t>
  </si>
  <si>
    <t>Cuenta de resultados sin Chile</t>
  </si>
  <si>
    <t>Income statement w/o Chile</t>
  </si>
  <si>
    <t>Cuentas de resultados consolidadas proforma</t>
  </si>
  <si>
    <t>Consolidated income statement proforma</t>
  </si>
  <si>
    <t>(*) Se incluyen los resultados de los dos primeros trimestres del 2018 de BBVA Chile y las plusvalías por su venta del tercer trimestre del 2018.</t>
  </si>
  <si>
    <t>(*) Including BBVA Chile`s profit for the 2 first quarters of 2018 and net capital gains in 3Q 2018 of its sale .</t>
  </si>
  <si>
    <t>(*) Hay pequeñas diferencias en el 1T 2019 de APRs entre las Areas de Negocio por reclasificaciones hechas posteriores al cierre no habiendo variacíon ninguna en el total de los APRs.</t>
  </si>
  <si>
    <t>(*) There are slight differences in the RWAs of the Business Units in the 1st Q  2019 due to reclasifications. The total amount of BBVA RWAs did not change.</t>
  </si>
  <si>
    <t>Balance Euro</t>
  </si>
  <si>
    <t>Euro Balance</t>
  </si>
  <si>
    <t>Italia</t>
  </si>
  <si>
    <t>Italy</t>
  </si>
  <si>
    <t>Resto</t>
  </si>
  <si>
    <t>Rest</t>
  </si>
  <si>
    <t>Turquia</t>
  </si>
  <si>
    <t>Turkey</t>
  </si>
  <si>
    <t>Amércia del Sur</t>
  </si>
  <si>
    <t>Total Cartera COAP</t>
  </si>
  <si>
    <t>Total ALCO Portfolio</t>
  </si>
  <si>
    <t>Cartera COAP a Coste Amortizado</t>
  </si>
  <si>
    <t>ALCO Portfolio Hold to Collect</t>
  </si>
  <si>
    <t>Cartera COAP a Valor Razonable</t>
  </si>
  <si>
    <t>ALCO Portfolio Hold to Collect and Sell</t>
  </si>
  <si>
    <t>Carteras Coap</t>
  </si>
  <si>
    <t>ALCO Portfolio</t>
  </si>
  <si>
    <t>(*) Serie de datos revisada 18-19 debido a cambio de criterio en la contabilización de cajeros.</t>
  </si>
  <si>
    <t>(*) Reviewed data serie 18-19 due to a change in the amount criteria of ATMs</t>
  </si>
  <si>
    <t>(**) Reajuste del dato del 1T en 2T</t>
  </si>
  <si>
    <t>(**) Readjustment of 1Q19 in 2Q19</t>
  </si>
  <si>
    <t>EEUU (*)</t>
  </si>
  <si>
    <t>USA (*)</t>
  </si>
  <si>
    <t>Mexico (**)</t>
  </si>
  <si>
    <t>Provisiones o reversión de provisiones</t>
  </si>
  <si>
    <t>Provisions or reversal of provisions</t>
  </si>
  <si>
    <t>Otros resultados</t>
  </si>
  <si>
    <t>Other results</t>
  </si>
  <si>
    <t>Resultado atribuido sin el deterioro del fondo de comercio de Estados Unidos y sin BBVA Chile (*)</t>
  </si>
  <si>
    <t>Net attributable profit excluding the goodwill impairment in the United States and BBVA Chile (*)</t>
  </si>
  <si>
    <t>Resultado Atribuido (*)</t>
  </si>
  <si>
    <t>Net attributable profit (*)</t>
  </si>
  <si>
    <t>(*) Resultados generados por BBVA Chile hasta su venta el 6 de julio del 2018 y las plusvalías de la operación</t>
  </si>
  <si>
    <t>(*) BBVA Chile recurrent profit until the sale as of 6 July, 2018 and the capital gains of the operation</t>
  </si>
  <si>
    <t>(*)No incluye Resultados generados por BBVA Chile hasta su venta el 6 de julio del 2018 ni las plusvalías de la operación, tampoco el deterioro del fondo de comercio de Estados Unidos.</t>
  </si>
  <si>
    <t>(*) Not including BBVA Chile recurrent profit until the sale as of 6 July 2018 and and the capital gains of the operation neither the goodwill impairment in the United States</t>
  </si>
  <si>
    <t>Nota general: la aplicación de la contabilidad por hiperinflación en Argentina se realizó por primera vez en septiembre del 2018 con efectos contables 1 de enero del 2018, recogiéndose el impacto de los 9 meses en el tercer trimestre.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</si>
  <si>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t>
  </si>
  <si>
    <t>Resultado atribuido sin BBVA Chile (*)</t>
  </si>
  <si>
    <t>Net Atributable Profit ex BBVA Chile (*)</t>
  </si>
  <si>
    <t>(*) Plusvalías por la venta de BBVA Chile del tercer trimestre de 2018.</t>
  </si>
  <si>
    <t>(*) Net capital gains of BBVA Chile sale on the 3rd Q of 2018.</t>
  </si>
  <si>
    <r>
      <rPr>
        <sz val="8"/>
        <color theme="1"/>
        <rFont val="Calibri"/>
        <family val="2"/>
        <scheme val="minor"/>
      </rPr>
      <t>(1)</t>
    </r>
    <r>
      <rPr>
        <sz val="11"/>
        <color theme="1"/>
        <rFont val="Calibri"/>
        <family val="2"/>
        <scheme val="minor"/>
      </rPr>
      <t xml:space="preserve"> En aplicación de la NIC 29 "Información en economías hiperinflacionarias", la conversión de la cuenta de resultados de Argentina Y Turquía se hace empleando el tipo de cambio final.</t>
    </r>
  </si>
  <si>
    <r>
      <rPr>
        <sz val="8"/>
        <color theme="1"/>
        <rFont val="Calibri"/>
        <family val="2"/>
        <scheme val="minor"/>
      </rPr>
      <t>(1)</t>
    </r>
    <r>
      <rPr>
        <sz val="11"/>
        <color theme="1"/>
        <rFont val="Calibri"/>
        <family val="2"/>
        <scheme val="minor"/>
      </rPr>
      <t xml:space="preserve"> According to IAS 29 "Financial information in hyperinflationary economies", the year-end exchange rate is used for the conversion of the Argentina and Turkey income statement. </t>
    </r>
  </si>
  <si>
    <t xml:space="preserve">Nota general: como consecuencia de una interpretación emitida por el IFRIC (International Financial Reporting Standards Interpretations Committee) relativa al cobro de intereses de fallidos en el marco de la NIIF 9, dichos cobros se presentan como menor saneamiento crediticio y no como un mayor ingreso por intereses, método de reconocimiento aplicado hasta diciembre de 2019. Por ello, y con el fin de que la información sea comparable, se ha procedido a reexpresar la información de la cuenta de resultados del primer semestre de 2019. </t>
  </si>
  <si>
    <t>General note: as a result of the interpretation issued by the International Financial Reporting Standards Interpretations Committee (IFRIC) regarding the collecting of interests of written-off financial assets for the purpose of IFRS 9, those collections are presented as reduction of the credit allowances and not as a higher interest income, recognition method applied until December 2019. Therefore, and in order to make the information comparable, the first six months information of the 2019 income statements has been restated.</t>
  </si>
  <si>
    <t>Resultado atribuido sin el deterioro del fondo de comercio de Estados Unidos (*)</t>
  </si>
  <si>
    <t>Net attributable profit excluding the goodwill impairment in the United States (*)</t>
  </si>
  <si>
    <t>Operaciones Corporativas (1)</t>
  </si>
  <si>
    <t>Corporate Operations (1)</t>
  </si>
  <si>
    <t>Resultado después de impuestos</t>
  </si>
  <si>
    <t>Result after Tax</t>
  </si>
  <si>
    <t>(1) Incluye el resultado neto de impuestos por la venta a Allianz de la mitad más una acción de la sociedad constituida para impulsar de forma conjunta el negocio de seguros de no vida en España, excluyendo el ramo de salud.</t>
  </si>
  <si>
    <t>(1) Include the net capital gain from the sale to Allianz the half plus one share of the company created to jointly develop the non-life insurance business in Spain, excluding the health insurance line.</t>
  </si>
  <si>
    <t>Resultado atribuido sin el deterioro del fondo de comercio de Estados Unidos y sin operaciones corporativas</t>
  </si>
  <si>
    <t>Net attributable profit/(loss) excluding the goodwill impairment in the United States and corporate operations</t>
  </si>
  <si>
    <t>Resto de Negocios</t>
  </si>
  <si>
    <t>Rest of Business</t>
  </si>
  <si>
    <t>Nuevo Holding</t>
  </si>
  <si>
    <t>New Holding</t>
  </si>
  <si>
    <t>Nota general: cifras sin considerar la clasificación de BBVA Paraguay como Activos y Pasivos No corrientes en Venta a 31-12-2020 y 31-12-2019 y a 31-12-2020 BBVA USA y el resto de sociedades del Grupo en Estados Unidos incluidas en el acuerdo de venta suscrito con PNC.</t>
  </si>
  <si>
    <t>General note: figures without considering the classification of BBVA Paraguay as Non-current Assets and Liabilities Held for Sale as of 31-12-2020 and 31-12-2019 and BBVA USA and the rest of Group's companies in the United States included in the sale agreement signed with PNC as Non-current Assets and Liabilities Held For Sale as of 31-12-2020.</t>
  </si>
  <si>
    <t>Centro Corporativo (para resto de negocios)</t>
  </si>
  <si>
    <t>Corporate Center (for rest of business)</t>
  </si>
  <si>
    <t>Sociedades de la filial de Estados Unidos excluidas del acuerdo de venta</t>
  </si>
  <si>
    <t>Companies excluded from the sale agreement of the BBVA subsidiary in the United States</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</si>
  <si>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A efectos informativos, ofrecemos a continuación una agregación del negocio de CIB en EE.UU. que no está incluido en el acuerdo con PNC y la información que se presenta actualmente como Resto de Eurasia.,</t>
  </si>
  <si>
    <t>Starting in 1Q21, for management reporting purposes, the US Business sold to PNC will be shown as one Balance Sheet and one P&amp;L heading, in line with the accounting reclassification to Non Current Asset Available for sale which took place in 4Q20. For informational purposes, we are providing below an aggregation of the CIB business in the US that is not included in the agreement with PNC and the information currently reported as Rest of Eurasia.</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</si>
  <si>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En consecuencia, se presenta a continuación a efectos informativos una agregación del Centro Corporativo y de todos los demás negocios de EE.UU. que no están incluidos en el acuerdo con PNC y que no han sido agregados al Resto de Eurasia en la página anterior.</t>
  </si>
  <si>
    <t>Starting in 1Q21, for management reporting purposes, the US Business sold to PNC will be shown as one Balance Sheet and one P&amp;L heading, in line with the accounting reclassification to Non Current Asset Available for sale which took place in 4Q20. As a result, for informational purposes, you can find below an aggregation of the Corporate Center and all the other US businesses that are not included in the agreement with PNC and have not been added to the Rest of Eurasia in the previous page. </t>
  </si>
  <si>
    <t>A efectos informativos, facilitamos a continuación 8 trimestres de información histórica del perímetro actualmente reportado como EE.UU. que permanecerá en BBVA una vez cerrado el acuerdo anunciado con PNC. </t>
  </si>
  <si>
    <t>For informational purposes, we are providing below 8 quarters of historical information of the perimeter currently reported as USA that will remain with BBVA once the announced agreement with PNC has been closed.   </t>
  </si>
  <si>
    <t>EEUU vendido</t>
  </si>
  <si>
    <t>USA sold</t>
  </si>
  <si>
    <t>Centro Corporativo (1)</t>
  </si>
  <si>
    <t>Corporate Center (1)</t>
  </si>
  <si>
    <t>(1) Incluye los APRs del negocio de EEUU vendido</t>
  </si>
  <si>
    <t>(1) Includes RWAs from the USA business sold.</t>
  </si>
  <si>
    <r>
      <t>(1) Incluye </t>
    </r>
    <r>
      <rPr>
        <sz val="12"/>
        <color theme="4" tint="-0.499984740745262"/>
        <rFont val="Arial"/>
        <family val="2"/>
      </rPr>
      <t>EEUU como operación discontinuada, el deterioro del fondo de comercio de Estados Unidos, y el resultado neto de impuestos por la venta a Allianz de la mitad más una acción de la sociedad constituida para impulsar de forma conjunta el negocio de seguros de no vida en España, excluyendo el ramo de salud</t>
    </r>
  </si>
  <si>
    <t>(1) Includes USA as discontinued operation, the goodwill impaiment in USA and the net capital gain from the sale to Allianz of the half plus one share of the company created to jointly develop the non-life insurance business in Spain, excluding the health insurance line.</t>
  </si>
  <si>
    <t>Grupo BBVA  (*)</t>
  </si>
  <si>
    <t>BBVA Group  (*)</t>
  </si>
  <si>
    <t>Grupo BBVA  (**)</t>
  </si>
  <si>
    <t>BBVA Group  (**)</t>
  </si>
  <si>
    <t>(**) Grupo BBVA no incluye el negocio vendido de EEUU vendido a PNC.</t>
  </si>
  <si>
    <t>(**) BBVA Group excludes  the US Business sold to PNC.</t>
  </si>
  <si>
    <t>(*) Grupo BBVA no incluye el negocio vendido de EEUU vendido a PNC.</t>
  </si>
  <si>
    <t>(*) BBVA Group excludes  the US Business sold to PNC.</t>
  </si>
  <si>
    <t>Resto de geografías</t>
  </si>
  <si>
    <t>Rest of geographies</t>
  </si>
  <si>
    <t>Corporate &amp; Investment Banking (*)</t>
  </si>
  <si>
    <t>(*) No incluye el negocio de CIB vendido a PNC.</t>
  </si>
  <si>
    <t>(*) Excludes  the CIB Business sold to PNC.</t>
  </si>
  <si>
    <t>Dotación de capital regulatorio</t>
  </si>
  <si>
    <t>Regulatory capital allocated</t>
  </si>
  <si>
    <t xml:space="preserve">South America </t>
  </si>
  <si>
    <t>No incluye Paraguay (***)</t>
  </si>
  <si>
    <t>Paraguay excluded  (***)</t>
  </si>
  <si>
    <t>Préstamos Hogares TL</t>
  </si>
  <si>
    <t>Retail Loans TL</t>
  </si>
  <si>
    <t>Préstamos Empresas TL</t>
  </si>
  <si>
    <t>Commercial Loans TL</t>
  </si>
  <si>
    <t>Total Préstamos TL</t>
  </si>
  <si>
    <t>Total Loans TL</t>
  </si>
  <si>
    <t>Total Préstamos FC</t>
  </si>
  <si>
    <t>Total Loans FC</t>
  </si>
  <si>
    <t>Depósitos Vista TL</t>
  </si>
  <si>
    <t>Demand Deposits TL</t>
  </si>
  <si>
    <t>Depósitos Plazo TL</t>
  </si>
  <si>
    <t>Total Time Deposits TL</t>
  </si>
  <si>
    <t>Total Depósitos TL</t>
  </si>
  <si>
    <t>Total Deposits TL</t>
  </si>
  <si>
    <t>Depósitos Vista FC</t>
  </si>
  <si>
    <t>Demand Deposits FC</t>
  </si>
  <si>
    <t>Depósitos Plazo FC</t>
  </si>
  <si>
    <t>Total Time Deposits FC</t>
  </si>
  <si>
    <t>Total Depósitos FC</t>
  </si>
  <si>
    <t>Total Deposits FC</t>
  </si>
  <si>
    <t>(TL Lira Turca FC Moneda Extranjera)</t>
  </si>
  <si>
    <t>(TL Turkish Lira FC Foreign Currency)</t>
  </si>
  <si>
    <t>Turquia solo Banco</t>
  </si>
  <si>
    <t>Turkey Bank only</t>
  </si>
  <si>
    <t>Nota general : Cifras considerando la clasificación de las sociedades incluidas en el acuerdo de venta suscrito con PNC como Activos y Pasivos No corrientes en Venta.</t>
  </si>
  <si>
    <t>General note: figures considering companies in the United States included in the sale agreement signed with PNC as Non-current Assets and Liabilities Held for Sale</t>
  </si>
  <si>
    <t>Operaciones Corporativas y Discontinuadas</t>
  </si>
  <si>
    <t>Corporate &amp; discontinued operations</t>
  </si>
  <si>
    <t xml:space="preserve"> (***) No incluye Paraguay</t>
  </si>
  <si>
    <t xml:space="preserve">(***) Paraguay excluded </t>
  </si>
  <si>
    <t>América del Sur  (incluye Paraguay)</t>
  </si>
  <si>
    <t>South America (Paraguay Included)</t>
  </si>
  <si>
    <t>Resultado Atribuido sin Operaciones Corporativas y Discontinuadas</t>
  </si>
  <si>
    <t>Net attributable profit/(loss) excluding Corporate &amp; discontinued operations</t>
  </si>
  <si>
    <t>Operaciones interrumpidas y corporativas, y costes netos asociados al proceso de reestructuración.(1)</t>
  </si>
  <si>
    <t>Discontinued &amp; corporate operations, and net cost related to the restructuring process. (1)</t>
  </si>
  <si>
    <t> Beneficio Atribuido (sin operaciones interrumpidas y corporativas, y costes netos asociados al proceso de reestructuración).</t>
  </si>
  <si>
    <t> Net Attributable Profit (ex discontinued &amp; corporate operations, and net cost related to the restructuring process).</t>
  </si>
  <si>
    <r>
      <t>(1) Incluye </t>
    </r>
    <r>
      <rPr>
        <sz val="12"/>
        <color theme="4" tint="-0.499984740745262"/>
        <rFont val="Arial"/>
        <family val="2"/>
      </rPr>
      <t>EEUU como operación discontinuada, el deterioro del fondo de comercio de Estados Unidos,  el resultado neto de impuestos por la venta a Allianz de la mitad más una acción de la sociedad constituida para impulsar de forma conjunta el negocio de seguros de no vida en España, excluyendo el ramo de salud y los costes netos asociados al proceso de reestructuración.</t>
    </r>
  </si>
  <si>
    <t>(1) Includes USA as discontinued operation, the goodwill impaiment in USA, the net capital gain from the sale to Allianz of the half plus one share of the company created to jointly develop the non-life insurance business in Spain, excluding the health insurance line and net cost related to the reestructuring process.</t>
  </si>
  <si>
    <t>Resultado atribuido excluyendo impactos no recurrentes</t>
  </si>
  <si>
    <t>Net attributable profit excluding non recurring impacts</t>
  </si>
  <si>
    <t>Resultado después de impuestos de operaciones interrumpidas (1)</t>
  </si>
  <si>
    <t>Profit/(loss) after tax form discontinued operations (1)</t>
  </si>
  <si>
    <t>Operaciones Corporativas (2)</t>
  </si>
  <si>
    <t>Corporate Operations (2)</t>
  </si>
  <si>
    <t>Costes netos asociados al proceso de reestructuración</t>
  </si>
  <si>
    <t>Net cost related to the reestructuring process.</t>
  </si>
  <si>
    <r>
      <t>(1) Incluye </t>
    </r>
    <r>
      <rPr>
        <sz val="12"/>
        <color theme="4" tint="-0.499984740745262"/>
        <rFont val="Arial"/>
        <family val="2"/>
      </rPr>
      <t>EEUU como operación interrumpida y el deterioro del fondo de comercio de Estados Unidos registrado en el primer trimestre de 2020 por importe de 2084 millones de euros</t>
    </r>
  </si>
  <si>
    <t>(1) Includes USA as discontinued operation and the goodwill impaiment in USA for 2084 millions of euros registered in the 1stQ of 2020.</t>
  </si>
  <si>
    <r>
      <t>(2) Incluye el r</t>
    </r>
    <r>
      <rPr>
        <sz val="12"/>
        <color theme="4" tint="-0.499984740745262"/>
        <rFont val="Arial"/>
        <family val="2"/>
      </rPr>
      <t xml:space="preserve">esultado neto de impuestos por la venta a Allianz de la mitad más una acción de la sociedad constituida para impulsar de forma conjunta el negocio de seguros de no vida en España, excluyendo el ramo de salud </t>
    </r>
  </si>
  <si>
    <t xml:space="preserve">(2) Includes the net capital gain from the sale to Allianz of the half plus one share of the company created to jointly develop the non-life insurance business in Spain, excluding the health insurance line </t>
  </si>
  <si>
    <t>Operaciones Corporativas e Interrumpidas(1)</t>
  </si>
  <si>
    <t>Corporate &amp; discontinued operations(1)</t>
  </si>
  <si>
    <t>(1) Incluen los resultados generados por BBVA USA y el resto de sociedades de EEUU vendidas a PNC el 1 de junio de 2021</t>
  </si>
  <si>
    <t>(1) Includes the profit generated by BBVA USA and the rest of the US companies sold to PNC on 1st ofJjune of 2021.</t>
  </si>
  <si>
    <t>(1) En aplicación de la NIC 21 "Efectos de las variaciones en los tipos de cambio de la moneda extranjera", la conversión de la cuenta de resultados de Turquía y Argentina se hace empleando el tipo de cambio final.</t>
  </si>
  <si>
    <r>
      <rPr>
        <sz val="8"/>
        <color theme="1"/>
        <rFont val="Calibri"/>
        <family val="2"/>
        <scheme val="minor"/>
      </rPr>
      <t>(1)</t>
    </r>
    <r>
      <rPr>
        <sz val="11"/>
        <color theme="1"/>
        <rFont val="Calibri"/>
        <family val="2"/>
        <scheme val="minor"/>
      </rPr>
      <t xml:space="preserve"> According to IAS 21 "Effects of changes in foreign currency exchange rates", the translation of the income statement for Turkey and Argentina is made using the final exchange rate.</t>
    </r>
  </si>
  <si>
    <t>(1) Incluen los resultados generados por BBVA USA y el resto de sociedades de EEUU vendidas a PNC el 1 de junio de 2021 y la adquisición de la Socimi Tree.</t>
  </si>
  <si>
    <t>(1) Includes the profit generated by BBVA USA and the rest of the US companies sold to PNC on 1st ofJjune of 2021 and the acquisition of the Socimi Tree.</t>
  </si>
  <si>
    <t>Resultado de operaciones interrumpidas y otros (1)</t>
  </si>
  <si>
    <t>Discontinued operations and Others (1)</t>
  </si>
  <si>
    <t>(1) Incluen los resultados generados por BBVA USA y el resto de sociedades de EEUU vendidas a PNC el 1 de junio de 2021, los costes netos asociados al proceso de reestructuración y el impacto neto de la compra de oficinas en España. (más detalle en las áreas de España y Centro Corporativo)</t>
  </si>
  <si>
    <t>(1) Includes the profit generated by BBVA USA and the rest of the US companies sold to PNC on 1st of June of 2021, the net cost related to the reestructuring process. and net impact arisen form the purchase of offices in Spain. (for further detail in Spain and Corporate centre)</t>
  </si>
  <si>
    <t>(1)Adquisición de oficinas en España</t>
  </si>
  <si>
    <t>(1)Acquisition of branches in Spain.</t>
  </si>
  <si>
    <t>Operaciones Corporativas e Interrumpidas</t>
  </si>
  <si>
    <t>Impacto neto de la compra de oficinas en España</t>
  </si>
  <si>
    <t>Net impact arisen from the purchase of offices in Spain</t>
  </si>
  <si>
    <t>(*)El dato del trimestre en curso es provisional</t>
  </si>
  <si>
    <t>(*)The data for the current quarter is provisional</t>
  </si>
  <si>
    <t>MARCA</t>
  </si>
  <si>
    <t>.</t>
  </si>
  <si>
    <t>Resultado Atribuido</t>
  </si>
  <si>
    <t>Total</t>
  </si>
  <si>
    <t>(1)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</si>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</sst>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d\-mm\-yy"/>
    <numFmt numFmtId="165" formatCode="#,##0.000"/>
    <numFmt numFmtId="166" formatCode="0.000%"/>
    <numFmt numFmtId="167" formatCode="0.0"/>
    <numFmt numFmtId="168" formatCode="0.0%"/>
    <numFmt numFmtId="169" formatCode="#,##0.0000"/>
    <numFmt numFmtId="170" formatCode="dd\-mm\-yy;@"/>
    <numFmt numFmtId="171" formatCode="_-* #,##0.00\ _€_-;\-* #,##0.00\ _€_-;_-* &quot;-&quot;??\ _€_-;_-@_-"/>
    <numFmt numFmtId="172" formatCode="_-* #,##0\ _P_t_s_-;\-* #,##0\ _P_t_s_-;_-* &quot;-&quot;??\ _P_t_s_-;_-@_-"/>
    <numFmt numFmtId="173" formatCode="0.00000000"/>
  </numFmts>
  <fonts count="58">
    <font>
      <sz val="11"/>
      <color theme="1"/>
      <name val="Calibri"/>
      <family val="2"/>
      <scheme val="minor"/>
    </font>
    <font>
      <sz val="11"/>
      <color theme="1"/>
      <name val="Calibri"/>
      <family val="2"/>
      <scheme val="minor"/>
    </font>
    <font>
      <sz val="11"/>
      <color theme="0"/>
      <name val="Calibri"/>
      <family val="2"/>
      <scheme val="minor"/>
    </font>
    <font>
      <sz val="10"/>
      <name val="Baskerville BE Regular"/>
    </font>
    <font>
      <sz val="8"/>
      <name val="Arial"/>
      <family val="2"/>
    </font>
    <font>
      <sz val="16"/>
      <color theme="1"/>
      <name val="BBVA Office Book"/>
      <family val="2"/>
    </font>
    <font>
      <sz val="12"/>
      <color rgb="FF002060"/>
      <name val="BBVA Office Book"/>
      <family val="2"/>
    </font>
    <font>
      <sz val="10"/>
      <name val="BBVA Office Book"/>
      <family val="2"/>
    </font>
    <font>
      <sz val="8"/>
      <name val="BBVA Office Book"/>
      <family val="2"/>
    </font>
    <font>
      <sz val="10"/>
      <color theme="4"/>
      <name val="BBVA Office Book"/>
      <family val="2"/>
    </font>
    <font>
      <sz val="10"/>
      <name val="Arial"/>
      <family val="2"/>
    </font>
    <font>
      <b/>
      <sz val="10"/>
      <name val="BBVA Office Book"/>
      <family val="2"/>
    </font>
    <font>
      <sz val="11"/>
      <name val="BBVA Office Book"/>
      <family val="2"/>
    </font>
    <font>
      <sz val="14"/>
      <color theme="1" tint="0.34998626667073579"/>
      <name val="BBVA Office Book"/>
      <family val="2"/>
    </font>
    <font>
      <b/>
      <sz val="10"/>
      <color theme="0"/>
      <name val="BBVA Office Book"/>
      <family val="2"/>
    </font>
    <font>
      <sz val="9"/>
      <name val="BBVA Office Book"/>
      <family val="2"/>
    </font>
    <font>
      <sz val="12"/>
      <color theme="3"/>
      <name val="BBVA Office Book"/>
      <family val="2"/>
    </font>
    <font>
      <sz val="11"/>
      <color theme="3"/>
      <name val="BBVA Office Book"/>
      <family val="2"/>
    </font>
    <font>
      <sz val="8"/>
      <color theme="1"/>
      <name val="Calibri"/>
      <family val="2"/>
      <scheme val="minor"/>
    </font>
    <font>
      <sz val="11"/>
      <color theme="4" tint="-0.499984740745262"/>
      <name val="Calibri"/>
      <family val="2"/>
      <scheme val="minor"/>
    </font>
    <font>
      <sz val="12"/>
      <color theme="4" tint="-0.499984740745262"/>
      <name val="Arial"/>
      <family val="2"/>
    </font>
    <font>
      <sz val="12"/>
      <color rgb="FF222222"/>
      <name val="Arial"/>
      <family val="2"/>
    </font>
    <font>
      <sz val="8"/>
      <color rgb="FF000000"/>
      <name val="Tahoma"/>
      <family val="2"/>
    </font>
    <font>
      <sz val="10"/>
      <name val="Lucida Sans Unicode"/>
      <family val="2"/>
    </font>
    <font>
      <vertAlign val="superscript"/>
      <sz val="10"/>
      <name val="Stag Sans Medium"/>
      <family val="2"/>
    </font>
    <font>
      <vertAlign val="superscript"/>
      <sz val="10"/>
      <name val="BBVA Office Book"/>
      <family val="2"/>
    </font>
    <font>
      <vertAlign val="superscript"/>
      <sz val="20"/>
      <name val="BBVA Office Book"/>
      <family val="2"/>
    </font>
    <font>
      <vertAlign val="superscript"/>
      <sz val="26"/>
      <color theme="1" tint="0.34998626667073579"/>
      <name val="BBVA Office Book"/>
      <family val="2"/>
    </font>
    <font>
      <vertAlign val="superscript"/>
      <sz val="10"/>
      <color indexed="21"/>
      <name val="Stag Sans Medium"/>
      <family val="2"/>
    </font>
    <font>
      <vertAlign val="superscript"/>
      <sz val="22"/>
      <color indexed="21"/>
      <name val="Stag Sans Medium"/>
      <family val="2"/>
    </font>
    <font>
      <vertAlign val="superscript"/>
      <sz val="22"/>
      <color theme="0"/>
      <name val="BBVA Office Book"/>
      <family val="2"/>
    </font>
    <font>
      <b/>
      <sz val="16"/>
      <name val="BBVA Office Book"/>
      <family val="2"/>
    </font>
    <font>
      <sz val="14"/>
      <color theme="1"/>
      <name val="BBVA Office Book"/>
      <family val="2"/>
    </font>
    <font>
      <vertAlign val="superscript"/>
      <sz val="10"/>
      <color indexed="9"/>
      <name val="Stag Sans Medium"/>
      <family val="2"/>
    </font>
    <font>
      <vertAlign val="superscript"/>
      <sz val="10"/>
      <color indexed="58"/>
      <name val="Stag Sans Medium"/>
      <family val="2"/>
    </font>
    <font>
      <vertAlign val="superscript"/>
      <sz val="10"/>
      <color indexed="58"/>
      <name val="BBVA Office Book"/>
      <family val="2"/>
    </font>
    <font>
      <vertAlign val="superscript"/>
      <sz val="20"/>
      <name val="Stag Sans Medium"/>
      <family val="2"/>
    </font>
    <font>
      <sz val="14"/>
      <name val="BBVA Office Book"/>
      <family val="2"/>
    </font>
    <font>
      <sz val="10"/>
      <color theme="1" tint="0.34998626667073579"/>
      <name val="BBVA Office Book"/>
      <family val="2"/>
    </font>
    <font>
      <sz val="11"/>
      <name val="Calibri"/>
      <family val="2"/>
      <scheme val="minor"/>
    </font>
    <font>
      <i/>
      <sz val="10"/>
      <name val="BBVA Office Book"/>
      <family val="2"/>
    </font>
    <font>
      <sz val="10"/>
      <color theme="0"/>
      <name val="BBVA Office Book"/>
      <family val="2"/>
    </font>
    <font>
      <sz val="8"/>
      <color theme="0"/>
      <name val="BBVA Office Book"/>
      <family val="2"/>
    </font>
    <font>
      <sz val="10"/>
      <color indexed="18"/>
      <name val="Tahoma"/>
      <family val="2"/>
    </font>
    <font>
      <sz val="10"/>
      <name val="Tahoma"/>
      <family val="2"/>
    </font>
    <font>
      <sz val="10"/>
      <color theme="5"/>
      <name val="Arial"/>
      <family val="2"/>
    </font>
    <font>
      <b/>
      <sz val="16"/>
      <color theme="1" tint="0.34998626667073579"/>
      <name val="BBVA Office Book"/>
      <family val="2"/>
    </font>
    <font>
      <b/>
      <sz val="10"/>
      <name val="Arial"/>
      <family val="2"/>
    </font>
    <font>
      <sz val="10"/>
      <color indexed="18"/>
      <name val="Arial"/>
      <family val="2"/>
    </font>
    <font>
      <sz val="11"/>
      <name val="Lucida Sans Unicode"/>
      <family val="2"/>
    </font>
    <font>
      <sz val="10"/>
      <color theme="3"/>
      <name val="BBVA Office Book"/>
      <family val="2"/>
    </font>
    <font>
      <sz val="16"/>
      <color theme="1" tint="0.34998626667073579"/>
      <name val="BBVA Office Book"/>
      <family val="2"/>
    </font>
    <font>
      <b/>
      <sz val="9"/>
      <color rgb="FFFF0000"/>
      <name val="BBVA Office Book"/>
      <family val="2"/>
    </font>
    <font>
      <sz val="12"/>
      <name val="BBVA Office Book"/>
      <family val="2"/>
    </font>
    <font>
      <sz val="10"/>
      <color rgb="FFFF0000"/>
      <name val="Arial"/>
      <family val="2"/>
    </font>
    <font>
      <sz val="11"/>
      <color theme="1" tint="0.34998626667073579"/>
      <name val="BBVA Office Book"/>
      <family val="2"/>
    </font>
    <font>
      <sz val="11"/>
      <color theme="0"/>
      <name val="BBVA Office Book"/>
      <family val="2"/>
    </font>
    <font>
      <sz val="11"/>
      <color theme="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59999389629810485"/>
        <bgColor indexed="64"/>
      </patternFill>
    </fill>
    <fill>
      <patternFill patternType="solid">
        <fgColor rgb="FFA7CFED"/>
        <bgColor indexed="64"/>
      </patternFill>
    </fill>
    <fill>
      <patternFill patternType="solid">
        <fgColor theme="2" tint="0.89999084444715716"/>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s>
  <cellStyleXfs count="14">
    <xf numFmtId="0" fontId="0" fillId="0" borderId="0"/>
    <xf numFmtId="171" fontId="1" fillId="0" borderId="0" applyFont="0" applyFill="0" applyBorder="0" applyAlignment="0" applyProtection="0"/>
    <xf numFmtId="9" fontId="1" fillId="0" borderId="0" applyFont="0" applyFill="0" applyBorder="0" applyAlignment="0" applyProtection="0"/>
    <xf numFmtId="0" fontId="3" fillId="0" borderId="0"/>
    <xf numFmtId="3" fontId="10" fillId="0" borderId="0"/>
    <xf numFmtId="0" fontId="1" fillId="0" borderId="0"/>
    <xf numFmtId="0" fontId="10" fillId="0" borderId="0"/>
    <xf numFmtId="0" fontId="23" fillId="0" borderId="0"/>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308">
    <xf numFmtId="0" fontId="0" fillId="0" borderId="0" xfId="0"/>
    <xf numFmtId="0" fontId="4" fillId="0" borderId="0" xfId="3" applyFont="1" applyFill="1" applyProtection="1">
      <protection locked="0" hidden="1"/>
    </xf>
    <xf numFmtId="0" fontId="4" fillId="0" borderId="0" xfId="3" applyFont="1" applyFill="1" applyBorder="1" applyAlignment="1" applyProtection="1">
      <alignment horizontal="left"/>
      <protection locked="0" hidden="1"/>
    </xf>
    <xf numFmtId="0" fontId="4" fillId="0" borderId="1" xfId="3" applyFont="1" applyFill="1" applyBorder="1" applyAlignment="1" applyProtection="1">
      <alignment horizontal="left"/>
      <protection locked="0" hidden="1"/>
    </xf>
    <xf numFmtId="0" fontId="5" fillId="0" borderId="0" xfId="0" applyFont="1"/>
    <xf numFmtId="0" fontId="6" fillId="0" borderId="0" xfId="3" applyFont="1" applyFill="1" applyBorder="1" applyAlignment="1" applyProtection="1">
      <alignment horizontal="left"/>
      <protection locked="0" hidden="1"/>
    </xf>
    <xf numFmtId="0" fontId="6" fillId="0" borderId="0" xfId="0" applyFont="1"/>
    <xf numFmtId="3" fontId="7" fillId="0" borderId="0" xfId="0" applyNumberFormat="1" applyFont="1" applyFill="1" applyAlignment="1">
      <alignment vertical="center"/>
    </xf>
    <xf numFmtId="3" fontId="8" fillId="0" borderId="0" xfId="0" applyNumberFormat="1" applyFont="1" applyFill="1" applyAlignment="1">
      <alignment vertical="center"/>
    </xf>
    <xf numFmtId="0" fontId="9" fillId="0" borderId="0" xfId="0" applyFont="1" applyFill="1" applyAlignment="1">
      <alignment horizontal="left" vertical="center"/>
    </xf>
    <xf numFmtId="3" fontId="10" fillId="0" borderId="0" xfId="4" quotePrefix="1" applyFill="1"/>
    <xf numFmtId="0" fontId="0" fillId="0" borderId="0" xfId="0" quotePrefix="1"/>
    <xf numFmtId="3" fontId="7" fillId="0" borderId="0" xfId="5" applyNumberFormat="1" applyFont="1" applyFill="1" applyAlignment="1">
      <alignment vertical="center"/>
    </xf>
    <xf numFmtId="3" fontId="11" fillId="0" borderId="0" xfId="5" applyNumberFormat="1" applyFont="1" applyFill="1" applyAlignment="1">
      <alignment vertical="center"/>
    </xf>
    <xf numFmtId="0" fontId="12" fillId="0" borderId="0" xfId="5" applyFont="1" applyFill="1"/>
    <xf numFmtId="0" fontId="8" fillId="0" borderId="0" xfId="5" applyFont="1" applyFill="1" applyAlignment="1">
      <alignment horizontal="left"/>
    </xf>
    <xf numFmtId="0" fontId="13" fillId="2" borderId="0" xfId="5" applyFont="1" applyFill="1" applyAlignment="1">
      <alignment horizontal="left" vertical="center"/>
    </xf>
    <xf numFmtId="3" fontId="7" fillId="0" borderId="0" xfId="0" applyNumberFormat="1" applyFont="1" applyFill="1" applyBorder="1" applyAlignment="1">
      <alignment vertical="center"/>
    </xf>
    <xf numFmtId="3" fontId="11" fillId="0" borderId="0" xfId="0" applyNumberFormat="1" applyFont="1" applyFill="1" applyAlignment="1">
      <alignment vertical="center"/>
    </xf>
    <xf numFmtId="3" fontId="14" fillId="3" borderId="0" xfId="0" applyNumberFormat="1" applyFont="1" applyFill="1" applyBorder="1" applyAlignment="1">
      <alignment vertical="center"/>
    </xf>
    <xf numFmtId="0" fontId="15" fillId="0" borderId="0" xfId="0" applyFont="1" applyFill="1" applyAlignment="1">
      <alignment horizontal="left"/>
    </xf>
    <xf numFmtId="0" fontId="16" fillId="0" borderId="1" xfId="0" applyFont="1" applyFill="1" applyBorder="1" applyAlignment="1">
      <alignment vertical="center"/>
    </xf>
    <xf numFmtId="164" fontId="17" fillId="0" borderId="0" xfId="0" applyNumberFormat="1" applyFont="1" applyFill="1" applyBorder="1" applyAlignment="1">
      <alignment horizontal="left" vertical="center"/>
    </xf>
    <xf numFmtId="0" fontId="7" fillId="0" borderId="0" xfId="5" applyFont="1" applyFill="1" applyBorder="1" applyAlignment="1">
      <alignment vertical="center"/>
    </xf>
    <xf numFmtId="3" fontId="11" fillId="0" borderId="0" xfId="6" applyNumberFormat="1" applyFont="1" applyFill="1" applyBorder="1" applyAlignment="1">
      <alignment vertical="center"/>
    </xf>
    <xf numFmtId="3" fontId="11" fillId="0" borderId="0" xfId="0" applyNumberFormat="1" applyFont="1" applyFill="1" applyBorder="1" applyAlignment="1">
      <alignment vertical="center"/>
    </xf>
    <xf numFmtId="49" fontId="0" fillId="0" borderId="0" xfId="0" applyNumberFormat="1"/>
    <xf numFmtId="0" fontId="19" fillId="0" borderId="0" xfId="0" applyFont="1"/>
    <xf numFmtId="3" fontId="8" fillId="0" borderId="0" xfId="0" applyNumberFormat="1" applyFont="1" applyFill="1" applyBorder="1" applyAlignment="1">
      <alignment vertical="top" wrapText="1"/>
    </xf>
    <xf numFmtId="0" fontId="21" fillId="0" borderId="0" xfId="0" applyFont="1"/>
    <xf numFmtId="0" fontId="24" fillId="0" borderId="0" xfId="7" applyFont="1"/>
    <xf numFmtId="0" fontId="25" fillId="0" borderId="0" xfId="7" applyFont="1"/>
    <xf numFmtId="0" fontId="26" fillId="0" borderId="0" xfId="7" applyFont="1"/>
    <xf numFmtId="0" fontId="27" fillId="2" borderId="0" xfId="8" applyFont="1" applyFill="1" applyAlignment="1" applyProtection="1">
      <alignment horizontal="center" vertical="top"/>
      <protection hidden="1"/>
    </xf>
    <xf numFmtId="0" fontId="28" fillId="0" borderId="0" xfId="7" applyFont="1" applyProtection="1">
      <protection locked="0"/>
    </xf>
    <xf numFmtId="0" fontId="29" fillId="0" borderId="0" xfId="8" applyFont="1" applyFill="1" applyAlignment="1" applyProtection="1">
      <alignment horizontal="left" indent="4"/>
      <protection hidden="1"/>
    </xf>
    <xf numFmtId="0" fontId="30" fillId="3" borderId="0" xfId="8" applyFont="1" applyFill="1" applyAlignment="1" applyProtection="1">
      <alignment horizontal="left" vertical="top"/>
      <protection hidden="1"/>
    </xf>
    <xf numFmtId="0" fontId="31" fillId="0" borderId="0" xfId="8" applyFont="1"/>
    <xf numFmtId="0" fontId="24" fillId="0" borderId="0" xfId="7" applyFont="1" applyProtection="1">
      <protection hidden="1"/>
    </xf>
    <xf numFmtId="0" fontId="32" fillId="4" borderId="0" xfId="0" applyFont="1" applyFill="1"/>
    <xf numFmtId="0" fontId="25" fillId="0" borderId="0" xfId="7" quotePrefix="1" applyFont="1"/>
    <xf numFmtId="0" fontId="33" fillId="0" borderId="0" xfId="7" quotePrefix="1" applyFont="1"/>
    <xf numFmtId="0" fontId="24" fillId="0" borderId="0" xfId="7" quotePrefix="1" applyFont="1" applyProtection="1">
      <protection hidden="1"/>
    </xf>
    <xf numFmtId="0" fontId="25" fillId="0" borderId="0" xfId="7" applyFont="1" applyFill="1"/>
    <xf numFmtId="0" fontId="32" fillId="5" borderId="0" xfId="0" applyFont="1" applyFill="1"/>
    <xf numFmtId="0" fontId="24" fillId="0" borderId="0" xfId="7" applyFont="1" applyFill="1" applyProtection="1">
      <protection hidden="1"/>
    </xf>
    <xf numFmtId="0" fontId="24" fillId="0" borderId="0" xfId="7" applyFont="1" applyFill="1"/>
    <xf numFmtId="0" fontId="24" fillId="0" borderId="0" xfId="7" applyFont="1" applyAlignment="1">
      <alignment horizontal="left" indent="5"/>
    </xf>
    <xf numFmtId="0" fontId="24" fillId="0" borderId="0" xfId="7" applyFont="1" applyFill="1" applyAlignment="1">
      <alignment horizontal="left" indent="5"/>
    </xf>
    <xf numFmtId="0" fontId="25" fillId="0" borderId="0" xfId="7" applyFont="1" applyFill="1" applyAlignment="1">
      <alignment horizontal="left" indent="5"/>
    </xf>
    <xf numFmtId="0" fontId="24" fillId="0" borderId="0" xfId="7" applyFont="1" applyAlignment="1">
      <alignment horizontal="center"/>
    </xf>
    <xf numFmtId="0" fontId="24" fillId="0" borderId="0" xfId="7" applyFont="1" applyAlignment="1" applyProtection="1">
      <alignment horizontal="left" indent="5"/>
      <protection hidden="1"/>
    </xf>
    <xf numFmtId="0" fontId="25" fillId="0" borderId="0" xfId="7" applyFont="1" applyAlignment="1">
      <alignment horizontal="left" indent="5"/>
    </xf>
    <xf numFmtId="0" fontId="26" fillId="0" borderId="0" xfId="7" applyFont="1" applyAlignment="1">
      <alignment horizontal="left" vertical="top"/>
    </xf>
    <xf numFmtId="0" fontId="34" fillId="0" borderId="0" xfId="7" applyFont="1"/>
    <xf numFmtId="0" fontId="32" fillId="6" borderId="0" xfId="0" applyFont="1" applyFill="1"/>
    <xf numFmtId="0" fontId="35" fillId="0" borderId="0" xfId="7" applyFont="1"/>
    <xf numFmtId="0" fontId="34" fillId="0" borderId="0" xfId="7" applyFont="1" applyProtection="1">
      <protection hidden="1"/>
    </xf>
    <xf numFmtId="3" fontId="8" fillId="0" borderId="0" xfId="0" applyNumberFormat="1" applyFont="1" applyFill="1" applyBorder="1" applyAlignment="1">
      <alignment horizontal="left" vertical="top" wrapText="1"/>
    </xf>
    <xf numFmtId="0" fontId="36" fillId="0" borderId="0" xfId="7" applyFont="1"/>
    <xf numFmtId="3" fontId="24" fillId="0" borderId="0" xfId="7" applyNumberFormat="1" applyFont="1"/>
    <xf numFmtId="0" fontId="37" fillId="0" borderId="0" xfId="0" applyFont="1" applyFill="1" applyBorder="1" applyAlignment="1">
      <alignment horizontal="left" vertical="center"/>
    </xf>
    <xf numFmtId="0" fontId="7" fillId="0" borderId="0" xfId="0" applyFont="1" applyFill="1" applyBorder="1"/>
    <xf numFmtId="0" fontId="0" fillId="0" borderId="0" xfId="0" applyFill="1"/>
    <xf numFmtId="0" fontId="31" fillId="0" borderId="0" xfId="0" applyFont="1" applyFill="1" applyBorder="1" applyAlignment="1">
      <alignment horizontal="left" vertical="center"/>
    </xf>
    <xf numFmtId="0" fontId="13" fillId="2" borderId="0" xfId="0" applyFont="1" applyFill="1" applyBorder="1" applyAlignment="1">
      <alignment horizontal="left" vertical="center"/>
    </xf>
    <xf numFmtId="0" fontId="38" fillId="2" borderId="0" xfId="0" applyFont="1" applyFill="1" applyBorder="1"/>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3" fontId="11" fillId="0" borderId="2"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0" xfId="0" applyNumberFormat="1" applyFont="1" applyFill="1" applyBorder="1" applyAlignment="1">
      <alignment horizontal="left" vertical="center" indent="1"/>
    </xf>
    <xf numFmtId="3" fontId="14" fillId="0" borderId="0" xfId="0" applyNumberFormat="1" applyFont="1" applyFill="1" applyBorder="1" applyAlignment="1">
      <alignment vertical="center"/>
    </xf>
    <xf numFmtId="3" fontId="2" fillId="0" borderId="0" xfId="0" applyNumberFormat="1" applyFont="1" applyFill="1"/>
    <xf numFmtId="9" fontId="39" fillId="0" borderId="0" xfId="2" applyFont="1" applyFill="1"/>
    <xf numFmtId="165" fontId="39" fillId="0" borderId="0" xfId="0" applyNumberFormat="1" applyFont="1" applyFill="1"/>
    <xf numFmtId="0" fontId="11" fillId="0" borderId="0" xfId="0" applyFont="1" applyFill="1" applyBorder="1"/>
    <xf numFmtId="3" fontId="7" fillId="0" borderId="0" xfId="0" applyNumberFormat="1" applyFont="1" applyFill="1" applyBorder="1"/>
    <xf numFmtId="164" fontId="17" fillId="0" borderId="0" xfId="0" applyNumberFormat="1" applyFont="1" applyFill="1" applyBorder="1" applyAlignment="1">
      <alignment horizontal="right" vertical="center"/>
    </xf>
    <xf numFmtId="3" fontId="0" fillId="0" borderId="0" xfId="0" applyNumberFormat="1" applyFill="1"/>
    <xf numFmtId="3" fontId="40" fillId="0" borderId="0" xfId="0" applyNumberFormat="1" applyFont="1" applyFill="1" applyBorder="1" applyAlignment="1">
      <alignment vertical="center"/>
    </xf>
    <xf numFmtId="3" fontId="40" fillId="0" borderId="0" xfId="0" applyNumberFormat="1" applyFont="1" applyFill="1" applyBorder="1" applyAlignment="1">
      <alignment horizontal="right"/>
    </xf>
    <xf numFmtId="3" fontId="7" fillId="6" borderId="0" xfId="0" applyNumberFormat="1" applyFont="1" applyFill="1" applyBorder="1" applyAlignment="1">
      <alignment horizontal="right"/>
    </xf>
    <xf numFmtId="3" fontId="11" fillId="0" borderId="0" xfId="0" applyNumberFormat="1" applyFont="1" applyFill="1" applyBorder="1"/>
    <xf numFmtId="3" fontId="41" fillId="0" borderId="0" xfId="0" applyNumberFormat="1" applyFont="1" applyFill="1" applyBorder="1"/>
    <xf numFmtId="3" fontId="8" fillId="0" borderId="0" xfId="0" applyNumberFormat="1" applyFont="1" applyFill="1" applyBorder="1" applyAlignment="1">
      <alignment vertical="center"/>
    </xf>
    <xf numFmtId="1" fontId="41" fillId="0" borderId="0" xfId="0" applyNumberFormat="1" applyFont="1" applyFill="1" applyBorder="1"/>
    <xf numFmtId="3" fontId="14" fillId="3" borderId="2" xfId="0" applyNumberFormat="1" applyFont="1" applyFill="1" applyBorder="1" applyAlignment="1">
      <alignment vertical="center"/>
    </xf>
    <xf numFmtId="3" fontId="14" fillId="3" borderId="0" xfId="0" applyNumberFormat="1" applyFont="1" applyFill="1" applyBorder="1" applyAlignment="1">
      <alignment horizontal="right" vertical="center"/>
    </xf>
    <xf numFmtId="3" fontId="7" fillId="0" borderId="2" xfId="0" applyNumberFormat="1" applyFont="1" applyFill="1" applyBorder="1"/>
    <xf numFmtId="0" fontId="13" fillId="0" borderId="0" xfId="0" applyFont="1" applyFill="1" applyBorder="1" applyAlignment="1">
      <alignment horizontal="left" vertical="center"/>
    </xf>
    <xf numFmtId="0" fontId="38" fillId="0" borderId="0" xfId="0" applyFont="1" applyFill="1" applyBorder="1"/>
    <xf numFmtId="164" fontId="17" fillId="0" borderId="2" xfId="0" applyNumberFormat="1" applyFont="1" applyFill="1" applyBorder="1" applyAlignment="1">
      <alignment horizontal="right" vertical="center"/>
    </xf>
    <xf numFmtId="3" fontId="42" fillId="0" borderId="0" xfId="0" applyNumberFormat="1" applyFont="1" applyFill="1" applyBorder="1" applyAlignment="1">
      <alignment vertical="center" wrapText="1"/>
    </xf>
    <xf numFmtId="164" fontId="17" fillId="0" borderId="0" xfId="0" applyNumberFormat="1" applyFont="1" applyFill="1" applyBorder="1" applyAlignment="1">
      <alignment vertical="center"/>
    </xf>
    <xf numFmtId="3" fontId="7" fillId="0" borderId="0" xfId="0" applyNumberFormat="1" applyFont="1" applyFill="1" applyBorder="1" applyAlignment="1"/>
    <xf numFmtId="0" fontId="38" fillId="0" borderId="0" xfId="0" applyFont="1" applyFill="1" applyBorder="1" applyAlignment="1"/>
    <xf numFmtId="0" fontId="7" fillId="0" borderId="0" xfId="0" applyFont="1" applyFill="1" applyBorder="1" applyAlignment="1"/>
    <xf numFmtId="0" fontId="38" fillId="2" borderId="0" xfId="0" applyFont="1" applyFill="1" applyBorder="1" applyAlignment="1">
      <alignment horizontal="right"/>
    </xf>
    <xf numFmtId="0" fontId="7" fillId="0" borderId="0" xfId="0" applyFont="1" applyFill="1" applyBorder="1" applyAlignment="1">
      <alignment horizontal="right"/>
    </xf>
    <xf numFmtId="0" fontId="38" fillId="0" borderId="0" xfId="0" applyFont="1" applyFill="1" applyBorder="1" applyAlignment="1">
      <alignment horizontal="right"/>
    </xf>
    <xf numFmtId="0" fontId="43" fillId="0" borderId="0" xfId="0" applyFont="1" applyFill="1" applyBorder="1"/>
    <xf numFmtId="0" fontId="0" fillId="0" borderId="0" xfId="0" applyFill="1" applyBorder="1"/>
    <xf numFmtId="0" fontId="44" fillId="0" borderId="0" xfId="0" applyFont="1" applyFill="1" applyBorder="1"/>
    <xf numFmtId="3" fontId="14" fillId="3" borderId="2" xfId="0" applyNumberFormat="1" applyFont="1" applyFill="1" applyBorder="1" applyAlignment="1">
      <alignment horizontal="right" vertical="center"/>
    </xf>
    <xf numFmtId="0" fontId="38" fillId="2" borderId="0" xfId="0" applyFont="1" applyFill="1" applyBorder="1" applyAlignment="1"/>
    <xf numFmtId="0" fontId="0" fillId="0" borderId="0" xfId="0" applyFill="1" applyAlignment="1">
      <alignment horizontal="right"/>
    </xf>
    <xf numFmtId="3" fontId="11" fillId="0" borderId="2" xfId="0" applyNumberFormat="1" applyFont="1" applyFill="1" applyBorder="1" applyAlignment="1">
      <alignment horizontal="right" vertical="center"/>
    </xf>
    <xf numFmtId="3" fontId="8" fillId="7" borderId="0" xfId="0" applyNumberFormat="1" applyFont="1" applyFill="1" applyBorder="1" applyAlignment="1">
      <alignment vertical="top"/>
    </xf>
    <xf numFmtId="0" fontId="37" fillId="0" borderId="0" xfId="0" quotePrefix="1" applyFont="1" applyFill="1" applyBorder="1" applyAlignment="1">
      <alignment horizontal="left" vertical="center"/>
    </xf>
    <xf numFmtId="0" fontId="13" fillId="2" borderId="0"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17" fillId="0" borderId="0" xfId="0" quotePrefix="1" applyFont="1" applyFill="1" applyBorder="1" applyAlignment="1">
      <alignment horizontal="right" vertical="center"/>
    </xf>
    <xf numFmtId="0" fontId="17" fillId="0" borderId="2" xfId="0" quotePrefix="1" applyFont="1" applyFill="1" applyBorder="1" applyAlignment="1">
      <alignment horizontal="right" vertical="center"/>
    </xf>
    <xf numFmtId="3" fontId="11" fillId="0" borderId="0" xfId="0" quotePrefix="1" applyNumberFormat="1" applyFont="1" applyFill="1" applyBorder="1" applyAlignment="1">
      <alignment horizontal="right" vertical="center"/>
    </xf>
    <xf numFmtId="0" fontId="0" fillId="0" borderId="0" xfId="0" quotePrefix="1" applyFill="1"/>
    <xf numFmtId="3" fontId="7" fillId="0" borderId="0" xfId="0" quotePrefix="1" applyNumberFormat="1" applyFont="1" applyFill="1" applyBorder="1" applyAlignment="1">
      <alignment vertical="center"/>
    </xf>
    <xf numFmtId="3" fontId="7" fillId="0" borderId="0" xfId="0" quotePrefix="1" applyNumberFormat="1" applyFont="1" applyFill="1" applyBorder="1" applyAlignment="1">
      <alignment horizontal="left" vertical="center" indent="1"/>
    </xf>
    <xf numFmtId="3" fontId="11" fillId="0" borderId="0" xfId="0" quotePrefix="1" applyNumberFormat="1" applyFont="1" applyFill="1" applyBorder="1" applyAlignment="1">
      <alignment vertical="center"/>
    </xf>
    <xf numFmtId="3" fontId="14" fillId="3" borderId="0" xfId="0" quotePrefix="1" applyNumberFormat="1" applyFont="1" applyFill="1" applyBorder="1" applyAlignment="1">
      <alignment vertical="center"/>
    </xf>
    <xf numFmtId="3" fontId="8" fillId="0" borderId="0" xfId="0" quotePrefix="1" applyNumberFormat="1" applyFont="1" applyFill="1" applyBorder="1" applyAlignment="1">
      <alignment vertical="center"/>
    </xf>
    <xf numFmtId="3" fontId="14" fillId="0" borderId="0" xfId="0" quotePrefix="1" applyNumberFormat="1" applyFont="1" applyFill="1" applyBorder="1" applyAlignment="1">
      <alignment vertical="center"/>
    </xf>
    <xf numFmtId="166" fontId="7" fillId="0" borderId="0" xfId="2" applyNumberFormat="1" applyFont="1" applyFill="1" applyBorder="1"/>
    <xf numFmtId="0" fontId="0" fillId="0" borderId="0" xfId="0" applyFill="1" applyBorder="1" applyAlignment="1">
      <alignment horizontal="right"/>
    </xf>
    <xf numFmtId="0" fontId="13" fillId="2" borderId="0" xfId="0" applyFont="1" applyFill="1" applyAlignment="1">
      <alignment horizontal="left" vertical="center"/>
    </xf>
    <xf numFmtId="0" fontId="38" fillId="2" borderId="0" xfId="9" applyFont="1" applyFill="1"/>
    <xf numFmtId="0" fontId="44" fillId="0" borderId="0" xfId="9" applyFont="1"/>
    <xf numFmtId="0" fontId="9" fillId="0" borderId="0" xfId="0" applyFont="1" applyFill="1" applyAlignment="1">
      <alignment horizontal="left"/>
    </xf>
    <xf numFmtId="0" fontId="7" fillId="0" borderId="0" xfId="9" applyFont="1" applyFill="1"/>
    <xf numFmtId="164" fontId="11" fillId="0" borderId="0" xfId="10" applyNumberFormat="1" applyFont="1" applyFill="1" applyAlignment="1">
      <alignment horizontal="right" vertical="center"/>
    </xf>
    <xf numFmtId="164" fontId="17" fillId="0" borderId="1" xfId="0" applyNumberFormat="1" applyFont="1" applyFill="1" applyBorder="1" applyAlignment="1">
      <alignment horizontal="right"/>
    </xf>
    <xf numFmtId="49" fontId="7" fillId="0" borderId="0" xfId="9" applyNumberFormat="1" applyFont="1" applyFill="1" applyBorder="1" applyAlignment="1">
      <alignment horizontal="right"/>
    </xf>
    <xf numFmtId="49" fontId="7" fillId="0" borderId="4" xfId="9" applyNumberFormat="1" applyFont="1" applyFill="1" applyBorder="1" applyAlignment="1">
      <alignment horizontal="right"/>
    </xf>
    <xf numFmtId="167" fontId="11" fillId="0" borderId="0" xfId="0" applyNumberFormat="1" applyFont="1" applyFill="1" applyBorder="1" applyAlignment="1">
      <alignment vertical="center"/>
    </xf>
    <xf numFmtId="167" fontId="11" fillId="0" borderId="2" xfId="0" applyNumberFormat="1" applyFont="1" applyFill="1" applyBorder="1" applyAlignment="1">
      <alignment vertical="center"/>
    </xf>
    <xf numFmtId="167" fontId="11" fillId="0" borderId="0" xfId="0" applyNumberFormat="1" applyFont="1" applyFill="1" applyBorder="1" applyAlignment="1">
      <alignment horizontal="right" vertical="center"/>
    </xf>
    <xf numFmtId="3" fontId="0" fillId="0" borderId="0" xfId="0" applyNumberFormat="1"/>
    <xf numFmtId="167" fontId="7" fillId="0" borderId="0" xfId="9" applyNumberFormat="1" applyFont="1" applyFill="1" applyBorder="1" applyAlignment="1">
      <alignment horizontal="right"/>
    </xf>
    <xf numFmtId="167" fontId="7" fillId="0" borderId="2" xfId="9" applyNumberFormat="1" applyFont="1" applyFill="1" applyBorder="1" applyAlignment="1">
      <alignment horizontal="right"/>
    </xf>
    <xf numFmtId="167" fontId="44" fillId="0" borderId="0" xfId="9" applyNumberFormat="1" applyFont="1"/>
    <xf numFmtId="167" fontId="7" fillId="0" borderId="0" xfId="0" applyNumberFormat="1" applyFont="1" applyFill="1" applyBorder="1" applyAlignment="1">
      <alignment vertical="center"/>
    </xf>
    <xf numFmtId="167" fontId="7" fillId="0" borderId="2" xfId="0" applyNumberFormat="1" applyFont="1" applyFill="1" applyBorder="1" applyAlignment="1">
      <alignment vertical="center"/>
    </xf>
    <xf numFmtId="167" fontId="7" fillId="0" borderId="0" xfId="0" applyNumberFormat="1" applyFont="1" applyFill="1" applyBorder="1" applyAlignment="1">
      <alignment horizontal="right" vertical="center"/>
    </xf>
    <xf numFmtId="3" fontId="45" fillId="0" borderId="0" xfId="0" applyNumberFormat="1" applyFont="1"/>
    <xf numFmtId="167" fontId="7" fillId="0" borderId="0" xfId="11" applyNumberFormat="1" applyFont="1" applyFill="1" applyBorder="1" applyAlignment="1">
      <alignment horizontal="right"/>
    </xf>
    <xf numFmtId="167" fontId="7" fillId="0" borderId="0" xfId="9" applyNumberFormat="1" applyFont="1" applyFill="1"/>
    <xf numFmtId="0" fontId="44" fillId="0" borderId="0" xfId="9" applyFont="1" applyFill="1"/>
    <xf numFmtId="167" fontId="44" fillId="0" borderId="0" xfId="9" applyNumberFormat="1" applyFont="1" applyFill="1"/>
    <xf numFmtId="0" fontId="46" fillId="2" borderId="0" xfId="10" applyFont="1" applyFill="1" applyAlignment="1">
      <alignment horizontal="left" vertical="center"/>
    </xf>
    <xf numFmtId="0" fontId="10" fillId="0" borderId="0" xfId="9" applyFont="1"/>
    <xf numFmtId="164" fontId="17" fillId="0" borderId="1" xfId="0" applyNumberFormat="1" applyFont="1" applyFill="1" applyBorder="1" applyAlignment="1">
      <alignment horizontal="right" vertical="center"/>
    </xf>
    <xf numFmtId="0" fontId="7" fillId="0" borderId="4" xfId="9" applyFont="1" applyFill="1" applyBorder="1"/>
    <xf numFmtId="165" fontId="0" fillId="0" borderId="0" xfId="0" applyNumberFormat="1"/>
    <xf numFmtId="168" fontId="0" fillId="0" borderId="0" xfId="0" applyNumberFormat="1"/>
    <xf numFmtId="0" fontId="47" fillId="0" borderId="0" xfId="9" applyFont="1"/>
    <xf numFmtId="168" fontId="10" fillId="0" borderId="0" xfId="9" applyNumberFormat="1" applyFont="1"/>
    <xf numFmtId="167" fontId="7" fillId="0" borderId="0" xfId="0" applyNumberFormat="1" applyFont="1" applyFill="1" applyBorder="1"/>
    <xf numFmtId="167" fontId="7" fillId="0" borderId="2" xfId="0" applyNumberFormat="1" applyFont="1" applyFill="1" applyBorder="1"/>
    <xf numFmtId="167" fontId="7" fillId="0" borderId="0" xfId="0" applyNumberFormat="1" applyFont="1" applyFill="1" applyBorder="1" applyAlignment="1">
      <alignment horizontal="right"/>
    </xf>
    <xf numFmtId="0" fontId="8" fillId="0" borderId="0" xfId="0" applyFont="1" applyFill="1" applyAlignment="1">
      <alignment horizontal="left"/>
    </xf>
    <xf numFmtId="167" fontId="7" fillId="0" borderId="0" xfId="9" applyNumberFormat="1" applyFont="1" applyFill="1" applyBorder="1"/>
    <xf numFmtId="168" fontId="7" fillId="0" borderId="0" xfId="9" applyNumberFormat="1" applyFont="1" applyFill="1" applyBorder="1"/>
    <xf numFmtId="0" fontId="38" fillId="2" borderId="0" xfId="9" applyFont="1" applyFill="1" applyBorder="1"/>
    <xf numFmtId="168" fontId="38" fillId="2" borderId="0" xfId="9" applyNumberFormat="1" applyFont="1" applyFill="1" applyBorder="1"/>
    <xf numFmtId="0" fontId="47" fillId="0" borderId="0" xfId="9" applyFont="1" applyFill="1"/>
    <xf numFmtId="2" fontId="7" fillId="0" borderId="0" xfId="9" applyNumberFormat="1" applyFont="1" applyFill="1" applyBorder="1"/>
    <xf numFmtId="1" fontId="11" fillId="0" borderId="0" xfId="0" applyNumberFormat="1" applyFont="1" applyFill="1" applyBorder="1" applyAlignment="1">
      <alignment vertical="center"/>
    </xf>
    <xf numFmtId="1" fontId="11" fillId="0" borderId="2" xfId="0" applyNumberFormat="1" applyFont="1" applyFill="1" applyBorder="1" applyAlignment="1">
      <alignment vertical="center"/>
    </xf>
    <xf numFmtId="1" fontId="11" fillId="0" borderId="0" xfId="0" applyNumberFormat="1" applyFont="1" applyFill="1" applyBorder="1" applyAlignment="1">
      <alignment horizontal="right" vertical="center"/>
    </xf>
    <xf numFmtId="169" fontId="0" fillId="0" borderId="0" xfId="0" applyNumberFormat="1"/>
    <xf numFmtId="1" fontId="7" fillId="0" borderId="0" xfId="9" applyNumberFormat="1" applyFont="1" applyFill="1" applyBorder="1" applyAlignment="1">
      <alignment horizontal="right"/>
    </xf>
    <xf numFmtId="1" fontId="7" fillId="0" borderId="2" xfId="9" applyNumberFormat="1" applyFont="1" applyFill="1" applyBorder="1" applyAlignment="1">
      <alignment horizontal="right"/>
    </xf>
    <xf numFmtId="1" fontId="7" fillId="0" borderId="0" xfId="0" applyNumberFormat="1" applyFont="1" applyFill="1" applyBorder="1" applyAlignment="1">
      <alignment vertical="center"/>
    </xf>
    <xf numFmtId="1" fontId="7" fillId="0" borderId="2" xfId="0" applyNumberFormat="1" applyFont="1" applyFill="1" applyBorder="1" applyAlignment="1">
      <alignment vertical="center"/>
    </xf>
    <xf numFmtId="1" fontId="7" fillId="0" borderId="0" xfId="0" applyNumberFormat="1" applyFont="1" applyFill="1" applyBorder="1" applyAlignment="1">
      <alignment horizontal="right" vertical="center"/>
    </xf>
    <xf numFmtId="9" fontId="0" fillId="0" borderId="0" xfId="0" applyNumberFormat="1"/>
    <xf numFmtId="1" fontId="7" fillId="0" borderId="0" xfId="0" applyNumberFormat="1" applyFont="1" applyFill="1" applyBorder="1"/>
    <xf numFmtId="1" fontId="7" fillId="0" borderId="2" xfId="0" applyNumberFormat="1" applyFont="1" applyFill="1" applyBorder="1"/>
    <xf numFmtId="1" fontId="7" fillId="0" borderId="0" xfId="0" applyNumberFormat="1" applyFont="1" applyFill="1" applyBorder="1" applyAlignment="1">
      <alignment horizontal="right"/>
    </xf>
    <xf numFmtId="0" fontId="7" fillId="0" borderId="0" xfId="9" applyFont="1" applyFill="1" applyBorder="1"/>
    <xf numFmtId="2" fontId="11" fillId="0" borderId="0" xfId="0" applyNumberFormat="1" applyFont="1" applyFill="1" applyBorder="1" applyAlignment="1">
      <alignment vertical="center"/>
    </xf>
    <xf numFmtId="2" fontId="11" fillId="0" borderId="2" xfId="0" applyNumberFormat="1" applyFont="1" applyFill="1" applyBorder="1" applyAlignment="1">
      <alignment vertical="center"/>
    </xf>
    <xf numFmtId="2" fontId="11" fillId="0" borderId="0" xfId="0" applyNumberFormat="1" applyFont="1" applyFill="1" applyBorder="1" applyAlignment="1">
      <alignment horizontal="right" vertical="center"/>
    </xf>
    <xf numFmtId="2" fontId="7" fillId="0" borderId="0" xfId="9" applyNumberFormat="1" applyFont="1" applyFill="1" applyBorder="1" applyAlignment="1">
      <alignment horizontal="right"/>
    </xf>
    <xf numFmtId="2" fontId="7" fillId="0" borderId="2" xfId="9" applyNumberFormat="1" applyFont="1" applyFill="1" applyBorder="1" applyAlignment="1">
      <alignment horizontal="right"/>
    </xf>
    <xf numFmtId="2" fontId="7" fillId="0" borderId="0" xfId="0" applyNumberFormat="1" applyFont="1" applyFill="1" applyBorder="1" applyAlignment="1">
      <alignment vertical="center"/>
    </xf>
    <xf numFmtId="2" fontId="7" fillId="0" borderId="2" xfId="0" applyNumberFormat="1" applyFont="1" applyFill="1" applyBorder="1" applyAlignment="1">
      <alignment vertical="center"/>
    </xf>
    <xf numFmtId="2" fontId="7" fillId="0" borderId="0" xfId="0" applyNumberFormat="1" applyFont="1" applyFill="1" applyBorder="1" applyAlignment="1">
      <alignment horizontal="right" vertical="center"/>
    </xf>
    <xf numFmtId="2" fontId="7" fillId="0" borderId="0" xfId="0" applyNumberFormat="1" applyFont="1" applyFill="1" applyBorder="1"/>
    <xf numFmtId="2" fontId="7" fillId="0" borderId="2" xfId="0" applyNumberFormat="1" applyFont="1" applyFill="1" applyBorder="1"/>
    <xf numFmtId="2" fontId="7" fillId="0" borderId="0" xfId="0" applyNumberFormat="1" applyFont="1" applyFill="1" applyBorder="1" applyAlignment="1">
      <alignment horizontal="right"/>
    </xf>
    <xf numFmtId="0" fontId="7" fillId="0" borderId="0" xfId="9" applyFont="1" applyFill="1" applyAlignment="1">
      <alignment horizontal="right"/>
    </xf>
    <xf numFmtId="0" fontId="10" fillId="0" borderId="0" xfId="9" applyFont="1" applyFill="1"/>
    <xf numFmtId="0" fontId="48" fillId="0" borderId="0" xfId="9" applyFont="1"/>
    <xf numFmtId="0" fontId="13" fillId="2" borderId="0" xfId="0" quotePrefix="1" applyFont="1" applyFill="1" applyAlignment="1">
      <alignment horizontal="left" vertical="center"/>
    </xf>
    <xf numFmtId="3" fontId="38" fillId="2" borderId="0" xfId="0" applyNumberFormat="1" applyFont="1" applyFill="1" applyBorder="1"/>
    <xf numFmtId="0" fontId="38" fillId="2" borderId="0" xfId="0" applyFont="1" applyFill="1"/>
    <xf numFmtId="0" fontId="11" fillId="0" borderId="0" xfId="9" applyFont="1" applyFill="1" applyBorder="1" applyAlignment="1">
      <alignment horizontal="center" vertical="center"/>
    </xf>
    <xf numFmtId="3" fontId="11" fillId="0" borderId="0" xfId="0" quotePrefix="1" applyNumberFormat="1" applyFont="1" applyFill="1" applyAlignment="1">
      <alignment vertical="center"/>
    </xf>
    <xf numFmtId="3" fontId="7" fillId="0" borderId="0" xfId="0" applyNumberFormat="1" applyFont="1" applyFill="1" applyAlignment="1">
      <alignment horizontal="left" vertical="center" indent="1"/>
    </xf>
    <xf numFmtId="3" fontId="7" fillId="0" borderId="0" xfId="0" quotePrefix="1" applyNumberFormat="1" applyFont="1" applyFill="1" applyBorder="1" applyAlignment="1">
      <alignment horizontal="right"/>
    </xf>
    <xf numFmtId="0" fontId="49" fillId="0" borderId="0" xfId="0" applyFont="1" applyFill="1"/>
    <xf numFmtId="3" fontId="7" fillId="0" borderId="0" xfId="0" quotePrefix="1" applyNumberFormat="1" applyFont="1" applyFill="1" applyAlignment="1">
      <alignment horizontal="left" vertical="center" indent="1"/>
    </xf>
    <xf numFmtId="0" fontId="7" fillId="0" borderId="0" xfId="0" applyFont="1" applyFill="1"/>
    <xf numFmtId="3" fontId="41" fillId="0" borderId="0" xfId="0" applyNumberFormat="1" applyFont="1" applyFill="1"/>
    <xf numFmtId="3" fontId="44" fillId="0" borderId="0" xfId="9" applyNumberFormat="1" applyFont="1" applyFill="1"/>
    <xf numFmtId="2" fontId="0" fillId="0" borderId="0" xfId="0" applyNumberFormat="1" applyFill="1"/>
    <xf numFmtId="3" fontId="8" fillId="0" borderId="0" xfId="0" quotePrefix="1" applyNumberFormat="1" applyFont="1" applyFill="1" applyAlignment="1">
      <alignment vertical="center"/>
    </xf>
    <xf numFmtId="0" fontId="0" fillId="7" borderId="0" xfId="0" applyFill="1"/>
    <xf numFmtId="0" fontId="7" fillId="0" borderId="0" xfId="9" applyFont="1"/>
    <xf numFmtId="0" fontId="31" fillId="0" borderId="0" xfId="10" applyFont="1" applyFill="1" applyAlignment="1">
      <alignment horizontal="left" vertical="center"/>
    </xf>
    <xf numFmtId="0" fontId="50" fillId="0" borderId="0" xfId="9" applyFont="1" applyFill="1"/>
    <xf numFmtId="3" fontId="50" fillId="0" borderId="0" xfId="0" applyNumberFormat="1" applyFont="1" applyFill="1"/>
    <xf numFmtId="164" fontId="17" fillId="0" borderId="0" xfId="0" applyNumberFormat="1" applyFont="1" applyFill="1" applyBorder="1" applyAlignment="1">
      <alignment horizontal="center" vertical="center"/>
    </xf>
    <xf numFmtId="1" fontId="17" fillId="0" borderId="0" xfId="0" applyNumberFormat="1" applyFont="1" applyFill="1" applyBorder="1" applyAlignment="1">
      <alignment vertical="center"/>
    </xf>
    <xf numFmtId="164" fontId="17" fillId="0" borderId="1" xfId="0" applyNumberFormat="1" applyFont="1" applyFill="1" applyBorder="1" applyAlignment="1">
      <alignment horizontal="center" vertical="center"/>
    </xf>
    <xf numFmtId="0" fontId="50" fillId="0" borderId="1" xfId="9" applyFont="1" applyFill="1" applyBorder="1"/>
    <xf numFmtId="3" fontId="50" fillId="0" borderId="1" xfId="0" applyNumberFormat="1" applyFont="1" applyFill="1" applyBorder="1"/>
    <xf numFmtId="164" fontId="17" fillId="0" borderId="1" xfId="0" quotePrefix="1" applyNumberFormat="1" applyFont="1" applyFill="1" applyBorder="1" applyAlignment="1">
      <alignment horizontal="center" vertical="center"/>
    </xf>
    <xf numFmtId="169" fontId="7" fillId="0" borderId="0" xfId="0" applyNumberFormat="1" applyFont="1" applyFill="1" applyBorder="1"/>
    <xf numFmtId="168" fontId="7" fillId="0" borderId="0" xfId="2" applyNumberFormat="1" applyFont="1" applyFill="1" applyBorder="1"/>
    <xf numFmtId="9" fontId="7" fillId="0" borderId="0" xfId="2" applyFont="1" applyFill="1" applyBorder="1"/>
    <xf numFmtId="49" fontId="8" fillId="0" borderId="0" xfId="0" applyNumberFormat="1" applyFont="1" applyFill="1" applyAlignment="1">
      <alignment vertical="top"/>
    </xf>
    <xf numFmtId="4" fontId="7" fillId="0" borderId="0" xfId="0" applyNumberFormat="1" applyFont="1" applyFill="1" applyBorder="1"/>
    <xf numFmtId="169" fontId="7" fillId="0" borderId="0" xfId="0" applyNumberFormat="1" applyFont="1" applyFill="1" applyBorder="1" applyAlignment="1">
      <alignment horizontal="right"/>
    </xf>
    <xf numFmtId="167" fontId="7" fillId="0" borderId="0" xfId="11" applyNumberFormat="1" applyFont="1" applyFill="1" applyAlignment="1">
      <alignment horizontal="right"/>
    </xf>
    <xf numFmtId="9" fontId="7" fillId="0" borderId="0" xfId="2" applyNumberFormat="1" applyFont="1" applyFill="1" applyAlignment="1">
      <alignment horizontal="right"/>
    </xf>
    <xf numFmtId="168" fontId="0" fillId="0" borderId="0" xfId="2" applyNumberFormat="1" applyFont="1"/>
    <xf numFmtId="0" fontId="51" fillId="2" borderId="0" xfId="10" applyFont="1" applyFill="1" applyBorder="1" applyAlignment="1">
      <alignment horizontal="left" vertical="center"/>
    </xf>
    <xf numFmtId="0" fontId="38" fillId="2" borderId="0" xfId="6" applyFont="1" applyFill="1" applyBorder="1"/>
    <xf numFmtId="0" fontId="10" fillId="0" borderId="0" xfId="6"/>
    <xf numFmtId="0" fontId="9" fillId="0" borderId="0" xfId="6" applyFont="1" applyFill="1" applyBorder="1" applyAlignment="1">
      <alignment horizontal="left" vertical="center"/>
    </xf>
    <xf numFmtId="0" fontId="31" fillId="0" borderId="0" xfId="10" applyFont="1" applyFill="1" applyBorder="1" applyAlignment="1">
      <alignment horizontal="left" vertical="center"/>
    </xf>
    <xf numFmtId="0" fontId="7" fillId="0" borderId="0" xfId="6" applyFont="1" applyFill="1" applyBorder="1"/>
    <xf numFmtId="0" fontId="17" fillId="0" borderId="1" xfId="6" applyFont="1" applyFill="1" applyBorder="1" applyAlignment="1">
      <alignment horizontal="right" vertical="center"/>
    </xf>
    <xf numFmtId="10" fontId="7" fillId="0" borderId="0" xfId="12" applyNumberFormat="1" applyFont="1" applyFill="1" applyBorder="1" applyAlignment="1">
      <alignment vertical="center"/>
    </xf>
    <xf numFmtId="10" fontId="0" fillId="0" borderId="0" xfId="13" applyNumberFormat="1" applyFont="1"/>
    <xf numFmtId="10" fontId="10" fillId="0" borderId="0" xfId="6" applyNumberFormat="1"/>
    <xf numFmtId="10" fontId="11" fillId="0" borderId="0" xfId="6" applyNumberFormat="1" applyFont="1" applyFill="1" applyBorder="1" applyAlignment="1">
      <alignment vertical="center"/>
    </xf>
    <xf numFmtId="10" fontId="7" fillId="0" borderId="0" xfId="9" applyNumberFormat="1" applyFont="1" applyFill="1" applyBorder="1" applyAlignment="1">
      <alignment horizontal="right"/>
    </xf>
    <xf numFmtId="10" fontId="11" fillId="0" borderId="0" xfId="9" applyNumberFormat="1" applyFont="1" applyFill="1" applyBorder="1" applyAlignment="1">
      <alignment horizontal="right"/>
    </xf>
    <xf numFmtId="10" fontId="7" fillId="0" borderId="0" xfId="6" applyNumberFormat="1" applyFont="1" applyFill="1" applyBorder="1" applyAlignment="1">
      <alignment vertical="center"/>
    </xf>
    <xf numFmtId="10" fontId="11" fillId="0" borderId="0" xfId="12" applyNumberFormat="1" applyFont="1" applyFill="1" applyBorder="1" applyAlignment="1">
      <alignment vertical="center"/>
    </xf>
    <xf numFmtId="3" fontId="15" fillId="0" borderId="0" xfId="6" applyNumberFormat="1" applyFont="1" applyFill="1" applyBorder="1" applyAlignment="1">
      <alignment vertical="center"/>
    </xf>
    <xf numFmtId="10" fontId="7" fillId="0" borderId="0" xfId="6" applyNumberFormat="1" applyFont="1" applyFill="1" applyBorder="1"/>
    <xf numFmtId="0" fontId="7" fillId="0" borderId="0" xfId="0" applyFont="1"/>
    <xf numFmtId="0" fontId="53" fillId="0" borderId="0" xfId="0" applyNumberFormat="1" applyFont="1" applyFill="1" applyBorder="1" applyAlignment="1">
      <alignment horizontal="left" vertical="center"/>
    </xf>
    <xf numFmtId="0" fontId="7" fillId="0" borderId="0" xfId="0" applyFont="1" applyFill="1" applyAlignment="1">
      <alignment horizontal="right" vertical="center"/>
    </xf>
    <xf numFmtId="170" fontId="17" fillId="0" borderId="1" xfId="0" applyNumberFormat="1" applyFont="1" applyFill="1" applyBorder="1" applyAlignment="1">
      <alignment horizontal="right" vertical="center"/>
    </xf>
    <xf numFmtId="0" fontId="54" fillId="0" borderId="0" xfId="0" applyFont="1" applyAlignment="1">
      <alignment horizontal="center"/>
    </xf>
    <xf numFmtId="3" fontId="11" fillId="0" borderId="0" xfId="0" applyNumberFormat="1" applyFont="1" applyFill="1" applyBorder="1" applyAlignment="1">
      <alignment horizontal="right"/>
    </xf>
    <xf numFmtId="172" fontId="54" fillId="0" borderId="0" xfId="1" applyNumberFormat="1" applyFont="1"/>
    <xf numFmtId="171" fontId="1" fillId="0" borderId="0" xfId="1" applyFont="1"/>
    <xf numFmtId="3" fontId="7" fillId="0" borderId="0" xfId="0" applyNumberFormat="1" applyFont="1" applyFill="1" applyAlignment="1">
      <alignment horizontal="left" vertical="center" indent="2"/>
    </xf>
    <xf numFmtId="3" fontId="7" fillId="0" borderId="0" xfId="0" applyNumberFormat="1" applyFont="1" applyFill="1" applyAlignment="1">
      <alignment horizontal="left" vertical="center"/>
    </xf>
    <xf numFmtId="14" fontId="40" fillId="0" borderId="0" xfId="0" applyNumberFormat="1" applyFont="1" applyFill="1" applyAlignment="1">
      <alignment vertical="center"/>
    </xf>
    <xf numFmtId="3" fontId="40" fillId="0" borderId="0" xfId="0" applyNumberFormat="1" applyFont="1" applyFill="1" applyAlignment="1">
      <alignment vertical="center"/>
    </xf>
    <xf numFmtId="3" fontId="41" fillId="0" borderId="0" xfId="0" applyNumberFormat="1" applyFont="1" applyFill="1" applyBorder="1" applyAlignment="1">
      <alignment horizontal="right"/>
    </xf>
    <xf numFmtId="3" fontId="8" fillId="0" borderId="0" xfId="6" applyNumberFormat="1" applyFont="1" applyFill="1" applyBorder="1" applyAlignment="1">
      <alignment vertical="center"/>
    </xf>
    <xf numFmtId="0" fontId="10" fillId="0" borderId="0" xfId="0" applyFont="1" applyFill="1"/>
    <xf numFmtId="0" fontId="55" fillId="2" borderId="0" xfId="5" applyFont="1" applyFill="1"/>
    <xf numFmtId="0" fontId="1" fillId="0" borderId="0" xfId="5" applyAlignment="1">
      <alignment horizontal="right"/>
    </xf>
    <xf numFmtId="0" fontId="1" fillId="0" borderId="0" xfId="5"/>
    <xf numFmtId="0" fontId="9" fillId="7" borderId="0" xfId="0" applyFont="1" applyFill="1" applyBorder="1" applyAlignment="1">
      <alignment horizontal="left" vertical="center"/>
    </xf>
    <xf numFmtId="0" fontId="9" fillId="0" borderId="0" xfId="5" applyFont="1" applyFill="1" applyAlignment="1">
      <alignment horizontal="left" vertical="center"/>
    </xf>
    <xf numFmtId="0" fontId="7" fillId="0" borderId="0" xfId="5" applyFont="1" applyFill="1" applyAlignment="1">
      <alignment vertical="center"/>
    </xf>
    <xf numFmtId="164" fontId="7" fillId="0" borderId="0" xfId="5" applyNumberFormat="1" applyFont="1" applyFill="1" applyBorder="1" applyAlignment="1">
      <alignment horizontal="right" vertical="center"/>
    </xf>
    <xf numFmtId="3" fontId="7" fillId="0" borderId="0" xfId="5" applyNumberFormat="1" applyFont="1" applyFill="1" applyBorder="1" applyAlignment="1">
      <alignment horizontal="right"/>
    </xf>
    <xf numFmtId="3" fontId="1" fillId="0" borderId="0" xfId="5" applyNumberFormat="1"/>
    <xf numFmtId="0" fontId="0" fillId="0" borderId="0" xfId="5" applyFont="1" applyAlignment="1">
      <alignment horizontal="right"/>
    </xf>
    <xf numFmtId="3" fontId="11" fillId="0" borderId="0" xfId="5" applyNumberFormat="1" applyFont="1" applyFill="1" applyBorder="1" applyAlignment="1">
      <alignment horizontal="right"/>
    </xf>
    <xf numFmtId="165" fontId="56" fillId="0" borderId="0" xfId="5" applyNumberFormat="1" applyFont="1" applyFill="1"/>
    <xf numFmtId="165" fontId="12" fillId="0" borderId="0" xfId="5" applyNumberFormat="1" applyFont="1" applyFill="1"/>
    <xf numFmtId="0" fontId="0" fillId="0" borderId="0" xfId="5" applyFont="1"/>
    <xf numFmtId="3" fontId="12" fillId="0" borderId="0" xfId="5" applyNumberFormat="1" applyFont="1" applyFill="1"/>
    <xf numFmtId="0" fontId="1" fillId="0" borderId="0" xfId="5" applyFill="1" applyBorder="1"/>
    <xf numFmtId="0" fontId="1" fillId="0" borderId="0" xfId="5" applyFont="1" applyAlignment="1">
      <alignment horizontal="right"/>
    </xf>
    <xf numFmtId="3" fontId="11" fillId="0" borderId="0" xfId="5" applyNumberFormat="1" applyFont="1" applyFill="1" applyBorder="1" applyAlignment="1">
      <alignment vertical="center"/>
    </xf>
    <xf numFmtId="3" fontId="8" fillId="0" borderId="0" xfId="5" applyNumberFormat="1" applyFont="1" applyFill="1" applyAlignment="1">
      <alignment vertical="center"/>
    </xf>
    <xf numFmtId="165" fontId="12" fillId="0" borderId="0" xfId="5" applyNumberFormat="1" applyFont="1" applyFill="1" applyBorder="1"/>
    <xf numFmtId="0" fontId="1" fillId="0" borderId="0" xfId="5" applyFill="1"/>
    <xf numFmtId="173" fontId="1" fillId="0" borderId="0" xfId="5" applyNumberFormat="1"/>
    <xf numFmtId="0" fontId="57" fillId="0" borderId="0" xfId="5" applyFont="1"/>
    <xf numFmtId="3" fontId="56" fillId="0" borderId="0" xfId="5" applyNumberFormat="1" applyFont="1" applyFill="1"/>
    <xf numFmtId="0" fontId="39" fillId="0" borderId="0" xfId="5" applyFont="1"/>
    <xf numFmtId="0" fontId="13" fillId="2" borderId="0" xfId="5" quotePrefix="1" applyFont="1" applyFill="1" applyAlignment="1">
      <alignment horizontal="left" vertical="center"/>
    </xf>
    <xf numFmtId="3" fontId="11" fillId="0" borderId="0" xfId="5" quotePrefix="1" applyNumberFormat="1" applyFont="1" applyFill="1" applyAlignment="1">
      <alignment vertical="center"/>
    </xf>
    <xf numFmtId="3" fontId="7" fillId="0" borderId="0" xfId="5" quotePrefix="1" applyNumberFormat="1" applyFont="1" applyFill="1" applyAlignment="1">
      <alignment vertical="center"/>
    </xf>
    <xf numFmtId="3" fontId="7" fillId="0" borderId="0" xfId="5" quotePrefix="1" applyNumberFormat="1" applyFont="1" applyFill="1" applyAlignment="1">
      <alignment horizontal="left" vertical="center" indent="2"/>
    </xf>
    <xf numFmtId="3" fontId="7" fillId="0" borderId="0" xfId="5" applyNumberFormat="1" applyFont="1" applyFill="1" applyAlignment="1">
      <alignment horizontal="left" vertical="center" indent="2"/>
    </xf>
    <xf numFmtId="3" fontId="7" fillId="0" borderId="0" xfId="5" quotePrefix="1" applyNumberFormat="1" applyFont="1" applyFill="1" applyBorder="1" applyAlignment="1">
      <alignment horizontal="right"/>
    </xf>
    <xf numFmtId="165" fontId="41" fillId="0" borderId="0" xfId="5" applyNumberFormat="1" applyFont="1" applyFill="1" applyBorder="1" applyAlignment="1">
      <alignment horizontal="right"/>
    </xf>
    <xf numFmtId="3" fontId="8" fillId="0" borderId="0" xfId="0" applyNumberFormat="1" applyFont="1" applyFill="1" applyBorder="1" applyAlignment="1">
      <alignment horizontal="left" vertical="top" wrapText="1"/>
    </xf>
    <xf numFmtId="0" fontId="17" fillId="0" borderId="0" xfId="0" applyFont="1" applyFill="1" applyBorder="1" applyAlignment="1">
      <alignment horizontal="center" wrapText="1"/>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6" fillId="0" borderId="1" xfId="0" applyFont="1" applyFill="1" applyBorder="1" applyAlignment="1">
      <alignment horizontal="center" vertical="center"/>
    </xf>
    <xf numFmtId="0" fontId="17" fillId="0" borderId="0" xfId="6" applyFont="1" applyFill="1" applyBorder="1" applyAlignment="1">
      <alignment horizontal="center" wrapText="1"/>
    </xf>
    <xf numFmtId="0" fontId="52" fillId="0" borderId="0" xfId="6" applyFont="1" applyFill="1" applyBorder="1" applyAlignment="1">
      <alignment horizontal="center"/>
    </xf>
    <xf numFmtId="0" fontId="17" fillId="0" borderId="0" xfId="0" applyFont="1" applyFill="1" applyBorder="1" applyAlignment="1">
      <alignment horizontal="center" vertical="center"/>
    </xf>
    <xf numFmtId="0" fontId="17" fillId="0" borderId="0" xfId="5" applyFont="1" applyFill="1" applyAlignment="1">
      <alignment horizontal="center" vertical="center" wrapText="1"/>
    </xf>
    <xf numFmtId="0" fontId="17" fillId="0" borderId="0" xfId="5" quotePrefix="1" applyFont="1" applyFill="1" applyAlignment="1">
      <alignment horizontal="center" vertical="center" wrapText="1"/>
    </xf>
  </cellXfs>
  <cellStyles count="14">
    <cellStyle name="Millares" xfId="1" builtinId="3"/>
    <cellStyle name="Normal" xfId="0" builtinId="0"/>
    <cellStyle name="Normal 193" xfId="6"/>
    <cellStyle name="Normal 2" xfId="8"/>
    <cellStyle name="Normal 2 3" xfId="4"/>
    <cellStyle name="Normal 29" xfId="5"/>
    <cellStyle name="Normal_08 pagweb-4T08 1 2" xfId="7"/>
    <cellStyle name="Normal_ANEXO" xfId="9"/>
    <cellStyle name="Normal_Anexo analistas 1T06 vínculos" xfId="10"/>
    <cellStyle name="Normal_Series web Sabadell 1T10-desprotegido" xfId="3"/>
    <cellStyle name="Porcentaje" xfId="2" builtinId="5"/>
    <cellStyle name="Porcentaje 16" xfId="13"/>
    <cellStyle name="Porcentaje 2" xfId="11"/>
    <cellStyle name="Porcentaje 4" xfId="12"/>
  </cellStyles>
  <dxfs count="1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ont>
        <color rgb="FFFF0000"/>
      </font>
    </dxf>
    <dxf>
      <fill>
        <patternFill>
          <bgColor rgb="FFC00000"/>
        </patternFill>
      </fill>
    </dxf>
    <dxf>
      <font>
        <color rgb="FFFF0000"/>
      </font>
    </dxf>
    <dxf>
      <font>
        <color rgb="FFFF0000"/>
      </font>
    </dxf>
    <dxf>
      <font>
        <color rgb="FFFF0000"/>
      </font>
    </dxf>
    <dxf>
      <font>
        <color rgb="FFFF0000"/>
      </font>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ICE!C16"/></Relationships>
</file>

<file path=xl/drawings/_rels/drawing11.xml.rels><?xml version="1.0" encoding="UTF-8" standalone="yes"?>
<Relationships xmlns="http://schemas.openxmlformats.org/package/2006/relationships"><Relationship Id="rId1" Type="http://schemas.openxmlformats.org/officeDocument/2006/relationships/hyperlink" Target="#INDICE!C17"/></Relationships>
</file>

<file path=xl/drawings/_rels/drawing12.xml.rels><?xml version="1.0" encoding="UTF-8" standalone="yes"?>
<Relationships xmlns="http://schemas.openxmlformats.org/package/2006/relationships"><Relationship Id="rId1" Type="http://schemas.openxmlformats.org/officeDocument/2006/relationships/hyperlink" Target="#INDICE!C18"/></Relationships>
</file>

<file path=xl/drawings/_rels/drawing13.xml.rels><?xml version="1.0" encoding="UTF-8" standalone="yes"?>
<Relationships xmlns="http://schemas.openxmlformats.org/package/2006/relationships"><Relationship Id="rId1" Type="http://schemas.openxmlformats.org/officeDocument/2006/relationships/hyperlink" Target="#INDICE!C19"/></Relationships>
</file>

<file path=xl/drawings/_rels/drawing14.xml.rels><?xml version="1.0" encoding="UTF-8" standalone="yes"?>
<Relationships xmlns="http://schemas.openxmlformats.org/package/2006/relationships"><Relationship Id="rId1" Type="http://schemas.openxmlformats.org/officeDocument/2006/relationships/hyperlink" Target="#INDICE!C22"/></Relationships>
</file>

<file path=xl/drawings/_rels/drawing15.xml.rels><?xml version="1.0" encoding="UTF-8" standalone="yes"?>
<Relationships xmlns="http://schemas.openxmlformats.org/package/2006/relationships"><Relationship Id="rId1" Type="http://schemas.openxmlformats.org/officeDocument/2006/relationships/hyperlink" Target="#INDICE!C24"/></Relationships>
</file>

<file path=xl/drawings/_rels/drawing16.xml.rels><?xml version="1.0" encoding="UTF-8" standalone="yes"?>
<Relationships xmlns="http://schemas.openxmlformats.org/package/2006/relationships"><Relationship Id="rId1" Type="http://schemas.openxmlformats.org/officeDocument/2006/relationships/hyperlink" Target="#INDICE!C25"/></Relationships>
</file>

<file path=xl/drawings/_rels/drawing17.xml.rels><?xml version="1.0" encoding="UTF-8" standalone="yes"?>
<Relationships xmlns="http://schemas.openxmlformats.org/package/2006/relationships"><Relationship Id="rId1" Type="http://schemas.openxmlformats.org/officeDocument/2006/relationships/hyperlink" Target="#INDICE!C26"/></Relationships>
</file>

<file path=xl/drawings/_rels/drawing18.xml.rels><?xml version="1.0" encoding="UTF-8" standalone="yes"?>
<Relationships xmlns="http://schemas.openxmlformats.org/package/2006/relationships"><Relationship Id="rId1" Type="http://schemas.openxmlformats.org/officeDocument/2006/relationships/hyperlink" Target="#INDICE!C27"/></Relationships>
</file>

<file path=xl/drawings/_rels/drawing19.xml.rels><?xml version="1.0" encoding="UTF-8" standalone="yes"?>
<Relationships xmlns="http://schemas.openxmlformats.org/package/2006/relationships"><Relationship Id="rId1" Type="http://schemas.openxmlformats.org/officeDocument/2006/relationships/hyperlink" Target="#INDICE!C31"/></Relationships>
</file>

<file path=xl/drawings/_rels/drawing2.xml.rels><?xml version="1.0" encoding="UTF-8" standalone="yes"?>
<Relationships xmlns="http://schemas.openxmlformats.org/package/2006/relationships"><Relationship Id="rId1" Type="http://schemas.openxmlformats.org/officeDocument/2006/relationships/hyperlink" Target="#INDICE!C5"/></Relationships>
</file>

<file path=xl/drawings/_rels/drawing20.xml.rels><?xml version="1.0" encoding="UTF-8" standalone="yes"?>
<Relationships xmlns="http://schemas.openxmlformats.org/package/2006/relationships"><Relationship Id="rId1" Type="http://schemas.openxmlformats.org/officeDocument/2006/relationships/hyperlink" Target="#INDICE!C32"/></Relationships>
</file>

<file path=xl/drawings/_rels/drawing21.xml.rels><?xml version="1.0" encoding="UTF-8" standalone="yes"?>
<Relationships xmlns="http://schemas.openxmlformats.org/package/2006/relationships"><Relationship Id="rId1" Type="http://schemas.openxmlformats.org/officeDocument/2006/relationships/hyperlink" Target="#INDICE!C33"/></Relationships>
</file>

<file path=xl/drawings/_rels/drawing22.xml.rels><?xml version="1.0" encoding="UTF-8" standalone="yes"?>
<Relationships xmlns="http://schemas.openxmlformats.org/package/2006/relationships"><Relationship Id="rId1" Type="http://schemas.openxmlformats.org/officeDocument/2006/relationships/hyperlink" Target="#INDICE!C34"/></Relationships>
</file>

<file path=xl/drawings/_rels/drawing23.xml.rels><?xml version="1.0" encoding="UTF-8" standalone="yes"?>
<Relationships xmlns="http://schemas.openxmlformats.org/package/2006/relationships"><Relationship Id="rId1" Type="http://schemas.openxmlformats.org/officeDocument/2006/relationships/hyperlink" Target="#INDICE!C35"/></Relationships>
</file>

<file path=xl/drawings/_rels/drawing3.xml.rels><?xml version="1.0" encoding="UTF-8" standalone="yes"?>
<Relationships xmlns="http://schemas.openxmlformats.org/package/2006/relationships"><Relationship Id="rId1" Type="http://schemas.openxmlformats.org/officeDocument/2006/relationships/hyperlink" Target="#INDICE!C7"/></Relationships>
</file>

<file path=xl/drawings/_rels/drawing4.xml.rels><?xml version="1.0" encoding="UTF-8" standalone="yes"?>
<Relationships xmlns="http://schemas.openxmlformats.org/package/2006/relationships"><Relationship Id="rId1" Type="http://schemas.openxmlformats.org/officeDocument/2006/relationships/hyperlink" Target="#INDICE!C9"/></Relationships>
</file>

<file path=xl/drawings/_rels/drawing5.xml.rels><?xml version="1.0" encoding="UTF-8" standalone="yes"?>
<Relationships xmlns="http://schemas.openxmlformats.org/package/2006/relationships"><Relationship Id="rId1" Type="http://schemas.openxmlformats.org/officeDocument/2006/relationships/hyperlink" Target="#INDICE!C11"/></Relationships>
</file>

<file path=xl/drawings/_rels/drawing6.xml.rels><?xml version="1.0" encoding="UTF-8" standalone="yes"?>
<Relationships xmlns="http://schemas.openxmlformats.org/package/2006/relationships"><Relationship Id="rId1" Type="http://schemas.openxmlformats.org/officeDocument/2006/relationships/hyperlink" Target="#INDICE!C12"/></Relationships>
</file>

<file path=xl/drawings/_rels/drawing7.xml.rels><?xml version="1.0" encoding="UTF-8" standalone="yes"?>
<Relationships xmlns="http://schemas.openxmlformats.org/package/2006/relationships"><Relationship Id="rId1" Type="http://schemas.openxmlformats.org/officeDocument/2006/relationships/hyperlink" Target="#INDICE!C13"/></Relationships>
</file>

<file path=xl/drawings/_rels/drawing8.xml.rels><?xml version="1.0" encoding="UTF-8" standalone="yes"?>
<Relationships xmlns="http://schemas.openxmlformats.org/package/2006/relationships"><Relationship Id="rId1" Type="http://schemas.openxmlformats.org/officeDocument/2006/relationships/hyperlink" Target="#INDICE!C14"/></Relationships>
</file>

<file path=xl/drawings/_rels/drawing9.xml.rels><?xml version="1.0" encoding="UTF-8" standalone="yes"?>
<Relationships xmlns="http://schemas.openxmlformats.org/package/2006/relationships"><Relationship Id="rId1" Type="http://schemas.openxmlformats.org/officeDocument/2006/relationships/hyperlink" Target="#INDICE!C1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11906</xdr:colOff>
      <xdr:row>5</xdr:row>
      <xdr:rowOff>83344</xdr:rowOff>
    </xdr:from>
    <xdr:to>
      <xdr:col>0</xdr:col>
      <xdr:colOff>309563</xdr:colOff>
      <xdr:row>6</xdr:row>
      <xdr:rowOff>273843</xdr:rowOff>
    </xdr:to>
    <xdr:sp macro="" textlink="">
      <xdr:nvSpPr>
        <xdr:cNvPr id="8" name="1 CuadroTexto"/>
        <xdr:cNvSpPr txBox="1"/>
      </xdr:nvSpPr>
      <xdr:spPr>
        <a:xfrm>
          <a:off x="11906" y="1476375"/>
          <a:ext cx="297657" cy="2738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xdr:row>
          <xdr:rowOff>209550</xdr:rowOff>
        </xdr:from>
        <xdr:to>
          <xdr:col>1</xdr:col>
          <xdr:colOff>260350</xdr:colOff>
          <xdr:row>7</xdr:row>
          <xdr:rowOff>247650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solidFill>
              <a:srgbClr val="0A5F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xdr:row>
          <xdr:rowOff>190500</xdr:rowOff>
        </xdr:from>
        <xdr:to>
          <xdr:col>1</xdr:col>
          <xdr:colOff>260350</xdr:colOff>
          <xdr:row>9</xdr:row>
          <xdr:rowOff>165100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solidFill>
              <a:srgbClr val="A7CFE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ENGLISH</a:t>
              </a:r>
            </a:p>
          </xdr:txBody>
        </xdr:sp>
        <xdr:clientData/>
      </xdr:twoCellAnchor>
    </mc:Choice>
    <mc:Fallback/>
  </mc:AlternateContent>
  <xdr:twoCellAnchor editAs="oneCell">
    <xdr:from>
      <xdr:col>0</xdr:col>
      <xdr:colOff>416719</xdr:colOff>
      <xdr:row>0</xdr:row>
      <xdr:rowOff>273844</xdr:rowOff>
    </xdr:from>
    <xdr:to>
      <xdr:col>1</xdr:col>
      <xdr:colOff>607219</xdr:colOff>
      <xdr:row>4</xdr:row>
      <xdr:rowOff>33338</xdr:rowOff>
    </xdr:to>
    <xdr:pic>
      <xdr:nvPicPr>
        <xdr:cNvPr id="1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273844"/>
          <a:ext cx="2886075" cy="9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1089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07072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993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64770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291353</xdr:colOff>
      <xdr:row>0</xdr:row>
      <xdr:rowOff>143995</xdr:rowOff>
    </xdr:from>
    <xdr:to>
      <xdr:col>10</xdr:col>
      <xdr:colOff>414618</xdr:colOff>
      <xdr:row>4</xdr:row>
      <xdr:rowOff>11216</xdr:rowOff>
    </xdr:to>
    <xdr:sp macro="" textlink="">
      <xdr:nvSpPr>
        <xdr:cNvPr id="2" name="1 Rectángulo redondeado">
          <a:hlinkClick xmlns:r="http://schemas.openxmlformats.org/officeDocument/2006/relationships" r:id="rId1"/>
        </xdr:cNvPr>
        <xdr:cNvSpPr/>
      </xdr:nvSpPr>
      <xdr:spPr bwMode="auto">
        <a:xfrm>
          <a:off x="8339978" y="143995"/>
          <a:ext cx="961465" cy="6577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324970</xdr:colOff>
      <xdr:row>0</xdr:row>
      <xdr:rowOff>134470</xdr:rowOff>
    </xdr:from>
    <xdr:to>
      <xdr:col>11</xdr:col>
      <xdr:colOff>11205</xdr:colOff>
      <xdr:row>4</xdr:row>
      <xdr:rowOff>44822</xdr:rowOff>
    </xdr:to>
    <xdr:sp macro="" textlink="">
      <xdr:nvSpPr>
        <xdr:cNvPr id="2" name="1 Rectángulo redondeado">
          <a:hlinkClick xmlns:r="http://schemas.openxmlformats.org/officeDocument/2006/relationships" r:id="rId1"/>
        </xdr:cNvPr>
        <xdr:cNvSpPr/>
      </xdr:nvSpPr>
      <xdr:spPr bwMode="auto">
        <a:xfrm>
          <a:off x="9164170" y="134470"/>
          <a:ext cx="962585" cy="62472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19050</xdr:colOff>
      <xdr:row>1</xdr:row>
      <xdr:rowOff>285750</xdr:rowOff>
    </xdr:from>
    <xdr:to>
      <xdr:col>11</xdr:col>
      <xdr:colOff>218515</xdr:colOff>
      <xdr:row>3</xdr:row>
      <xdr:rowOff>133921</xdr:rowOff>
    </xdr:to>
    <xdr:sp macro="" textlink="">
      <xdr:nvSpPr>
        <xdr:cNvPr id="2" name="1 Rectángulo redondeado">
          <a:hlinkClick xmlns:r="http://schemas.openxmlformats.org/officeDocument/2006/relationships" r:id="rId1"/>
        </xdr:cNvPr>
        <xdr:cNvSpPr/>
      </xdr:nvSpPr>
      <xdr:spPr bwMode="auto">
        <a:xfrm>
          <a:off x="8467725" y="514350"/>
          <a:ext cx="961465" cy="4672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582707</xdr:colOff>
      <xdr:row>2</xdr:row>
      <xdr:rowOff>190500</xdr:rowOff>
    </xdr:from>
    <xdr:to>
      <xdr:col>10</xdr:col>
      <xdr:colOff>705971</xdr:colOff>
      <xdr:row>5</xdr:row>
      <xdr:rowOff>22411</xdr:rowOff>
    </xdr:to>
    <xdr:sp macro="" textlink="">
      <xdr:nvSpPr>
        <xdr:cNvPr id="2" name="1 Rectángulo redondeado">
          <a:hlinkClick xmlns:r="http://schemas.openxmlformats.org/officeDocument/2006/relationships" r:id="rId1"/>
        </xdr:cNvPr>
        <xdr:cNvSpPr/>
      </xdr:nvSpPr>
      <xdr:spPr bwMode="auto">
        <a:xfrm>
          <a:off x="8831357" y="609600"/>
          <a:ext cx="885264" cy="47961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142875</xdr:rowOff>
    </xdr:to>
    <xdr:sp macro="" textlink="">
      <xdr:nvSpPr>
        <xdr:cNvPr id="2" name="1 Rectángulo redondeado">
          <a:hlinkClick xmlns:r="http://schemas.openxmlformats.org/officeDocument/2006/relationships" r:id="rId1"/>
        </xdr:cNvPr>
        <xdr:cNvSpPr/>
      </xdr:nvSpPr>
      <xdr:spPr bwMode="auto">
        <a:xfrm>
          <a:off x="8524875" y="409575"/>
          <a:ext cx="963775" cy="542925"/>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77570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85725</xdr:colOff>
      <xdr:row>1</xdr:row>
      <xdr:rowOff>152400</xdr:rowOff>
    </xdr:from>
    <xdr:to>
      <xdr:col>11</xdr:col>
      <xdr:colOff>68425</xdr:colOff>
      <xdr:row>4</xdr:row>
      <xdr:rowOff>104775</xdr:rowOff>
    </xdr:to>
    <xdr:sp macro="" textlink="">
      <xdr:nvSpPr>
        <xdr:cNvPr id="2" name="1 Rectángulo redondeado">
          <a:hlinkClick xmlns:r="http://schemas.openxmlformats.org/officeDocument/2006/relationships" r:id="rId1"/>
        </xdr:cNvPr>
        <xdr:cNvSpPr/>
      </xdr:nvSpPr>
      <xdr:spPr bwMode="auto">
        <a:xfrm>
          <a:off x="10544175" y="381000"/>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134470</xdr:colOff>
      <xdr:row>2</xdr:row>
      <xdr:rowOff>0</xdr:rowOff>
    </xdr:from>
    <xdr:to>
      <xdr:col>12</xdr:col>
      <xdr:colOff>313833</xdr:colOff>
      <xdr:row>4</xdr:row>
      <xdr:rowOff>129989</xdr:rowOff>
    </xdr:to>
    <xdr:sp macro="" textlink="">
      <xdr:nvSpPr>
        <xdr:cNvPr id="2" name="1 Rectángulo redondeado">
          <a:hlinkClick xmlns:r="http://schemas.openxmlformats.org/officeDocument/2006/relationships" r:id="rId1"/>
        </xdr:cNvPr>
        <xdr:cNvSpPr/>
      </xdr:nvSpPr>
      <xdr:spPr bwMode="auto">
        <a:xfrm>
          <a:off x="10297645" y="428625"/>
          <a:ext cx="960413" cy="530039"/>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145677</xdr:colOff>
      <xdr:row>0</xdr:row>
      <xdr:rowOff>224117</xdr:rowOff>
    </xdr:from>
    <xdr:to>
      <xdr:col>11</xdr:col>
      <xdr:colOff>1109452</xdr:colOff>
      <xdr:row>3</xdr:row>
      <xdr:rowOff>129988</xdr:rowOff>
    </xdr:to>
    <xdr:sp macro="" textlink="">
      <xdr:nvSpPr>
        <xdr:cNvPr id="2" name="1 Rectángulo redondeado">
          <a:hlinkClick xmlns:r="http://schemas.openxmlformats.org/officeDocument/2006/relationships" r:id="rId1"/>
        </xdr:cNvPr>
        <xdr:cNvSpPr/>
      </xdr:nvSpPr>
      <xdr:spPr bwMode="auto">
        <a:xfrm>
          <a:off x="9442077" y="224117"/>
          <a:ext cx="963775" cy="53452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133350</xdr:rowOff>
    </xdr:to>
    <xdr:sp macro="" textlink="">
      <xdr:nvSpPr>
        <xdr:cNvPr id="2" name="1 Rectángulo redondeado">
          <a:hlinkClick xmlns:r="http://schemas.openxmlformats.org/officeDocument/2006/relationships" r:id="rId1"/>
        </xdr:cNvPr>
        <xdr:cNvSpPr/>
      </xdr:nvSpPr>
      <xdr:spPr bwMode="auto">
        <a:xfrm>
          <a:off x="9105900" y="428625"/>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0</xdr:rowOff>
    </xdr:from>
    <xdr:to>
      <xdr:col>11</xdr:col>
      <xdr:colOff>448286</xdr:colOff>
      <xdr:row>7</xdr:row>
      <xdr:rowOff>65553</xdr:rowOff>
    </xdr:to>
    <xdr:sp macro="" textlink="">
      <xdr:nvSpPr>
        <xdr:cNvPr id="2" name="1 Rectángulo redondeado">
          <a:hlinkClick xmlns:r="http://schemas.openxmlformats.org/officeDocument/2006/relationships" r:id="rId1"/>
        </xdr:cNvPr>
        <xdr:cNvSpPr/>
      </xdr:nvSpPr>
      <xdr:spPr bwMode="auto">
        <a:xfrm>
          <a:off x="12553950" y="704850"/>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9565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8517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orate%20Finance\2006%20Budget\Corporate%20Finance\Monthly%20Reports\Rate%20Volume\Performance%20Comparison%20-Augu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ries%20Web/2018/Corporate%20Finance/2006%20Budget/Corporate%20Finance/Monthly%20Reports/Rate%20Volume/Performance%20Comparison%20-Augu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A81G369\BUDGET%20&amp;%20GROUP%20ANALYSIS\Series%20WEB\Corporate%20Finance\2006%20Budget\Corporate%20Finance\Monthly%20Reports\Rate%20Volume\Performance%20Comparison%20-Augu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eries%20Web/2017/Corporate%20Finance/2006%20Budget/Corporate%20Finance/Monthly%20Reports/Rate%20Volume/Performance%20Comparison%20-Augu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A81G369\BUDGET%20&amp;%20GROUP%20ANALYSIS\Series%20WEB\Series_web_SPG24%20ofi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ES48\D1\APPS\2000Budget\SusannaF\LOB\Houston%20Corporate\Business%20Ban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x0141496\X0141496\ccr-new\CCR%20with%20TriS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ies%20Web/2018/TEMP/reporting%20web%202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A81G369\BUDGET%20&amp;%20GROUP%20ANALYSIS\Series%20WEB\TEMP\reporting%20web%202T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ries%20Web/2017/TEMP/reporting%20web%202T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Series%20Web\2018\TEMP\reporting%20web%202T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PLAN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Series%20Web\2018\Corporate%20Finance\2006%20Budget\Corporate%20Finance\Monthly%20Reports\Rate%20Volume\Performance%20Comparison%20-Augu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R"/>
      <sheetName val="BBVABAL"/>
      <sheetName val="BBVARES"/>
      <sheetName val="ESPBAL"/>
      <sheetName val="ESPRES"/>
      <sheetName val="MEXBAL"/>
      <sheetName val="MEXRES"/>
      <sheetName val="TURRES"/>
      <sheetName val="TURBAL"/>
      <sheetName val="ADSRES"/>
      <sheetName val="ADSBAL"/>
      <sheetName val="ARGRES"/>
      <sheetName val="ARGBAL"/>
      <sheetName val="CHIBAL"/>
      <sheetName val="CHIRES"/>
      <sheetName val="COLBAL"/>
      <sheetName val="COLRES"/>
      <sheetName val="PERBAL"/>
      <sheetName val="PERES"/>
      <sheetName val="VENBAL"/>
      <sheetName val="VENRES"/>
      <sheetName val="CIBBAL"/>
      <sheetName val="HOLRES"/>
      <sheetName val="HOLBAL"/>
      <sheetName val="CIBRES"/>
      <sheetName val="RESTRES"/>
      <sheetName val="RESTBAL"/>
      <sheetName val="ELIMRES"/>
      <sheetName val="ELIMBAL"/>
      <sheetName val="HIPRES"/>
      <sheetName val="HIPBAL"/>
      <sheetName val="Actividad"/>
      <sheetName val="RATIO EFICIENCIA"/>
      <sheetName val="TASA DE MORA"/>
      <sheetName val="COSTE DE RIESGO"/>
      <sheetName val="COBERTURA"/>
      <sheetName val="Consulta tipos"/>
      <sheetName val="APR"/>
      <sheetName val="AjustesKreg2024"/>
      <sheetName val="Manuales&gt;&gt;&gt;&gt;"/>
      <sheetName val="Pegado Balance"/>
      <sheetName val="Chile Pegado"/>
      <sheetName val="InversionTotalPegado"/>
      <sheetName val="RecursosTotalPegado"/>
      <sheetName val="Inversion España"/>
      <sheetName val="Inversion Mexico"/>
      <sheetName val="Inversion Turquia"/>
      <sheetName val="Inversion USA"/>
      <sheetName val="Inversion AdS"/>
      <sheetName val="Recursos AdS"/>
      <sheetName val="Pegado Diferenciales"/>
      <sheetName val="Emp ofic caje pegado"/>
      <sheetName val="ALCO_pegado"/>
      <sheetName val="SALIDAS--&gt;&gt;&gt;"/>
      <sheetName val="Pegado Aj Cap REG CIB 2024"/>
      <sheetName val="Nombres"/>
      <sheetName val="INDICE"/>
      <sheetName val="Cuenta de Resultados"/>
      <sheetName val="Balance"/>
      <sheetName val="España"/>
      <sheetName val="Mexico"/>
      <sheetName val="Turquia"/>
      <sheetName val="AdS"/>
      <sheetName val="Argentina"/>
      <sheetName val="Chile"/>
      <sheetName val="Colombia"/>
      <sheetName val="Peru"/>
      <sheetName val="Resto de Negocios"/>
      <sheetName val="Centro Corporativo"/>
      <sheetName val="Corporate &amp; Investment Banking"/>
      <sheetName val="Eficiencia"/>
      <sheetName val="Mora,cobertura,coste de riesgo"/>
      <sheetName val="Empleados, oficinas y cajeros"/>
      <sheetName val="Tipos de Cambio"/>
      <sheetName val="Diferenciales"/>
      <sheetName val="APRs"/>
      <sheetName val="Inversion"/>
      <sheetName val="Recursos"/>
      <sheetName val="ALCO"/>
      <sheetName val="Control"/>
      <sheetName val="Centro Eliminaciones"/>
      <sheetName val="BBVA Con Inversion"/>
      <sheetName val="Balance SPG"/>
      <sheetName val="Turquia hiper"/>
      <sheetName val="Hoja4"/>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C3">
            <v>7</v>
          </cell>
          <cell r="D3">
            <v>8</v>
          </cell>
        </row>
        <row r="4">
          <cell r="C4" t="str">
            <v>Series trimestrales 2023-2024</v>
          </cell>
          <cell r="D4" t="str">
            <v>Quarterly series 2023-2024</v>
          </cell>
        </row>
        <row r="5">
          <cell r="C5" t="str">
            <v>Grupo BBVA</v>
          </cell>
          <cell r="D5" t="str">
            <v>BBVA Group</v>
          </cell>
        </row>
        <row r="6">
          <cell r="C6" t="str">
            <v>Cuentas de resultados consolidadas</v>
          </cell>
          <cell r="D6" t="str">
            <v>Consolidated income statement</v>
          </cell>
        </row>
        <row r="7">
          <cell r="C7" t="str">
            <v>Balances de situación consolidados</v>
          </cell>
          <cell r="D7" t="str">
            <v>Consolidated balance sheet</v>
          </cell>
        </row>
        <row r="8">
          <cell r="C8" t="str">
            <v>Áreas de negocio</v>
          </cell>
          <cell r="D8" t="str">
            <v>Business areas</v>
          </cell>
        </row>
        <row r="9">
          <cell r="C9" t="str">
            <v>España</v>
          </cell>
          <cell r="D9" t="str">
            <v>Spain</v>
          </cell>
        </row>
        <row r="10">
          <cell r="C10" t="str">
            <v>Actividad bancaria en España</v>
          </cell>
          <cell r="D10" t="str">
            <v>Banking activity in Spain</v>
          </cell>
        </row>
        <row r="11">
          <cell r="C11" t="str">
            <v>Non Core Real Estate</v>
          </cell>
          <cell r="D11" t="str">
            <v>Non Core Real Estate</v>
          </cell>
        </row>
        <row r="12">
          <cell r="C12" t="str">
            <v>EEUU</v>
          </cell>
          <cell r="D12" t="str">
            <v>USA</v>
          </cell>
        </row>
        <row r="13">
          <cell r="C13" t="str">
            <v>México</v>
          </cell>
          <cell r="D13" t="str">
            <v>Mexico</v>
          </cell>
        </row>
        <row r="14">
          <cell r="C14" t="str">
            <v xml:space="preserve">Turquía </v>
          </cell>
          <cell r="D14" t="str">
            <v xml:space="preserve">Turkey </v>
          </cell>
        </row>
        <row r="15">
          <cell r="C15" t="str">
            <v xml:space="preserve">América del Sur </v>
          </cell>
          <cell r="D15" t="str">
            <v>South America</v>
          </cell>
        </row>
        <row r="16">
          <cell r="C16" t="str">
            <v>Argentina</v>
          </cell>
          <cell r="D16" t="str">
            <v>Argentina</v>
          </cell>
        </row>
        <row r="17">
          <cell r="C17" t="str">
            <v>Chile</v>
          </cell>
          <cell r="D17" t="str">
            <v>Chile</v>
          </cell>
        </row>
        <row r="18">
          <cell r="C18" t="str">
            <v>Colombia</v>
          </cell>
          <cell r="D18" t="str">
            <v>Colombia</v>
          </cell>
        </row>
        <row r="19">
          <cell r="C19" t="str">
            <v>Perú</v>
          </cell>
          <cell r="D19" t="str">
            <v>Peru</v>
          </cell>
        </row>
        <row r="20">
          <cell r="C20" t="str">
            <v>Resto de Eurasia</v>
          </cell>
          <cell r="D20" t="str">
            <v>Rest of Eurasia</v>
          </cell>
        </row>
        <row r="21">
          <cell r="C21" t="str">
            <v>Centro Corporativo</v>
          </cell>
          <cell r="D21" t="str">
            <v xml:space="preserve">Corporate Center </v>
          </cell>
        </row>
        <row r="22">
          <cell r="C22" t="str">
            <v>Información adicional:</v>
          </cell>
          <cell r="D22" t="str">
            <v>Additional information:</v>
          </cell>
        </row>
        <row r="23">
          <cell r="C23" t="str">
            <v>Corporate &amp; Investment Banking</v>
          </cell>
          <cell r="D23" t="str">
            <v>Corporate &amp; Investment Banking</v>
          </cell>
        </row>
        <row r="24">
          <cell r="C24" t="str">
            <v>Anexo:</v>
          </cell>
          <cell r="D24" t="str">
            <v>Annex:</v>
          </cell>
        </row>
        <row r="25">
          <cell r="C25" t="str">
            <v>Eficiencia</v>
          </cell>
          <cell r="D25" t="str">
            <v>Efficiency</v>
          </cell>
        </row>
        <row r="26">
          <cell r="C26" t="str">
            <v>Tasas de mora, cobertura y coste de riesgo</v>
          </cell>
          <cell r="D26" t="str">
            <v>NPL, coverage ratios and cost of risk</v>
          </cell>
        </row>
        <row r="27">
          <cell r="C27" t="str">
            <v>Empleados, oficinas y cajeros automáticos</v>
          </cell>
          <cell r="D27" t="str">
            <v>Branches, employees and atm´s</v>
          </cell>
        </row>
        <row r="28">
          <cell r="C28" t="str">
            <v>Tipos de cambio</v>
          </cell>
          <cell r="D28" t="str">
            <v>Exchange rates</v>
          </cell>
        </row>
        <row r="29">
          <cell r="C29" t="str">
            <v>Diferenciales de la clientela</v>
          </cell>
          <cell r="D29" t="str">
            <v>Customer Spreads</v>
          </cell>
        </row>
        <row r="30">
          <cell r="C30" t="str">
            <v>Activos ponderados por riesgo. Desglose por áreas de negocio y principales países</v>
          </cell>
          <cell r="D30" t="str">
            <v>Risk-weighted assets. Breakdown by business areas and main countries</v>
          </cell>
        </row>
        <row r="31">
          <cell r="C31" t="str">
            <v>Desglose del crédito no dudoso en gestión</v>
          </cell>
          <cell r="D31" t="str">
            <v>Breakdown of performing loans under management</v>
          </cell>
        </row>
        <row r="32">
          <cell r="C32" t="str">
            <v>Desglose de los recursos de clientes en gestión</v>
          </cell>
          <cell r="D32" t="str">
            <v>Breakdown of customer funds under management</v>
          </cell>
        </row>
        <row r="33">
          <cell r="C33" t="str">
            <v xml:space="preserve">Cuenta de resultados  </v>
          </cell>
          <cell r="D33" t="str">
            <v xml:space="preserve">Income statement  </v>
          </cell>
        </row>
        <row r="34">
          <cell r="C34" t="str">
            <v>(Millones de euros)</v>
          </cell>
          <cell r="D34" t="str">
            <v>(Million euros)</v>
          </cell>
        </row>
        <row r="35">
          <cell r="C35" t="str">
            <v>Margen de intereses</v>
          </cell>
          <cell r="D35" t="str">
            <v>Net interest income</v>
          </cell>
        </row>
        <row r="36">
          <cell r="C36" t="str">
            <v>Comisiones netas</v>
          </cell>
          <cell r="D36" t="str">
            <v>Net fees and commissions</v>
          </cell>
        </row>
        <row r="37">
          <cell r="C37" t="str">
            <v>Resultados de operaciones financieras</v>
          </cell>
          <cell r="D37" t="str">
            <v>Net trading income</v>
          </cell>
        </row>
        <row r="38">
          <cell r="C38" t="str">
            <v>Otros ingresos y cargas de explotación</v>
          </cell>
          <cell r="D38" t="str">
            <v>Other operating income and expenses</v>
          </cell>
        </row>
        <row r="39">
          <cell r="C39" t="str">
            <v>Margen bruto</v>
          </cell>
          <cell r="D39" t="str">
            <v>Gross income</v>
          </cell>
        </row>
        <row r="40">
          <cell r="C40" t="str">
            <v>Gastos de explotación</v>
          </cell>
          <cell r="D40" t="str">
            <v>Operating expenses</v>
          </cell>
        </row>
        <row r="41">
          <cell r="C41" t="str">
            <v xml:space="preserve">  Gastos de administración</v>
          </cell>
          <cell r="D41" t="str">
            <v xml:space="preserve">  Administration expenses</v>
          </cell>
        </row>
        <row r="42">
          <cell r="C42" t="str">
            <v xml:space="preserve">  Gastos de personal</v>
          </cell>
          <cell r="D42" t="str">
            <v xml:space="preserve">  Personnel expenses</v>
          </cell>
        </row>
        <row r="43">
          <cell r="C43" t="str">
            <v xml:space="preserve">  Otros gastos de administración</v>
          </cell>
          <cell r="D43" t="str">
            <v xml:space="preserve">  General and administrative expenses</v>
          </cell>
        </row>
        <row r="44">
          <cell r="C44" t="str">
            <v xml:space="preserve">  Amortización</v>
          </cell>
          <cell r="D44" t="str">
            <v xml:space="preserve">  Depreciation</v>
          </cell>
        </row>
        <row r="45">
          <cell r="C45" t="str">
            <v>Margen neto</v>
          </cell>
          <cell r="D45" t="str">
            <v>Operating income</v>
          </cell>
        </row>
        <row r="46">
          <cell r="C46" t="str">
            <v>Deterioro de activos financieros no valorados a valor razonable con cambios en resultados</v>
          </cell>
          <cell r="D46" t="str">
            <v>Impaiment on financial assets not measured at fair value through profit or loss</v>
          </cell>
        </row>
        <row r="47">
          <cell r="C47" t="str">
            <v>Provisiones o reversión de provisiones y otros resultados</v>
          </cell>
          <cell r="D47" t="str">
            <v>Provisions or reversal of provisions and other results</v>
          </cell>
        </row>
        <row r="48">
          <cell r="C48" t="str">
            <v>Resultado antes de impuestos</v>
          </cell>
          <cell r="D48" t="str">
            <v>Profit/(loss) before tax</v>
          </cell>
        </row>
        <row r="49">
          <cell r="C49" t="str">
            <v>Impuesto sobre beneficios</v>
          </cell>
          <cell r="D49" t="str">
            <v>Income tax</v>
          </cell>
        </row>
        <row r="50">
          <cell r="C50" t="str">
            <v>Resultado del ejercicio</v>
          </cell>
          <cell r="D50" t="str">
            <v>Profit/(loss) for the year</v>
          </cell>
        </row>
        <row r="51">
          <cell r="C51" t="str">
            <v>Minoritarios</v>
          </cell>
          <cell r="D51" t="str">
            <v>Non-controlling interests</v>
          </cell>
        </row>
        <row r="52">
          <cell r="C52" t="str">
            <v>Resultado atribuido</v>
          </cell>
          <cell r="D52" t="str">
            <v>Net attributable profit</v>
          </cell>
        </row>
        <row r="53">
          <cell r="C53" t="str">
            <v>Balances</v>
          </cell>
          <cell r="D53" t="str">
            <v>Balance sheets</v>
          </cell>
        </row>
        <row r="54">
          <cell r="C54" t="str">
            <v>Efectivo, saldos en efectivo en bancos centrales y otros depósitos a la vista</v>
          </cell>
          <cell r="D54" t="str">
            <v>Cash, cash balances at central banks and other demand deposits</v>
          </cell>
        </row>
        <row r="55">
          <cell r="C55" t="str">
            <v>Activos financieros a valor razonable</v>
          </cell>
          <cell r="D55" t="str">
            <v xml:space="preserve">Financial assets designated at fair value </v>
          </cell>
        </row>
        <row r="56">
          <cell r="C56" t="str">
            <v>Activos financieros a coste amortizado</v>
          </cell>
          <cell r="D56" t="str">
            <v>Financial assets at amortized cost</v>
          </cell>
        </row>
        <row r="57">
          <cell r="C57" t="str">
            <v xml:space="preserve">    de los que préstamos y anticipos a la clientela</v>
          </cell>
          <cell r="D57" t="str">
            <v xml:space="preserve">    of which loans and advances to customers</v>
          </cell>
        </row>
        <row r="58">
          <cell r="C58" t="str">
            <v>Activos tangibles</v>
          </cell>
          <cell r="D58" t="str">
            <v>Tangible assets</v>
          </cell>
        </row>
        <row r="59">
          <cell r="C59" t="str">
            <v>Otros activos</v>
          </cell>
          <cell r="D59" t="str">
            <v>Other assets</v>
          </cell>
        </row>
        <row r="60">
          <cell r="C60" t="str">
            <v>Total activo / pasivo</v>
          </cell>
          <cell r="D60" t="str">
            <v>Total assets / Liabilities and equity</v>
          </cell>
        </row>
        <row r="61">
          <cell r="C61" t="str">
            <v>Pasivos financieros mantenidos para negociar y designados a valor razonable con cambios en resultados</v>
          </cell>
          <cell r="D61" t="str">
            <v>Financial liabilities held for trading and designated at fair value through profit or loss</v>
          </cell>
        </row>
        <row r="62">
          <cell r="C62" t="str">
            <v>Depósitos de bancos centrales y entidades de crédito</v>
          </cell>
          <cell r="D62" t="str">
            <v>Deposits from central banks and credit institutions</v>
          </cell>
        </row>
        <row r="63">
          <cell r="C63" t="str">
            <v>Depósitos de la clientela</v>
          </cell>
          <cell r="D63" t="str">
            <v>Deposits from customers</v>
          </cell>
        </row>
        <row r="64">
          <cell r="C64" t="str">
            <v>Valores representativos de deuda emitidos</v>
          </cell>
          <cell r="D64" t="str">
            <v>Debt certificates</v>
          </cell>
        </row>
        <row r="65">
          <cell r="C65" t="str">
            <v>Otros pasivos</v>
          </cell>
          <cell r="D65" t="str">
            <v>Other liabilities</v>
          </cell>
        </row>
        <row r="66">
          <cell r="C66" t="str">
            <v>Dotación de capital económico</v>
          </cell>
          <cell r="D66" t="str">
            <v>Economic capital allocated</v>
          </cell>
        </row>
        <row r="67">
          <cell r="C67" t="str">
            <v>Indicadores relevantes y de gestión</v>
          </cell>
          <cell r="D67" t="str">
            <v>Relevant business indicators</v>
          </cell>
        </row>
        <row r="68">
          <cell r="C68" t="str">
            <v>Préstamos y anticipos a la clientela bruto (*)</v>
          </cell>
          <cell r="D68" t="str">
            <v>Loans and advances to customers (gross) (*)</v>
          </cell>
        </row>
        <row r="69">
          <cell r="C69" t="str">
            <v>Depósitos de clientes en gestión (**)</v>
          </cell>
          <cell r="D69" t="str">
            <v>Customer deposits under management (*)</v>
          </cell>
        </row>
        <row r="70">
          <cell r="C70" t="str">
            <v>Fondos de inversión y carteras gestionadas</v>
          </cell>
          <cell r="D70" t="str">
            <v>Investment funds and managed portfolios</v>
          </cell>
        </row>
        <row r="71">
          <cell r="C71" t="str">
            <v>Fondos de pensiones</v>
          </cell>
          <cell r="D71" t="str">
            <v>Pension funds</v>
          </cell>
        </row>
        <row r="72">
          <cell r="C72" t="str">
            <v>Otros recursos fuera de balance</v>
          </cell>
          <cell r="D72" t="str">
            <v>Other off balance-sheet funds</v>
          </cell>
        </row>
        <row r="73">
          <cell r="C73" t="str">
            <v>(*) No incluye las adquisiciones temporales de activos.</v>
          </cell>
          <cell r="D73" t="str">
            <v xml:space="preserve">(*) Excluding repos. </v>
          </cell>
        </row>
        <row r="74">
          <cell r="C74" t="str">
            <v>(**) No incluye las cesiones temporales de activos.</v>
          </cell>
        </row>
        <row r="75">
          <cell r="C75" t="str">
            <v>(Millones de euros constantes)</v>
          </cell>
          <cell r="D75" t="str">
            <v xml:space="preserve">(Constant million euros)    </v>
          </cell>
        </row>
        <row r="76">
          <cell r="C76" t="str">
            <v>(Millones de pesos mexicanos)</v>
          </cell>
          <cell r="D76" t="str">
            <v>(Million Mexican pesos)</v>
          </cell>
        </row>
        <row r="77">
          <cell r="C77" t="str">
            <v>(Millones de pesos colombianos)</v>
          </cell>
          <cell r="D77" t="str">
            <v>(Million Colombian pesos)</v>
          </cell>
        </row>
        <row r="78">
          <cell r="C78" t="str">
            <v>(Millones de dolares)</v>
          </cell>
          <cell r="D78" t="str">
            <v>(Million dolars)</v>
          </cell>
        </row>
        <row r="79">
          <cell r="C79" t="str">
            <v>(Millones de liras turcas)</v>
          </cell>
          <cell r="D79" t="str">
            <v>(Million Turkish liras)</v>
          </cell>
        </row>
        <row r="80">
          <cell r="C80" t="str">
            <v>(Millones de pesos argentinos)</v>
          </cell>
          <cell r="D80" t="str">
            <v>(Million Argentinian pesos)</v>
          </cell>
        </row>
        <row r="81">
          <cell r="C81" t="str">
            <v>(Millones de soles peruanos)</v>
          </cell>
          <cell r="D81" t="str">
            <v>(Million Peruvian soles)</v>
          </cell>
        </row>
        <row r="82">
          <cell r="C82" t="str">
            <v>Venezuela</v>
          </cell>
          <cell r="D82" t="str">
            <v>Venezuela</v>
          </cell>
        </row>
        <row r="83">
          <cell r="C83" t="str">
            <v>(Millones de pesos chilenos)</v>
          </cell>
          <cell r="D83" t="str">
            <v>(Million Chilean pesos)</v>
          </cell>
        </row>
        <row r="84">
          <cell r="C84" t="str">
            <v>Eficiencia (*)</v>
          </cell>
          <cell r="D84" t="str">
            <v>Efficiency (*)</v>
          </cell>
        </row>
        <row r="85">
          <cell r="C85" t="str">
            <v>(*) Gastos de explotación / Margen bruto. Incluye amortizaciones</v>
          </cell>
          <cell r="D85" t="str">
            <v>(*) Operating expenses / Gross income. Including depreciation</v>
          </cell>
        </row>
        <row r="86">
          <cell r="C86" t="str">
            <v>(Porcentaje)</v>
          </cell>
          <cell r="D86" t="str">
            <v>(Percentage)</v>
          </cell>
        </row>
        <row r="87">
          <cell r="C87" t="str">
            <v>Tasa de mora</v>
          </cell>
          <cell r="D87" t="str">
            <v>NPL ratio</v>
          </cell>
        </row>
        <row r="88">
          <cell r="C88" t="str">
            <v>Tasa de cobertura</v>
          </cell>
          <cell r="D88" t="str">
            <v>NPL coverage ratio</v>
          </cell>
        </row>
        <row r="89">
          <cell r="C89" t="str">
            <v>Coste del riesgo acumulado</v>
          </cell>
          <cell r="D89" t="str">
            <v>Cost of risk YTD</v>
          </cell>
        </row>
        <row r="90">
          <cell r="C90" t="str">
            <v>Activos ponderados por riesgo. Desglose por áreas de negocio y principales países</v>
          </cell>
          <cell r="D90" t="str">
            <v>Risk-weighted assets. Breakdown by business areas and main countries</v>
          </cell>
        </row>
        <row r="91">
          <cell r="C91" t="str">
            <v>Resto de América del Sur</v>
          </cell>
          <cell r="D91" t="str">
            <v>Resto of South América</v>
          </cell>
        </row>
        <row r="92">
          <cell r="C92" t="str">
            <v>CRD IV fully-loaded</v>
          </cell>
          <cell r="D92" t="str">
            <v>CRD IV fully-loaded</v>
          </cell>
        </row>
        <row r="93">
          <cell r="C93" t="str">
            <v>Grupo BBVA. Cuentas de resultados consolidadas</v>
          </cell>
          <cell r="D93" t="str">
            <v xml:space="preserve">BBVA Group. Consolidated Income statement </v>
          </cell>
        </row>
        <row r="94">
          <cell r="C94" t="str">
            <v>1er Trim.</v>
          </cell>
          <cell r="D94" t="str">
            <v>1Q</v>
          </cell>
        </row>
        <row r="95">
          <cell r="C95" t="str">
            <v>2º Trim.</v>
          </cell>
          <cell r="D95" t="str">
            <v>2Q</v>
          </cell>
        </row>
        <row r="96">
          <cell r="C96" t="str">
            <v>3er Trim.</v>
          </cell>
          <cell r="D96" t="str">
            <v>3Q</v>
          </cell>
        </row>
        <row r="97">
          <cell r="C97" t="str">
            <v>4º Trim.</v>
          </cell>
          <cell r="D97" t="str">
            <v>4Q</v>
          </cell>
        </row>
        <row r="98">
          <cell r="C98" t="str">
            <v>Ingresos por dividendos</v>
          </cell>
          <cell r="D98" t="str">
            <v>Dividend income</v>
          </cell>
        </row>
        <row r="99">
          <cell r="C99" t="str">
            <v>Part. gananc/pdas inversiones en dependientes, neg conjunt y asoc</v>
          </cell>
          <cell r="D99" t="str">
            <v>Share of  profit/loss of invest. in subsidaries, joint ventures and associates</v>
          </cell>
        </row>
        <row r="100">
          <cell r="C100" t="str">
            <v>Otros productos/cargas de explotación</v>
          </cell>
          <cell r="D100" t="str">
            <v>Other products and expenses</v>
          </cell>
        </row>
        <row r="101">
          <cell r="C101" t="str">
            <v>Resultado después de impuestos de operaciones continuadas</v>
          </cell>
          <cell r="D101" t="str">
            <v>Result after continuing operation tax</v>
          </cell>
        </row>
        <row r="102">
          <cell r="C102" t="str">
            <v>Resultado de operaciones corporativas</v>
          </cell>
          <cell r="D102" t="str">
            <v>Result from corporate operations</v>
          </cell>
        </row>
        <row r="103">
          <cell r="C103" t="str">
            <v>Resultado atribuido sin operaciones corporativas</v>
          </cell>
          <cell r="D103" t="str">
            <v xml:space="preserve">Attributable profit without corporate transactions </v>
          </cell>
        </row>
        <row r="104">
          <cell r="C104" t="str">
            <v>Nota general: los datos de los trimestres estancos del 2018 se presentan como datos proforma que tienen la consideración de Medidas Alternativas de Rendimiento (MAR), recogiéndose íntegramente el efecto acumulado para reflejar el impacto derivado de la contabilización de la hiperinflación en Argentina entre el 1-1-2018 y el 30-9-2018 en el tercer trimestre del 2018, sin haberse reexpresado los datos mostrados en la tabla anterior del primer y segundo trimestre del 2018.</v>
          </cell>
          <cell r="D104" t="str">
            <v>General note: the data for the quarters of 2018 are presented as proforma data which are considered as Alternative Performance Measures (APM), the accumulated effect being fully collected to reflect the impact derived from the accounting for hyperinflation in Argentina between 1-1-2018 and the 30-9-2018 in the third quarter of 2018, without having been reexpressed the data shown in the previous table of the first and second quarter of 2018.</v>
          </cell>
        </row>
        <row r="105">
          <cell r="C105" t="str">
            <v>(*) Incluye plusvalías netas de la venta de BBVA Chile.</v>
          </cell>
          <cell r="D105" t="str">
            <v>(*) Includes net capital gains  from the sale of BBVA Chile.</v>
          </cell>
        </row>
        <row r="106">
          <cell r="C106" t="str">
            <v>Grupo BBVA. Balances de situación consolidados</v>
          </cell>
          <cell r="D106" t="str">
            <v>BBVA Group. Consolidated balance sheet</v>
          </cell>
        </row>
        <row r="107">
          <cell r="C107" t="str">
            <v>Hipotecario</v>
          </cell>
          <cell r="D107" t="str">
            <v>Mortages</v>
          </cell>
        </row>
        <row r="108">
          <cell r="C108" t="str">
            <v>Consumo</v>
          </cell>
          <cell r="D108" t="str">
            <v>Consumer</v>
          </cell>
        </row>
        <row r="109">
          <cell r="C109" t="str">
            <v>Tarjetas de Crédito</v>
          </cell>
          <cell r="D109" t="str">
            <v>Credit Cards</v>
          </cell>
        </row>
        <row r="110">
          <cell r="C110" t="str">
            <v>Sector público</v>
          </cell>
          <cell r="D110" t="str">
            <v>Public Sector</v>
          </cell>
        </row>
        <row r="111">
          <cell r="C111" t="str">
            <v>Sociedades financieras y sociedades no financieras</v>
          </cell>
          <cell r="D111" t="str">
            <v>Financial and Non Financial Companies</v>
          </cell>
        </row>
        <row r="112">
          <cell r="C112" t="str">
            <v>Pymes</v>
          </cell>
          <cell r="D112" t="str">
            <v>SMEs</v>
          </cell>
        </row>
        <row r="113">
          <cell r="C113" t="str">
            <v>Otros</v>
          </cell>
          <cell r="D113" t="str">
            <v>Others</v>
          </cell>
        </row>
        <row r="114">
          <cell r="C114" t="str">
            <v>Crédito no dudoso en gestión (*)</v>
          </cell>
          <cell r="D114" t="str">
            <v>Performing Loans under management (*)</v>
          </cell>
        </row>
        <row r="115">
          <cell r="C115" t="str">
            <v>Desglose del crédito no dudoso en gestión</v>
          </cell>
          <cell r="D115" t="str">
            <v>Breakdown of performing loans under management</v>
          </cell>
        </row>
        <row r="116">
          <cell r="C116" t="str">
            <v>Depósitos a la vista + Disponibles con preaviso</v>
          </cell>
          <cell r="D116" t="str">
            <v>Demand deposits</v>
          </cell>
        </row>
        <row r="117">
          <cell r="C117" t="str">
            <v>Depósitos a plazo</v>
          </cell>
          <cell r="D117" t="str">
            <v>Time deposits</v>
          </cell>
        </row>
        <row r="118">
          <cell r="C118" t="str">
            <v>Recursos fuera de balance (*)</v>
          </cell>
          <cell r="D118" t="str">
            <v>Off balance sheet funds (*)</v>
          </cell>
        </row>
        <row r="120">
          <cell r="C120" t="str">
            <v>Vista+Plazo</v>
          </cell>
          <cell r="D120" t="str">
            <v>Demand + Time deposits</v>
          </cell>
        </row>
        <row r="121">
          <cell r="C121" t="str">
            <v>(*) Incluye fondos de inversión, fondos de pensiones y otros recursos fuera de balance.</v>
          </cell>
        </row>
        <row r="122">
          <cell r="C122" t="str">
            <v>Desglose de los recursos de clientes en gestión</v>
          </cell>
          <cell r="D122" t="str">
            <v>Breakdown of customer funds under management</v>
          </cell>
        </row>
        <row r="123">
          <cell r="C123" t="str">
            <v>Posiciones inter-áreas activo</v>
          </cell>
          <cell r="D123" t="str">
            <v>Inter-area positions</v>
          </cell>
        </row>
        <row r="124">
          <cell r="C124" t="str">
            <v>Posiciones inter-áreas pasivo</v>
          </cell>
          <cell r="D124" t="str">
            <v>Inter-area positions</v>
          </cell>
        </row>
        <row r="125">
          <cell r="C125" t="str">
            <v>Oficinas</v>
          </cell>
          <cell r="D125" t="str">
            <v>Branches</v>
          </cell>
        </row>
        <row r="126">
          <cell r="C126" t="str">
            <v>Empleados</v>
          </cell>
          <cell r="D126" t="str">
            <v>Employees</v>
          </cell>
        </row>
        <row r="127">
          <cell r="C127" t="str">
            <v>Cajeros automáticos</v>
          </cell>
          <cell r="D127" t="str">
            <v>ATM´s</v>
          </cell>
        </row>
        <row r="128">
          <cell r="C128" t="str">
            <v>Uruguay</v>
          </cell>
          <cell r="D128" t="str">
            <v>Uruguay</v>
          </cell>
        </row>
        <row r="129">
          <cell r="C129" t="str">
            <v>Paraguay</v>
          </cell>
          <cell r="D129" t="str">
            <v>Paraguay</v>
          </cell>
        </row>
        <row r="130">
          <cell r="C130" t="str">
            <v>Bolivia</v>
          </cell>
          <cell r="D130" t="str">
            <v>Bolivia</v>
          </cell>
        </row>
        <row r="131">
          <cell r="C131" t="str">
            <v>Cuba</v>
          </cell>
          <cell r="D131" t="str">
            <v>Cuba</v>
          </cell>
        </row>
        <row r="132">
          <cell r="C132" t="str">
            <v>Brasil</v>
          </cell>
          <cell r="D132" t="str">
            <v>Brasil</v>
          </cell>
        </row>
        <row r="133">
          <cell r="C133" t="str">
            <v>Activos financieros mantenidos para negociar</v>
          </cell>
          <cell r="D133" t="str">
            <v>Financial assets held for trading</v>
          </cell>
        </row>
        <row r="134">
          <cell r="C134" t="str">
            <v>Activos financieros no destinados a negociación valorados obligatoriamente a valor razonable con cambios en resultados</v>
          </cell>
          <cell r="D134" t="str">
            <v>Non-trading financial assets mandatorily at fair value through profit or loss</v>
          </cell>
        </row>
        <row r="135">
          <cell r="C135" t="str">
            <v>Activos financieros designados a valor razonable con cambios en resultados</v>
          </cell>
          <cell r="D135" t="str">
            <v>Financial assets designated at fair value through profit or loss</v>
          </cell>
        </row>
        <row r="136">
          <cell r="C136" t="str">
            <v>Activos financieros designados a valor razonable con cambios en otro resultado global acumulado</v>
          </cell>
          <cell r="D136" t="str">
            <v>Financial assets at fair value through accumulated other comprehensive income</v>
          </cell>
        </row>
        <row r="137">
          <cell r="C137" t="str">
            <v>Activos financieros a coste amortizado</v>
          </cell>
          <cell r="D137" t="str">
            <v>Financial assets at amortized cost</v>
          </cell>
        </row>
        <row r="138">
          <cell r="C138" t="str">
            <v>. Préstamos y anticipos en bancos centrales  y entidades de crédito</v>
          </cell>
          <cell r="D138" t="str">
            <v xml:space="preserve">. Loans and advances to central banks and credit institutions </v>
          </cell>
        </row>
        <row r="139">
          <cell r="C139" t="str">
            <v>. Préstamos y anticipos a la clientela</v>
          </cell>
          <cell r="D139" t="str">
            <v>. Loans and advances to customers</v>
          </cell>
        </row>
        <row r="140">
          <cell r="C140" t="str">
            <v>. Valores representativos de deuda</v>
          </cell>
          <cell r="D140" t="str">
            <v>. Debt securities</v>
          </cell>
        </row>
        <row r="141">
          <cell r="C141" t="str">
            <v>Inversiones mantenidas hasta el vencimiento</v>
          </cell>
          <cell r="D141" t="str">
            <v>Held-to-maturity investments</v>
          </cell>
        </row>
        <row r="142">
          <cell r="C142" t="str">
            <v>Inversiones en negocios conjuntos y asociadas</v>
          </cell>
          <cell r="D142" t="str">
            <v>Investments in subsidiaries, joint ventures and associates</v>
          </cell>
        </row>
        <row r="143">
          <cell r="C143" t="str">
            <v>Activos Intangibles</v>
          </cell>
          <cell r="D143" t="str">
            <v>Intangible assets</v>
          </cell>
        </row>
        <row r="144">
          <cell r="C144" t="str">
            <v>Pasivos financieros designados a valor razonable con cambios en resultados</v>
          </cell>
          <cell r="D144" t="str">
            <v>Other financial liabilities designated at fair value through profit or loss</v>
          </cell>
        </row>
        <row r="145">
          <cell r="C145" t="str">
            <v>Pasivos financieros a coste amortizado</v>
          </cell>
          <cell r="D145" t="str">
            <v>Financial liabilities at amortized cost</v>
          </cell>
        </row>
        <row r="146">
          <cell r="C146" t="str">
            <v>. Otros pasivos financieros</v>
          </cell>
          <cell r="D146" t="str">
            <v>. Other financial liabilities</v>
          </cell>
        </row>
        <row r="147">
          <cell r="C147" t="str">
            <v>Pasivos amparados por contratos de seguros o reaseguro</v>
          </cell>
          <cell r="D147" t="str">
            <v>Liabilities under insurance and reinsurance contracts</v>
          </cell>
        </row>
        <row r="148">
          <cell r="C148" t="str">
            <v>Total pasivo</v>
          </cell>
          <cell r="D148" t="str">
            <v>Total liabilities</v>
          </cell>
        </row>
        <row r="149">
          <cell r="C149" t="str">
            <v>Intereses minoritarios</v>
          </cell>
          <cell r="D149" t="str">
            <v>Non-controlling interests</v>
          </cell>
        </row>
        <row r="150">
          <cell r="C150" t="str">
            <v>Otro resultado global acumulado</v>
          </cell>
          <cell r="D150" t="str">
            <v>Accumulated other comprehensive income</v>
          </cell>
        </row>
        <row r="151">
          <cell r="C151" t="str">
            <v>Fondos propios</v>
          </cell>
          <cell r="D151" t="str">
            <v>Shareholders' funds</v>
          </cell>
        </row>
        <row r="152">
          <cell r="C152" t="str">
            <v>Patrimonio neto</v>
          </cell>
          <cell r="D152" t="str">
            <v>Total equity</v>
          </cell>
        </row>
        <row r="153">
          <cell r="C153" t="str">
            <v>Total patrimonio neto y pasivo</v>
          </cell>
          <cell r="D153" t="str">
            <v>Total equity and liabilities</v>
          </cell>
        </row>
        <row r="154">
          <cell r="C154" t="str">
            <v>Peso mexicano</v>
          </cell>
          <cell r="D154" t="str">
            <v>Mexican peso</v>
          </cell>
        </row>
        <row r="155">
          <cell r="C155" t="str">
            <v>Dólar estadounidense</v>
          </cell>
          <cell r="D155" t="str">
            <v>U.S. dollar</v>
          </cell>
        </row>
        <row r="156">
          <cell r="C156" t="str">
            <v>Peso argentino</v>
          </cell>
          <cell r="D156" t="str">
            <v>Argentine peso</v>
          </cell>
        </row>
        <row r="157">
          <cell r="C157" t="str">
            <v>Peso chileno</v>
          </cell>
          <cell r="D157" t="str">
            <v>Chilean peso</v>
          </cell>
        </row>
        <row r="158">
          <cell r="C158" t="str">
            <v>Peso colombiano</v>
          </cell>
          <cell r="D158" t="str">
            <v>Colombian peso</v>
          </cell>
        </row>
        <row r="159">
          <cell r="C159" t="str">
            <v>Sol peruano</v>
          </cell>
          <cell r="D159" t="str">
            <v>Peruvian sol</v>
          </cell>
        </row>
        <row r="160">
          <cell r="C160" t="str">
            <v>Lira turca</v>
          </cell>
          <cell r="D160" t="str">
            <v>Turkish lira</v>
          </cell>
        </row>
        <row r="161">
          <cell r="C161" t="str">
            <v>(*) Utilizados en el cálculo de euros constantes de los datos de balance y actividad</v>
          </cell>
          <cell r="D161" t="str">
            <v>(*) Used in the constant euros comparisons for the balance sheet and business activity</v>
          </cell>
        </row>
        <row r="162">
          <cell r="C162" t="str">
            <v>(**) Utilizados en el cálculo de euros constantes de los datos de resultados</v>
          </cell>
          <cell r="D162" t="str">
            <v>(**) Used in the constant euros comparisons for the profit and loss</v>
          </cell>
        </row>
        <row r="163">
          <cell r="C163" t="str">
            <v>Tipos de cambio</v>
          </cell>
          <cell r="D163" t="str">
            <v>Exchange rates</v>
          </cell>
        </row>
        <row r="164">
          <cell r="C164" t="str">
            <v>(Expresados en divisa/euro)</v>
          </cell>
          <cell r="D164" t="str">
            <v>(Expressed in currency/euro)</v>
          </cell>
        </row>
        <row r="165">
          <cell r="C165" t="str">
            <v>Cambios finales (*)</v>
          </cell>
          <cell r="D165" t="str">
            <v>Year-end exchange rates (*)</v>
          </cell>
        </row>
        <row r="166">
          <cell r="C166" t="str">
            <v>Cambios medios (**)</v>
          </cell>
          <cell r="D166" t="str">
            <v>Average exchange rates (**)</v>
          </cell>
        </row>
        <row r="167">
          <cell r="C167" t="str">
            <v>∆% sobre</v>
          </cell>
          <cell r="D167" t="str">
            <v>∆% on</v>
          </cell>
        </row>
        <row r="168">
          <cell r="C168" t="str">
            <v>(Expresados en divisa/euro)</v>
          </cell>
          <cell r="D168" t="str">
            <v>(Expressed in currency/euro)</v>
          </cell>
        </row>
        <row r="169">
          <cell r="C169" t="str">
            <v>1er Trim.</v>
          </cell>
          <cell r="D169" t="str">
            <v>1Q</v>
          </cell>
        </row>
        <row r="170">
          <cell r="C170" t="str">
            <v>2º Trim.</v>
          </cell>
          <cell r="D170" t="str">
            <v>2Q</v>
          </cell>
        </row>
        <row r="171">
          <cell r="C171" t="str">
            <v>3er Trim.</v>
          </cell>
          <cell r="D171" t="str">
            <v>3Q</v>
          </cell>
        </row>
        <row r="172">
          <cell r="C172" t="str">
            <v>4º Trim.</v>
          </cell>
          <cell r="D172" t="str">
            <v>4Q</v>
          </cell>
        </row>
        <row r="173">
          <cell r="C173" t="str">
            <v>Diferenciales de la clientela (*)</v>
          </cell>
          <cell r="D173" t="str">
            <v>Customer Spreads (*)</v>
          </cell>
        </row>
        <row r="174">
          <cell r="C174" t="str">
            <v>(Porcentaje)</v>
          </cell>
          <cell r="D174" t="str">
            <v>(Percentage)</v>
          </cell>
        </row>
        <row r="175">
          <cell r="C175" t="str">
            <v>Rentabilidad de los prestamos</v>
          </cell>
          <cell r="D175" t="str">
            <v>Lending Yield</v>
          </cell>
        </row>
        <row r="176">
          <cell r="C176" t="str">
            <v>Coste de los depositos</v>
          </cell>
          <cell r="D176" t="str">
            <v>Cost of deposits</v>
          </cell>
        </row>
        <row r="177">
          <cell r="C177" t="str">
            <v>Actividad bancaria en España</v>
          </cell>
          <cell r="D177" t="str">
            <v>Banking activity in Spain</v>
          </cell>
        </row>
        <row r="178">
          <cell r="C178" t="str">
            <v>Estados Unidos (**)</v>
          </cell>
          <cell r="D178" t="str">
            <v>The United States (**)</v>
          </cell>
        </row>
        <row r="179">
          <cell r="C179" t="str">
            <v>México pesos mexicanos</v>
          </cell>
          <cell r="D179" t="str">
            <v>Mexico MXN</v>
          </cell>
        </row>
        <row r="180">
          <cell r="C180" t="str">
            <v>México moneda extranjera</v>
          </cell>
          <cell r="D180" t="str">
            <v>Mexico  FC (Foreing currency)</v>
          </cell>
        </row>
        <row r="181">
          <cell r="C181" t="str">
            <v>Turquía liras turcas</v>
          </cell>
          <cell r="D181" t="str">
            <v>Turkey TRY</v>
          </cell>
        </row>
        <row r="182">
          <cell r="C182" t="str">
            <v>Turquía moneda extranjera</v>
          </cell>
          <cell r="D182" t="str">
            <v>Turkey FC (Foreing currency)</v>
          </cell>
        </row>
        <row r="183">
          <cell r="C183" t="str">
            <v>Argentina</v>
          </cell>
          <cell r="D183" t="str">
            <v>Argentina</v>
          </cell>
        </row>
        <row r="184">
          <cell r="C184" t="str">
            <v>Colombia</v>
          </cell>
          <cell r="D184" t="str">
            <v>Colombia</v>
          </cell>
        </row>
        <row r="185">
          <cell r="C185" t="str">
            <v>Perú</v>
          </cell>
          <cell r="D185" t="str">
            <v>Peru</v>
          </cell>
        </row>
        <row r="186">
          <cell r="C186" t="str">
            <v>(*) Diferencia entre el rendimiento de los préstamos y el coste de los depósitos de los clientes.</v>
          </cell>
          <cell r="D186" t="str">
            <v>(*) Difference between lending yield on loans and cost of deposits from customers.</v>
          </cell>
        </row>
        <row r="187">
          <cell r="C187" t="str">
            <v>(**)  Excluye la actividad en Nueva York.</v>
          </cell>
          <cell r="D187" t="str">
            <v>(**) Excluding New York Business Activity.</v>
          </cell>
        </row>
        <row r="188">
          <cell r="C188" t="str">
            <v>Nota: Los diferenciales de la clientela han sido actualizados.</v>
          </cell>
          <cell r="D188" t="str">
            <v>Note: Customer spreads have been restated.</v>
          </cell>
        </row>
        <row r="189">
          <cell r="C189" t="str">
            <v>Capital y Reservas</v>
          </cell>
          <cell r="D189" t="str">
            <v>Shareholders' funds</v>
          </cell>
        </row>
        <row r="190">
          <cell r="C190" t="str">
            <v xml:space="preserve">Hogares - Prestamos Hipotecarios </v>
          </cell>
        </row>
        <row r="191">
          <cell r="C191" t="str">
            <v>Hogares - Consumo</v>
          </cell>
        </row>
        <row r="192">
          <cell r="C192" t="str">
            <v>Hogares - Tarjetas  de crédito</v>
          </cell>
        </row>
        <row r="193">
          <cell r="C193" t="str">
            <v>Sector público</v>
          </cell>
          <cell r="D193" t="str">
            <v>Public Sector</v>
          </cell>
        </row>
        <row r="194">
          <cell r="C194" t="str">
            <v>Sociedades financieras y sociedades no financieras</v>
          </cell>
        </row>
        <row r="195">
          <cell r="C195" t="str">
            <v>Otros</v>
          </cell>
        </row>
        <row r="196">
          <cell r="C196" t="str">
            <v>Crédito no dudoso en gestión (*)</v>
          </cell>
        </row>
        <row r="197">
          <cell r="C197" t="str">
            <v>Resto de Empresas</v>
          </cell>
        </row>
        <row r="198">
          <cell r="C198" t="str">
            <v>Sector Público</v>
          </cell>
        </row>
        <row r="199">
          <cell r="C199" t="str">
            <v>Pymes</v>
          </cell>
        </row>
        <row r="200">
          <cell r="C200" t="str">
            <v>Consumo</v>
          </cell>
        </row>
        <row r="201">
          <cell r="C201" t="str">
            <v>Tarjeta de Crédito</v>
          </cell>
        </row>
        <row r="202">
          <cell r="C202" t="str">
            <v>Hipotecario</v>
          </cell>
        </row>
        <row r="203">
          <cell r="C203" t="str">
            <v>Resto Minorista</v>
          </cell>
        </row>
        <row r="204">
          <cell r="C204" t="str">
            <v>Total Cartera Vigente</v>
          </cell>
        </row>
        <row r="205">
          <cell r="C205" t="str">
            <v>Resto Comercial</v>
          </cell>
          <cell r="D205" t="str">
            <v>Other Commercial</v>
          </cell>
        </row>
        <row r="206">
          <cell r="C206" t="str">
            <v>Mexico (***)</v>
          </cell>
          <cell r="D206" t="str">
            <v>Mexico (***)</v>
          </cell>
        </row>
        <row r="207">
          <cell r="C207" t="str">
            <v xml:space="preserve">Criterio Local Contable(***) </v>
          </cell>
          <cell r="D207" t="str">
            <v xml:space="preserve">According to Local GAAP(***) </v>
          </cell>
        </row>
        <row r="208">
          <cell r="C208" t="str">
            <v>Incluye fondos de inversión, carteras gestionadas , fondos de pensiones y otros recursos fuera de balance.(*)</v>
          </cell>
          <cell r="D208" t="str">
            <v xml:space="preserve">Includes investment funds, managed portfolios, pension funds and other off-balance sheet funds. (*) </v>
          </cell>
        </row>
        <row r="209">
          <cell r="C209" t="str">
            <v>No incluye las cesiones temporales de activos.  (**)</v>
          </cell>
          <cell r="D209" t="str">
            <v>Excluding repos  (**)</v>
          </cell>
        </row>
        <row r="210">
          <cell r="C210" t="str">
            <v xml:space="preserve"> Recursos de clientes en gestión (**)</v>
          </cell>
          <cell r="D210" t="str">
            <v>Customer funds under management (**)</v>
          </cell>
        </row>
        <row r="211">
          <cell r="C211" t="str">
            <v>Hipotecario</v>
          </cell>
          <cell r="D211" t="str">
            <v>Mortages</v>
          </cell>
        </row>
        <row r="212">
          <cell r="C212" t="str">
            <v>Consumo  y tarjetas de Credito</v>
          </cell>
          <cell r="D212" t="str">
            <v>Consumer &amp; Credit Cards</v>
          </cell>
        </row>
        <row r="213">
          <cell r="C213" t="str">
            <v>Negocios retail</v>
          </cell>
          <cell r="D213" t="str">
            <v>Very small business</v>
          </cell>
        </row>
        <row r="214">
          <cell r="C214" t="str">
            <v>Empresas medianas</v>
          </cell>
          <cell r="D214" t="str">
            <v>Mid-size companies</v>
          </cell>
        </row>
        <row r="215">
          <cell r="C215" t="str">
            <v>Corporativa + CIB</v>
          </cell>
          <cell r="D215" t="str">
            <v>Corporates + CIB</v>
          </cell>
        </row>
        <row r="216">
          <cell r="C216" t="str">
            <v>Sector público</v>
          </cell>
          <cell r="D216" t="str">
            <v>Public Sector</v>
          </cell>
        </row>
        <row r="217">
          <cell r="C217" t="str">
            <v>Otros</v>
          </cell>
          <cell r="D217" t="str">
            <v>Other</v>
          </cell>
        </row>
        <row r="218">
          <cell r="C218" t="str">
            <v>Resto Minorista</v>
          </cell>
          <cell r="D218" t="str">
            <v>Other Retail</v>
          </cell>
        </row>
        <row r="219">
          <cell r="C219" t="str">
            <v>Resto Empresas</v>
          </cell>
          <cell r="D219" t="str">
            <v>Other Commercial</v>
          </cell>
        </row>
        <row r="220">
          <cell r="C220" t="str">
            <v xml:space="preserve">Nota general: la aplicación de la contabilidad por hiperinflación en Argentina se realizó por primera vez en septiembre del 2018 con efectos contables 1 de enero del 2018, recogiéndose el impacto de los nueve meses en el tercer trimestre. Con el fin de que la información del 2019 sea comparable con la del 2018, se ha procedido a reexpresar el balance de situación de los tres primeros trimestres del 2018 para recoger los impactos de la inflación sobre los activos y pasivos del mismo. </v>
          </cell>
          <cell r="D220" t="str">
            <v>General note: the application of accounting for hyperinflation in Argentina was performed for the first time in September 2018 with accounting effects on January 1, 2018, recording the impact of the nine months in the third quarter. In order to make the 2019 information comparable to the 2018, the balance sheet of the first three quarters of 2018 has been reexpressed to reflect the impacts of inflation on its assets and liabilities.</v>
          </cell>
        </row>
        <row r="221">
          <cell r="C221" t="str">
            <v>Nota general: la aplicación de la contabilidad por hiperinflación en Argentina se realizó por primera vez en septiembre del 2018 con efectos contables 1 de enero del 2018, recogiéndose el impacto de los 9 meses en el tercer trimestre. Con el fin de que la información del 2019 sea comparable con la del 2018, se ha procedido a reexpresar las cuentas de resultados de los tres primeros trimestres del 2018 para recoger los impactos de la inflación sobre los ingresos y gastos de las mismas.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v>
          </cell>
          <cell r="D221" t="str">
            <v>General note: the application of accounting for hyperinflation in Argentina was performed for the first time in September 2018 with accounting effects on January 1, 2018, recording the impact of the 9 months in the third quarter. In order to make the 2019 information comparable to the 2018, the income statements for the first three quarters of 2018 have been reexpressed to reflect the impacts of inflation on their income and expenses.</v>
          </cell>
        </row>
        <row r="222">
          <cell r="C222" t="str">
            <v>(1) Incluye plusvalías netas de la venta de BBVA Chile.</v>
          </cell>
          <cell r="D222" t="str">
            <v>(1) Includes net capital gains  from the sale of BBVA Chile.</v>
          </cell>
        </row>
        <row r="223">
          <cell r="C223" t="str">
            <v>(2) Ajustado por remuneración de instrumentos de capital de nivel 1 adicional.</v>
          </cell>
          <cell r="D223" t="str">
            <v>(2) Adjusted by additional Tier 1 instrument remuneration.</v>
          </cell>
        </row>
        <row r="224">
          <cell r="C224" t="str">
            <v>CRD IV fully loaded</v>
          </cell>
          <cell r="D224" t="str">
            <v>CRD IV fully loaded</v>
          </cell>
        </row>
        <row r="225">
          <cell r="C225" t="str">
            <v>Grupo BBVA. Cuentas de resultados proforma (*)</v>
          </cell>
          <cell r="D225" t="str">
            <v>BBVA group. Consolidated income statements proforma (*)</v>
          </cell>
        </row>
        <row r="226">
          <cell r="C226" t="str">
            <v>(*) No se incluye los resultados de los dos primeros trimestres del 2018 de BBVA Chile ni las plusvalías por su venta del tercer trimestre del 2018.</v>
          </cell>
          <cell r="D226" t="str">
            <v>(*) Not including BBVA Chile`s profit for the 2 first quarters of 2018 and net capital gains in 3Q 2018 of its sale .</v>
          </cell>
        </row>
        <row r="227">
          <cell r="C227" t="str">
            <v>Cuenta de resultados sin Chile</v>
          </cell>
          <cell r="D227" t="str">
            <v>Income statement w/o Chile</v>
          </cell>
        </row>
        <row r="228">
          <cell r="C228" t="str">
            <v>Cuentas de resultados consolidadas proforma</v>
          </cell>
          <cell r="D228" t="str">
            <v>Consolidated income statement proforma</v>
          </cell>
        </row>
        <row r="229">
          <cell r="C229" t="str">
            <v>Resultado de operaciones corporativas</v>
          </cell>
          <cell r="D229" t="str">
            <v>Result from corporate operations</v>
          </cell>
        </row>
        <row r="230">
          <cell r="C230" t="str">
            <v>(*) Se incluyen los resultados de los dos primeros trimestres del 2018 de BBVA Chile y las plusvalías por su venta del tercer trimestre del 2018.</v>
          </cell>
          <cell r="D230" t="str">
            <v>(*) Including BBVA Chile`s profit for the 2 first quarters of 2018 and net capital gains in 3Q 2018 of its sale .</v>
          </cell>
        </row>
        <row r="231">
          <cell r="C231" t="str">
            <v>(*) Hay pequeñas diferencias en el 1T 2019 de APRs entre las Areas de Negocio por reclasificaciones hechas posteriores al cierre no habiendo variacíon ninguna en el total de los APRs.</v>
          </cell>
          <cell r="D231" t="str">
            <v>(*) There are slight differences in the RWAs of the Business Units in the 1st Q  2019 due to reclasifications. The total amount of BBVA RWAs did not change.</v>
          </cell>
        </row>
        <row r="232">
          <cell r="C232" t="str">
            <v>Grupo BBVA</v>
          </cell>
          <cell r="D232" t="str">
            <v>BBVA Group</v>
          </cell>
        </row>
        <row r="233">
          <cell r="C233" t="str">
            <v>Balance Euro</v>
          </cell>
          <cell r="D233" t="str">
            <v>Euro Balance</v>
          </cell>
        </row>
        <row r="234">
          <cell r="C234" t="str">
            <v>España</v>
          </cell>
          <cell r="D234" t="str">
            <v>Spain</v>
          </cell>
        </row>
        <row r="235">
          <cell r="C235" t="str">
            <v>Italia</v>
          </cell>
          <cell r="D235" t="str">
            <v>Italy</v>
          </cell>
        </row>
        <row r="236">
          <cell r="C236" t="str">
            <v>Resto</v>
          </cell>
          <cell r="D236" t="str">
            <v>Rest</v>
          </cell>
        </row>
        <row r="237">
          <cell r="C237" t="str">
            <v>USA</v>
          </cell>
          <cell r="D237" t="str">
            <v>USA</v>
          </cell>
        </row>
        <row r="238">
          <cell r="C238" t="str">
            <v>Turquia</v>
          </cell>
          <cell r="D238" t="str">
            <v>Turkey</v>
          </cell>
        </row>
        <row r="239">
          <cell r="C239" t="str">
            <v>Mexico</v>
          </cell>
          <cell r="D239" t="str">
            <v>Mexico</v>
          </cell>
        </row>
        <row r="240">
          <cell r="C240" t="str">
            <v>Amércia del Sur</v>
          </cell>
          <cell r="D240" t="str">
            <v>South America</v>
          </cell>
        </row>
        <row r="241">
          <cell r="C241" t="str">
            <v>Total Cartera COAP</v>
          </cell>
          <cell r="D241" t="str">
            <v>Total ALCO Portfolio</v>
          </cell>
        </row>
        <row r="242">
          <cell r="C242" t="str">
            <v>Cartera COAP a Coste Amortizado</v>
          </cell>
          <cell r="D242" t="str">
            <v>ALCO Portfolio Hold to Collect</v>
          </cell>
        </row>
        <row r="243">
          <cell r="C243" t="str">
            <v>Cartera COAP a Valor Razonable</v>
          </cell>
          <cell r="D243" t="str">
            <v>ALCO Portfolio Hold to Collect and Sell</v>
          </cell>
        </row>
        <row r="244">
          <cell r="C244" t="str">
            <v>Carteras Coap</v>
          </cell>
          <cell r="D244" t="str">
            <v>ALCO Portfolio</v>
          </cell>
        </row>
        <row r="245">
          <cell r="C245" t="str">
            <v>(*) Serie de datos revisada 18-19 debido a cambio de criterio en la contabilización de cajeros.</v>
          </cell>
          <cell r="D245" t="str">
            <v>(*) Reviewed data serie 18-19 due to a change in the amount criteria of ATMs</v>
          </cell>
        </row>
        <row r="246">
          <cell r="C246" t="str">
            <v>(**) Reajuste del dato del 1T en 2T</v>
          </cell>
          <cell r="D246" t="str">
            <v>(**) Readjustment of 1Q19 in 2Q19</v>
          </cell>
        </row>
        <row r="247">
          <cell r="C247" t="str">
            <v>EEUU (*)</v>
          </cell>
          <cell r="D247" t="str">
            <v>USA (*)</v>
          </cell>
        </row>
        <row r="248">
          <cell r="C248" t="str">
            <v>Mexico (**)</v>
          </cell>
          <cell r="D248" t="str">
            <v>Mexico (**)</v>
          </cell>
        </row>
        <row r="249">
          <cell r="C249" t="str">
            <v>Provisiones o reversión de provisiones</v>
          </cell>
          <cell r="D249" t="str">
            <v>Provisions or reversal of provisions</v>
          </cell>
        </row>
        <row r="250">
          <cell r="C250" t="str">
            <v>Otros resultados</v>
          </cell>
          <cell r="D250" t="str">
            <v>Other results</v>
          </cell>
        </row>
        <row r="251">
          <cell r="C251" t="str">
            <v>Resultado atribuido sin el deterioro del fondo de comercio de Estados Unidos y sin BBVA Chile (*)</v>
          </cell>
          <cell r="D251" t="str">
            <v>Net attributable profit excluding the goodwill impairment in the United States and BBVA Chile (*)</v>
          </cell>
        </row>
        <row r="252">
          <cell r="C252" t="str">
            <v>Resultado Atribuido (*)</v>
          </cell>
          <cell r="D252" t="str">
            <v>Net attributable profit (*)</v>
          </cell>
        </row>
        <row r="253">
          <cell r="C253" t="str">
            <v>(*) Resultados generados por BBVA Chile hasta su venta el 6 de julio del 2018 y las plusvalías de la operación</v>
          </cell>
          <cell r="D253" t="str">
            <v>(*) BBVA Chile recurrent profit until the sale as of 6 July, 2018 and the capital gains of the operation</v>
          </cell>
        </row>
        <row r="254">
          <cell r="C254" t="str">
            <v>(*)No incluye Resultados generados por BBVA Chile hasta su venta el 6 de julio del 2018 ni las plusvalías de la operación, tampoco el deterioro del fondo de comercio de Estados Unidos.</v>
          </cell>
          <cell r="D254" t="str">
            <v>(*) Not including BBVA Chile recurrent profit until the sale as of 6 July 2018 and and the capital gains of the operation neither the goodwill impairment in the United States</v>
          </cell>
        </row>
        <row r="255">
          <cell r="C255" t="str">
            <v>Nota general: la aplicación de la contabilidad por hiperinflación en Argentina se realizó por primera vez en septiembre del 2018 con efectos contables 1 de enero del 2018, recogiéndose el impacto de los 9 meses en el tercer trimestre.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v>
          </cell>
          <cell r="D255" t="str">
            <v>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v>
          </cell>
        </row>
        <row r="256">
          <cell r="C256" t="str">
            <v>Resultado atribuido sin BBVA Chile (*)</v>
          </cell>
          <cell r="D256" t="str">
            <v>Net Atributable Profit ex BBVA Chile (*)</v>
          </cell>
        </row>
        <row r="257">
          <cell r="C257" t="str">
            <v>(*) Plusvalías por la venta de BBVA Chile del tercer trimestre de 2018.</v>
          </cell>
          <cell r="D257" t="str">
            <v>(*) Net capital gains of BBVA Chile sale on the 3rd Q of 2018.</v>
          </cell>
        </row>
        <row r="258">
          <cell r="C258" t="str">
            <v>(1) En aplicación de la NIC 29 "Información en economías hiperinflacionarias", la conversión de la cuenta de resultados de Argentina Y Turquía se hace empleando el tipo de cambio final.</v>
          </cell>
          <cell r="D258" t="str">
            <v xml:space="preserve">(1) According to IAS 29 "Financial information in hyperinflationary economies", the year-end exchange rate is used for the conversion of the Argentina and Turkey income statement. </v>
          </cell>
        </row>
        <row r="259">
          <cell r="C259" t="str">
            <v xml:space="preserve">Nota general: como consecuencia de una interpretación emitida por el IFRIC (International Financial Reporting Standards Interpretations Committee) relativa al cobro de intereses de fallidos en el marco de la NIIF 9, dichos cobros se presentan como menor saneamiento crediticio y no como un mayor ingreso por intereses, método de reconocimiento aplicado hasta diciembre de 2019. Por ello, y con el fin de que la información sea comparable, se ha procedido a reexpresar la información de la cuenta de resultados del primer semestre de 2019. </v>
          </cell>
          <cell r="D259" t="str">
            <v>General note: as a result of the interpretation issued by the International Financial Reporting Standards Interpretations Committee (IFRIC) regarding the collecting of interests of written-off financial assets for the purpose of IFRS 9, those collections are presented as reduction of the credit allowances and not as a higher interest income, recognition method applied until December 2019. Therefore, and in order to make the information comparable, the first six months information of the 2019 income statements has been restated.</v>
          </cell>
        </row>
        <row r="260">
          <cell r="C260" t="str">
            <v>Resultado atribuido sin el deterioro del fondo de comercio de Estados Unidos (*)</v>
          </cell>
          <cell r="D260" t="str">
            <v>Net attributable profit excluding the goodwill impairment in the United States (*)</v>
          </cell>
        </row>
        <row r="261">
          <cell r="C261" t="str">
            <v>Operaciones Corporativas (1)</v>
          </cell>
          <cell r="D261" t="str">
            <v>Corporate Operations (1)</v>
          </cell>
        </row>
        <row r="262">
          <cell r="C262" t="str">
            <v>Resultado después de impuestos</v>
          </cell>
          <cell r="D262" t="str">
            <v>Result after Tax</v>
          </cell>
        </row>
        <row r="263">
          <cell r="C263" t="str">
            <v>(1) Incluye el resultado neto de impuestos por la venta a Allianz de la mitad más una acción de la sociedad constituida para impulsar de forma conjunta el negocio de seguros de no vida en España, excluyendo el ramo de salud.</v>
          </cell>
          <cell r="D263" t="str">
            <v>(1) Include the net capital gain from the sale to Allianz the half plus one share of the company created to jointly develop the non-life insurance business in Spain, excluding the health insurance line.</v>
          </cell>
        </row>
        <row r="264">
          <cell r="C264" t="str">
            <v>Resultado atribuido sin el deterioro del fondo de comercio de Estados Unidos y sin operaciones corporativas</v>
          </cell>
          <cell r="D264" t="str">
            <v>Net attributable profit/(loss) excluding the goodwill impairment in the United States and corporate operations</v>
          </cell>
        </row>
        <row r="265">
          <cell r="C265" t="str">
            <v>Resto de Negocios</v>
          </cell>
          <cell r="D265" t="str">
            <v>Rest of Business</v>
          </cell>
        </row>
        <row r="266">
          <cell r="C266" t="str">
            <v>Nuevo Holding</v>
          </cell>
          <cell r="D266" t="str">
            <v>New Holding</v>
          </cell>
        </row>
        <row r="267">
          <cell r="C267" t="str">
            <v>Nota general: cifras sin considerar la clasificación de BBVA Paraguay como Activos y Pasivos No corrientes en Venta a 31-12-2020 y 31-12-2019 y a 31-12-2020 BBVA USA y el resto de sociedades del Grupo en Estados Unidos incluidas en el acuerdo de venta suscrito con PNC.</v>
          </cell>
          <cell r="D267" t="str">
            <v>General note: figures without considering the classification of BBVA Paraguay as Non-current Assets and Liabilities Held for Sale as of 31-12-2020 and 31-12-2019 and BBVA USA and the rest of Group's companies in the United States included in the sale agreement signed with PNC as Non-current Assets and Liabilities Held For Sale as of 31-12-2020.</v>
          </cell>
        </row>
        <row r="268">
          <cell r="C268" t="str">
            <v>Centro Corporativo (para resto de negocios)</v>
          </cell>
          <cell r="D268" t="str">
            <v>Corporate Center (for rest of business)</v>
          </cell>
        </row>
        <row r="269">
          <cell r="C269" t="str">
            <v>Sociedades de la filial de Estados Unidos excluidas del acuerdo de venta</v>
          </cell>
          <cell r="D269" t="str">
            <v>Companies excluded from the sale agreement of the BBVA subsidiary in the United States</v>
          </cell>
        </row>
        <row r="270">
          <cell r="C270" t="str">
            <v>A partir del 1T21, a efectos de información de gestión, el negocio de EE.UU. vendido a PNC se mostrará como una rúbrica del balance y de la cuenta de resultados, en línea con la reclasificación contable a "Activo no corriente disponible para la venta" que tuvo lugar en el 4T20. A efectos informativos, ofrecemos a continuación una agregación del negocio de CIB en EE.UU. que no está incluido en el acuerdo con PNC y la información que se presenta actualmente como Resto de Eurasia.,</v>
          </cell>
          <cell r="D270" t="str">
            <v>Starting in 1Q21, for management reporting purposes, the US Business sold to PNC will be shown as one Balance Sheet and one P&amp;L heading, in line with the accounting reclassification to Non Current Asset Available for sale which took place in 4Q20. For informational purposes, we are providing below an aggregation of the CIB business in the US that is not included in the agreement with PNC and the information currently reported as Rest of Eurasia.</v>
          </cell>
        </row>
        <row r="271">
          <cell r="C271" t="str">
            <v>A partir del 1T21, a efectos de información de gestión, el negocio de EE.UU. vendido a PNC se mostrará como una rúbrica del balance y de la cuenta de resultados, en línea con la reclasificación contable a "Activo no corriente disponible para la venta" que tuvo lugar en el 4T20. En consecuencia, se presenta a continuación a efectos informativos una agregación del Centro Corporativo y de todos los demás negocios de EE.UU. que no están incluidos en el acuerdo con PNC y que no han sido agregados al Resto de Eurasia en la página anterior.</v>
          </cell>
          <cell r="D271" t="str">
            <v>Starting in 1Q21, for management reporting purposes, the US Business sold to PNC will be shown as one Balance Sheet and one P&amp;L heading, in line with the accounting reclassification to Non Current Asset Available for sale which took place in 4Q20. As a result, for informational purposes, you can find below an aggregation of the Corporate Center and all the other US businesses that are not included in the agreement with PNC and have not been added to the Rest of Eurasia in the previous page. </v>
          </cell>
        </row>
        <row r="272">
          <cell r="C272" t="str">
            <v>A efectos informativos, facilitamos a continuación 8 trimestres de información histórica del perímetro actualmente reportado como EE.UU. que permanecerá en BBVA una vez cerrado el acuerdo anunciado con PNC. </v>
          </cell>
          <cell r="D272" t="str">
            <v>For informational purposes, we are providing below 8 quarters of historical information of the perimeter currently reported as USA that will remain with BBVA once the announced agreement with PNC has been closed.   </v>
          </cell>
        </row>
        <row r="273">
          <cell r="C273" t="str">
            <v>EEUU vendido</v>
          </cell>
          <cell r="D273" t="str">
            <v>USA sold</v>
          </cell>
        </row>
        <row r="274">
          <cell r="C274" t="str">
            <v>Centro Corporativo (1)</v>
          </cell>
          <cell r="D274" t="str">
            <v>Corporate Center (1)</v>
          </cell>
        </row>
        <row r="275">
          <cell r="C275" t="str">
            <v>(1) Incluye los APRs del negocio de EEUU vendido</v>
          </cell>
          <cell r="D275" t="str">
            <v>(1) Includes RWAs from the USA business sold.</v>
          </cell>
        </row>
        <row r="276">
          <cell r="C276" t="str">
            <v>(1) Incluye EEUU como operación discontinuada, el deterioro del fondo de comercio de Estados Unidos, y el resultado neto de impuestos por la venta a Allianz de la mitad más una acción de la sociedad constituida para impulsar de forma conjunta el negocio de seguros de no vida en España, excluyendo el ramo de salud</v>
          </cell>
          <cell r="D276" t="str">
            <v>(1) Includes USA as discontinued operation, the goodwill impaiment in USA and the net capital gain from the sale to Allianz of the half plus one share of the company created to jointly develop the non-life insurance business in Spain, excluding the health insurance line.</v>
          </cell>
        </row>
        <row r="277">
          <cell r="C277" t="str">
            <v>Grupo BBVA  (*)</v>
          </cell>
          <cell r="D277" t="str">
            <v>BBVA Group  (*)</v>
          </cell>
        </row>
        <row r="278">
          <cell r="C278" t="str">
            <v>Grupo BBVA  (**)</v>
          </cell>
          <cell r="D278" t="str">
            <v>BBVA Group  (**)</v>
          </cell>
        </row>
        <row r="279">
          <cell r="C279" t="str">
            <v>(**) Grupo BBVA no incluye el negocio vendido de EEUU vendido a PNC.</v>
          </cell>
          <cell r="D279" t="str">
            <v>(**) BBVA Group excludes  the US Business sold to PNC.</v>
          </cell>
        </row>
        <row r="280">
          <cell r="C280" t="str">
            <v>(*) Grupo BBVA no incluye el negocio vendido de EEUU vendido a PNC.</v>
          </cell>
          <cell r="D280" t="str">
            <v>(*) BBVA Group excludes  the US Business sold to PNC.</v>
          </cell>
        </row>
        <row r="281">
          <cell r="C281" t="str">
            <v>Resto de geografías</v>
          </cell>
          <cell r="D281" t="str">
            <v>Rest of geographies</v>
          </cell>
        </row>
        <row r="282">
          <cell r="C282" t="str">
            <v>Corporate &amp; Investment Banking (*)</v>
          </cell>
          <cell r="D282" t="str">
            <v>Corporate &amp; Investment Banking (*)</v>
          </cell>
        </row>
        <row r="283">
          <cell r="C283" t="str">
            <v>(*) No incluye el negocio de CIB vendido a PNC.</v>
          </cell>
          <cell r="D283" t="str">
            <v>(*) Excludes  the CIB Business sold to PNC.</v>
          </cell>
        </row>
        <row r="284">
          <cell r="C284" t="str">
            <v>Dotación de capital regulatorio</v>
          </cell>
          <cell r="D284" t="str">
            <v>Regulatory capital allocated</v>
          </cell>
        </row>
        <row r="285">
          <cell r="C285" t="str">
            <v xml:space="preserve">América del Sur </v>
          </cell>
          <cell r="D285" t="str">
            <v xml:space="preserve">South America </v>
          </cell>
        </row>
        <row r="286">
          <cell r="C286" t="str">
            <v>No incluye Paraguay (***)</v>
          </cell>
          <cell r="D286" t="str">
            <v>Paraguay excluded  (***)</v>
          </cell>
        </row>
        <row r="287">
          <cell r="C287" t="str">
            <v>Préstamos Hogares TL</v>
          </cell>
          <cell r="D287" t="str">
            <v>Retail Loans TL</v>
          </cell>
        </row>
        <row r="288">
          <cell r="C288" t="str">
            <v>Préstamos Empresas TL</v>
          </cell>
          <cell r="D288" t="str">
            <v>Commercial Loans TL</v>
          </cell>
        </row>
        <row r="289">
          <cell r="C289" t="str">
            <v>Total Préstamos TL</v>
          </cell>
          <cell r="D289" t="str">
            <v>Total Loans TL</v>
          </cell>
        </row>
        <row r="290">
          <cell r="C290" t="str">
            <v>Total Préstamos FC</v>
          </cell>
          <cell r="D290" t="str">
            <v>Total Loans FC</v>
          </cell>
        </row>
        <row r="291">
          <cell r="C291" t="str">
            <v>Depósitos Vista TL</v>
          </cell>
          <cell r="D291" t="str">
            <v>Demand Deposits TL</v>
          </cell>
        </row>
        <row r="292">
          <cell r="C292" t="str">
            <v>Depósitos Plazo TL</v>
          </cell>
          <cell r="D292" t="str">
            <v>Total Time Deposits TL</v>
          </cell>
        </row>
        <row r="293">
          <cell r="C293" t="str">
            <v>Total Depósitos TL</v>
          </cell>
          <cell r="D293" t="str">
            <v>Total Deposits TL</v>
          </cell>
        </row>
        <row r="294">
          <cell r="C294" t="str">
            <v>Depósitos Vista FC</v>
          </cell>
          <cell r="D294" t="str">
            <v>Demand Deposits FC</v>
          </cell>
        </row>
        <row r="295">
          <cell r="C295" t="str">
            <v>Depósitos Plazo FC</v>
          </cell>
          <cell r="D295" t="str">
            <v>Total Time Deposits FC</v>
          </cell>
        </row>
        <row r="296">
          <cell r="C296" t="str">
            <v>Total Depósitos FC</v>
          </cell>
          <cell r="D296" t="str">
            <v>Total Deposits FC</v>
          </cell>
        </row>
        <row r="297">
          <cell r="C297" t="str">
            <v>(TL Lira Turca FC Moneda Extranjera)</v>
          </cell>
          <cell r="D297" t="str">
            <v>(TL Turkish Lira FC Foreign Currency)</v>
          </cell>
        </row>
        <row r="298">
          <cell r="C298" t="str">
            <v>Turquia solo Banco</v>
          </cell>
          <cell r="D298" t="str">
            <v>Turkey Bank only</v>
          </cell>
        </row>
        <row r="299">
          <cell r="C299" t="str">
            <v>Nota general : Cifras considerando la clasificación de las sociedades incluidas en el acuerdo de venta suscrito con PNC como Activos y Pasivos No corrientes en Venta.</v>
          </cell>
          <cell r="D299" t="str">
            <v>General note: figures considering companies in the United States included in the sale agreement signed with PNC as Non-current Assets and Liabilities Held for Sale</v>
          </cell>
        </row>
        <row r="300">
          <cell r="C300" t="str">
            <v>Operaciones Corporativas y Discontinuadas</v>
          </cell>
          <cell r="D300" t="str">
            <v>Corporate &amp; discontinued operations</v>
          </cell>
        </row>
        <row r="301">
          <cell r="C301" t="str">
            <v xml:space="preserve"> (***) No incluye Paraguay</v>
          </cell>
          <cell r="D301" t="str">
            <v xml:space="preserve">(***) Paraguay excluded </v>
          </cell>
        </row>
        <row r="302">
          <cell r="C302" t="str">
            <v>América del Sur  (incluye Paraguay)</v>
          </cell>
          <cell r="D302" t="str">
            <v>South America (Paraguay Included)</v>
          </cell>
        </row>
        <row r="303">
          <cell r="C303" t="str">
            <v>Resultado Atribuido sin Operaciones Corporativas y Discontinuadas</v>
          </cell>
          <cell r="D303" t="str">
            <v>Net attributable profit/(loss) excluding Corporate &amp; discontinued operations</v>
          </cell>
        </row>
        <row r="304">
          <cell r="C304" t="str">
            <v>Operaciones interrumpidas y corporativas, y costes netos asociados al proceso de reestructuración.(1)</v>
          </cell>
          <cell r="D304" t="str">
            <v>Discontinued &amp; corporate operations, and net cost related to the restructuring process. (1)</v>
          </cell>
        </row>
        <row r="305">
          <cell r="C305" t="str">
            <v> Beneficio Atribuido (sin operaciones interrumpidas y corporativas, y costes netos asociados al proceso de reestructuración).</v>
          </cell>
          <cell r="D305" t="str">
            <v> Net Attributable Profit (ex discontinued &amp; corporate operations, and net cost related to the restructuring process).</v>
          </cell>
        </row>
        <row r="306">
          <cell r="C306" t="str">
            <v>(1) Incluye EEUU como operación discontinuada, el deterioro del fondo de comercio de Estados Unidos,  el resultado neto de impuestos por la venta a Allianz de la mitad más una acción de la sociedad constituida para impulsar de forma conjunta el negocio de seguros de no vida en España, excluyendo el ramo de salud y los costes netos asociados al proceso de reestructuración.</v>
          </cell>
          <cell r="D306" t="str">
            <v>(1) Includes USA as discontinued operation, the goodwill impaiment in USA, the net capital gain from the sale to Allianz of the half plus one share of the company created to jointly develop the non-life insurance business in Spain, excluding the health insurance line and net cost related to the reestructuring process.</v>
          </cell>
        </row>
        <row r="307">
          <cell r="C307" t="str">
            <v>Resultado atribuido excluyendo impactos no recurrentes</v>
          </cell>
          <cell r="D307" t="str">
            <v>Net attributable profit excluding non recurring impacts</v>
          </cell>
        </row>
        <row r="308">
          <cell r="C308" t="str">
            <v>Resultado después de impuestos de operaciones interrumpidas (1)</v>
          </cell>
          <cell r="D308" t="str">
            <v>Profit/(loss) after tax form discontinued operations (1)</v>
          </cell>
        </row>
        <row r="309">
          <cell r="C309" t="str">
            <v>Operaciones Corporativas (2)</v>
          </cell>
          <cell r="D309" t="str">
            <v>Corporate Operations (2)</v>
          </cell>
        </row>
        <row r="310">
          <cell r="C310" t="str">
            <v>Costes netos asociados al proceso de reestructuración</v>
          </cell>
          <cell r="D310" t="str">
            <v>Net cost related to the reestructuring process.</v>
          </cell>
        </row>
        <row r="311">
          <cell r="C311" t="str">
            <v>(1) Incluye EEUU como operación interrumpida y el deterioro del fondo de comercio de Estados Unidos registrado en el primer trimestre de 2020 por importe de 2084 millones de euros</v>
          </cell>
          <cell r="D311" t="str">
            <v>(1) Includes USA as discontinued operation and the goodwill impaiment in USA for 2084 millions of euros registered in the 1stQ of 2020.</v>
          </cell>
        </row>
        <row r="312">
          <cell r="C312" t="str">
            <v xml:space="preserve">(2) Incluye el resultado neto de impuestos por la venta a Allianz de la mitad más una acción de la sociedad constituida para impulsar de forma conjunta el negocio de seguros de no vida en España, excluyendo el ramo de salud </v>
          </cell>
          <cell r="D312" t="str">
            <v xml:space="preserve">(2) Includes the net capital gain from the sale to Allianz of the half plus one share of the company created to jointly develop the non-life insurance business in Spain, excluding the health insurance line </v>
          </cell>
        </row>
        <row r="313">
          <cell r="C313" t="str">
            <v>Operaciones Corporativas e Interrumpidas(1)</v>
          </cell>
          <cell r="D313" t="str">
            <v>Corporate &amp; discontinued operations(1)</v>
          </cell>
        </row>
        <row r="314">
          <cell r="C314" t="str">
            <v>(1) Incluen los resultados generados por BBVA USA y el resto de sociedades de EEUU vendidas a PNC el 1 de junio de 2021</v>
          </cell>
          <cell r="D314" t="str">
            <v>(1) Includes the profit generated by BBVA USA and the rest of the US companies sold to PNC on 1st ofJjune of 2021.</v>
          </cell>
        </row>
        <row r="315">
          <cell r="C315" t="str">
            <v>(1) En aplicación de la NIC 21 "Efectos de las variaciones en los tipos de cambio de la moneda extranjera", la conversión de la cuenta de resultados de Turquía y Argentina se hace empleando el tipo de cambio final.</v>
          </cell>
          <cell r="D315" t="str">
            <v>(1) According to IAS 21 "Effects of changes in foreign currency exchange rates", the translation of the income statement for Turkey and Argentina is made using the final exchange rate.</v>
          </cell>
        </row>
        <row r="316">
          <cell r="C316" t="str">
            <v>(1) Incluen los resultados generados por BBVA USA y el resto de sociedades de EEUU vendidas a PNC el 1 de junio de 2021 y la adquisición de la Socimi Tree.</v>
          </cell>
          <cell r="D316" t="str">
            <v>(1) Includes the profit generated by BBVA USA and the rest of the US companies sold to PNC on 1st ofJjune of 2021 and the acquisition of the Socimi Tree.</v>
          </cell>
        </row>
        <row r="317">
          <cell r="C317" t="str">
            <v>Resultado de operaciones interrumpidas y otros (1)</v>
          </cell>
          <cell r="D317" t="str">
            <v>Discontinued operations and Others (1)</v>
          </cell>
        </row>
        <row r="318">
          <cell r="C318" t="str">
            <v>(1) Incluen los resultados generados por BBVA USA y el resto de sociedades de EEUU vendidas a PNC el 1 de junio de 2021, los costes netos asociados al proceso de reestructuración y el impacto neto de la compra de oficinas en España. (más detalle en las áreas de España y Centro Corporativo)</v>
          </cell>
          <cell r="D318" t="str">
            <v>(1) Includes the profit generated by BBVA USA and the rest of the US companies sold to PNC on 1st of June of 2021, the net cost related to the reestructuring process. and net impact arisen form the purchase of offices in Spain. (for further detail in Spain and Corporate centre)</v>
          </cell>
        </row>
        <row r="319">
          <cell r="C319" t="str">
            <v>(1)Adquisición de oficinas en España</v>
          </cell>
          <cell r="D319" t="str">
            <v>(1)Acquisition of branches in Spain.</v>
          </cell>
        </row>
        <row r="320">
          <cell r="C320" t="str">
            <v>Operaciones Corporativas e Interrumpidas</v>
          </cell>
          <cell r="D320" t="str">
            <v>Corporate &amp; discontinued operations</v>
          </cell>
        </row>
        <row r="321">
          <cell r="C321" t="str">
            <v>Impacto neto de la compra de oficinas en España</v>
          </cell>
          <cell r="D321" t="str">
            <v>Net impact arisen from the purchase of offices in Spain</v>
          </cell>
        </row>
        <row r="322">
          <cell r="C322" t="str">
            <v>(*)El dato del trimestre en curso es provisional</v>
          </cell>
          <cell r="D322" t="str">
            <v>(*)The data for the current quarter is provisional</v>
          </cell>
        </row>
      </sheetData>
      <sheetData sheetId="56">
        <row r="2">
          <cell r="F2">
            <v>7</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ans"/>
      <sheetName val="Deposits"/>
      <sheetName val="Net Int Inc"/>
      <sheetName val="NII"/>
      <sheetName val="NIE"/>
      <sheetName val="Salaries"/>
      <sheetName val="Pretax"/>
      <sheetName val="Spreads"/>
      <sheetName val="STrend"/>
      <sheetName val="DepMix"/>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 Memo - Cred Comm Version"/>
      <sheetName val="Pat's Memo - Board Version"/>
      <sheetName val="Pg 1a- Total Managed Loans"/>
      <sheetName val="Pg 1 - Summary"/>
      <sheetName val="Pg 1a - Summary by Loan Type"/>
      <sheetName val="Pg 2 - Delinquency"/>
      <sheetName val="Pg 3 - Non Performing"/>
      <sheetName val="Pg 4 - Charge-Offs"/>
      <sheetName val="Pg 5 - Loans OS"/>
      <sheetName val="Pg 6 - Commercial"/>
      <sheetName val="Pg 7 - SBA"/>
      <sheetName val="Pg 8 - RE Const-Combo"/>
      <sheetName val="Pg 8a1 - RE Const-Residential"/>
      <sheetName val="Pg 8a2- RE Const-Res LHFS"/>
      <sheetName val="Pg 8b1 - RE Const-Commercial"/>
      <sheetName val="Pg 8b2- RE Const-Comm LHFS"/>
      <sheetName val="Pg 9 - Comm RE"/>
      <sheetName val="Pg 9a- Comm RE LHFS"/>
      <sheetName val="Pg 10 - Residential RE"/>
      <sheetName val="Pg 10a - Residential RE 1-4 Fam"/>
      <sheetName val="Pg 10b- ResRE Securitized"/>
      <sheetName val="Pg 11 - Total Equity Loans"/>
      <sheetName val="Pg 12 - Equity Loans-1st Pos."/>
      <sheetName val="Pg 12a - Eq Lns-1st Pos-Secur."/>
      <sheetName val="Pg 13 - Equity Loans-Jr. Lien"/>
      <sheetName val="Pg 13a - Eq Lns-Jr. Lien-Secur."/>
      <sheetName val="Pg 14 - ELOC"/>
      <sheetName val="Pg 15 - Direct"/>
      <sheetName val="Page 16 - Credit Card - Total"/>
      <sheetName val="Page 16a - Credit Card - Cons"/>
      <sheetName val="Page 16b - Credit Card - NonCon"/>
      <sheetName val="Pg 17 - Overdraft Line of Cred."/>
      <sheetName val="Pg 17a - Attache Only"/>
      <sheetName val="Pg 18 - Comm Billing"/>
      <sheetName val="Pg 19 - Indirect"/>
      <sheetName val="Pg 20 - Overdraft"/>
      <sheetName val="Pg 21 - Net CO-ov"/>
      <sheetName val="Pg 22 - Renegotiated"/>
      <sheetName val="Pg 23 - 90 Days + PD"/>
      <sheetName val="Pg 24 - Non-Accrual"/>
      <sheetName val="Pg 24a - Non-Accrual Detail "/>
      <sheetName val="Pg 25 - Other Assets"/>
      <sheetName val="Pg 26 - ORE"/>
      <sheetName val="Pg 26a - ORE Detail"/>
      <sheetName val="Pg 27 - Charge Off"/>
      <sheetName val="Pg 28 - Loans OS - Commercial"/>
      <sheetName val="Pg 29 - Loans OS - RE Construc."/>
      <sheetName val="Pg 30 - Loans OS - RE Const Res"/>
      <sheetName val="Pg 31 - Loans OS - RE Const Com"/>
      <sheetName val="Pg 32 - Loans OS - Comm RE"/>
      <sheetName val="Pg 33 - Loans OS - Res RE"/>
      <sheetName val="Page 34 - Reg H"/>
      <sheetName val="Jacksonville RE - Combo"/>
      <sheetName val="Bad Bank Total"/>
      <sheetName val="Bad Bank Extraction"/>
      <sheetName val="Bad Bank - TSB Only"/>
      <sheetName val="TSB Good Bank"/>
      <sheetName val="TSB Bad Bank"/>
      <sheetName val="TSB Total Bank"/>
      <sheetName val="TSB Extraction"/>
      <sheetName val="Jacksonville Real Estate"/>
      <sheetName val="Jacksonville RE Recap-Good Bank"/>
      <sheetName val="Jacksonville Real Estate - SAG"/>
      <sheetName val="Jacksonville RE Recap-Bad Bank"/>
      <sheetName val="Jacksonville RE Recap-Combo"/>
      <sheetName val="Jacksonville RE Recap-Enrique"/>
      <sheetName val="Enrique Data - Working Tab"/>
      <sheetName val="TM1 Extraction"/>
      <sheetName val="Compass Good Bad &amp; Combo"/>
      <sheetName val="Compass Good Bad &amp; Combo Extrac"/>
      <sheetName val="DO NOT PRINT BEYOND THIS TAB!!!"/>
      <sheetName val="Statics - DO NOT PRINT"/>
      <sheetName val="Input - DO NOT PRINT"/>
      <sheetName val="Indirect Data"/>
      <sheetName val="Charge Off Last Month"/>
      <sheetName val="Chg Off by L.O.B.-C&amp;AM"/>
      <sheetName val="Chg Off by L.O.B. - Ret"/>
      <sheetName val="Chg Off Summary"/>
      <sheetName val="Pg 10b- ResRE Sec &quot;Prior&quot;"/>
      <sheetName val="Renegotiated"/>
      <sheetName val="CO-trends"/>
      <sheetName val="Real Estate"/>
      <sheetName val="Comm RE Securitized"/>
      <sheetName val="Comm Data"/>
      <sheetName val="ResRE Data"/>
      <sheetName val="Indirect Volume"/>
      <sheetName val="Comm Bank Delinquency Trends"/>
      <sheetName val="Pg 15c - BankCard"/>
      <sheetName val="Pg 15a - Bankcard"/>
      <sheetName val="Pg 2 - Delinquency Trends 1"/>
      <sheetName val="Pg 3 - Delinquency Trends 2"/>
      <sheetName val="REG H - old"/>
      <sheetName val="Indirect"/>
      <sheetName val="Pg 15 - BankCard"/>
      <sheetName val="Pg 15 - BankCard (2)"/>
      <sheetName val="Pg 10c- ResRE Securitized - OLD"/>
      <sheetName val="Pg 25 - Non-Accrual (2)"/>
      <sheetName val="Pg 10b - Residential RE Other"/>
      <sheetName val="Pg 19 - Auto Lease"/>
      <sheetName val="Pg 24a - Non-Accrual Detail"/>
      <sheetName val="Pg 27 - Charge Off (2)"/>
      <sheetName val="Module1"/>
      <sheetName val="Jacksonville RE - SAG"/>
      <sheetName val="Input"/>
      <sheetName val="Statics"/>
      <sheetName val="TM1Input"/>
      <sheetName val="CCR with TriStar"/>
      <sheetName val="NIE Input"/>
      <sheetName val="BILL - Current"/>
      <sheetName val="Auxiliar-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1"/>
      <sheetName val="Portafolios Sanos A C.Cuentas"/>
      <sheetName val="PLANES~1"/>
      <sheetName val="IC+RRCC+CARTERAS BEC_formulado"/>
      <sheetName val="Auxiliar"/>
      <sheetName val="Tablas"/>
      <sheetName val="Inv.Ren+Rec+Ti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BBVA">
  <a:themeElements>
    <a:clrScheme name="BBVA">
      <a:dk1>
        <a:srgbClr val="004481"/>
      </a:dk1>
      <a:lt1>
        <a:srgbClr val="FFFFFF"/>
      </a:lt1>
      <a:dk2>
        <a:srgbClr val="0A5FB4"/>
      </a:dk2>
      <a:lt2>
        <a:srgbClr val="121212"/>
      </a:lt2>
      <a:accent1>
        <a:srgbClr val="2A86CA"/>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zoomScale="70" zoomScaleNormal="70" workbookViewId="0">
      <selection activeCell="J25" sqref="J25"/>
    </sheetView>
  </sheetViews>
  <sheetFormatPr baseColWidth="10" defaultRowHeight="14.5"/>
  <cols>
    <col min="2" max="2" width="6.453125" customWidth="1"/>
    <col min="3" max="3" width="107.453125" customWidth="1"/>
    <col min="4" max="4" width="54.453125" customWidth="1"/>
  </cols>
  <sheetData>
    <row r="1" spans="1:9">
      <c r="A1" s="1"/>
      <c r="B1" s="1"/>
      <c r="C1" s="2"/>
      <c r="D1" s="2"/>
    </row>
    <row r="2" spans="1:9">
      <c r="A2" s="1"/>
      <c r="B2" s="1" t="s">
        <v>0</v>
      </c>
      <c r="C2" s="2" t="s">
        <v>1</v>
      </c>
      <c r="D2" s="2" t="s">
        <v>2</v>
      </c>
    </row>
    <row r="3" spans="1:9" ht="19.5">
      <c r="A3" s="1"/>
      <c r="B3" s="1">
        <v>1</v>
      </c>
      <c r="C3" s="3">
        <v>7</v>
      </c>
      <c r="D3" s="3">
        <v>8</v>
      </c>
      <c r="I3" s="4" t="s">
        <v>3</v>
      </c>
    </row>
    <row r="4" spans="1:9" ht="19.5">
      <c r="B4">
        <v>2</v>
      </c>
      <c r="C4" s="5" t="s">
        <v>4</v>
      </c>
      <c r="D4" s="5" t="s">
        <v>5</v>
      </c>
      <c r="I4" s="4" t="s">
        <v>6</v>
      </c>
    </row>
    <row r="5" spans="1:9" ht="19.5">
      <c r="B5">
        <v>3</v>
      </c>
      <c r="C5" s="5" t="s">
        <v>7</v>
      </c>
      <c r="D5" s="5" t="s">
        <v>8</v>
      </c>
      <c r="I5" s="4" t="s">
        <v>9</v>
      </c>
    </row>
    <row r="6" spans="1:9" ht="15.5">
      <c r="B6">
        <v>4</v>
      </c>
      <c r="C6" s="5" t="s">
        <v>10</v>
      </c>
      <c r="D6" s="5" t="s">
        <v>11</v>
      </c>
    </row>
    <row r="7" spans="1:9" ht="15.5">
      <c r="B7">
        <v>5</v>
      </c>
      <c r="C7" s="5" t="s">
        <v>12</v>
      </c>
      <c r="D7" s="5" t="s">
        <v>13</v>
      </c>
    </row>
    <row r="8" spans="1:9" ht="15.5">
      <c r="B8">
        <v>6</v>
      </c>
      <c r="C8" s="5" t="s">
        <v>14</v>
      </c>
      <c r="D8" s="5" t="s">
        <v>15</v>
      </c>
    </row>
    <row r="9" spans="1:9" ht="15.5">
      <c r="B9">
        <v>7</v>
      </c>
      <c r="C9" s="5" t="s">
        <v>16</v>
      </c>
      <c r="D9" s="5" t="s">
        <v>17</v>
      </c>
    </row>
    <row r="10" spans="1:9" ht="15.5">
      <c r="B10">
        <v>8</v>
      </c>
      <c r="C10" s="5" t="s">
        <v>18</v>
      </c>
      <c r="D10" s="5" t="s">
        <v>19</v>
      </c>
    </row>
    <row r="11" spans="1:9" ht="15.5">
      <c r="B11">
        <v>9</v>
      </c>
      <c r="C11" s="5" t="s">
        <v>20</v>
      </c>
      <c r="D11" s="5" t="s">
        <v>20</v>
      </c>
    </row>
    <row r="12" spans="1:9" ht="15.5">
      <c r="B12">
        <v>10</v>
      </c>
      <c r="C12" s="6" t="s">
        <v>21</v>
      </c>
      <c r="D12" s="6" t="s">
        <v>22</v>
      </c>
    </row>
    <row r="13" spans="1:9" ht="15.5">
      <c r="B13">
        <v>11</v>
      </c>
      <c r="C13" s="6" t="s">
        <v>23</v>
      </c>
      <c r="D13" s="6" t="s">
        <v>24</v>
      </c>
    </row>
    <row r="14" spans="1:9" ht="15.5">
      <c r="B14">
        <v>12</v>
      </c>
      <c r="C14" s="6" t="s">
        <v>25</v>
      </c>
      <c r="D14" s="6" t="s">
        <v>26</v>
      </c>
    </row>
    <row r="15" spans="1:9" ht="15.5">
      <c r="B15">
        <v>13</v>
      </c>
      <c r="C15" s="6" t="s">
        <v>27</v>
      </c>
      <c r="D15" s="6" t="s">
        <v>28</v>
      </c>
    </row>
    <row r="16" spans="1:9" ht="15.5">
      <c r="B16">
        <v>14</v>
      </c>
      <c r="C16" s="6" t="s">
        <v>29</v>
      </c>
      <c r="D16" s="6" t="s">
        <v>29</v>
      </c>
    </row>
    <row r="17" spans="2:4" ht="15.5">
      <c r="B17">
        <v>15</v>
      </c>
      <c r="C17" s="6" t="s">
        <v>30</v>
      </c>
      <c r="D17" s="6" t="s">
        <v>30</v>
      </c>
    </row>
    <row r="18" spans="2:4" ht="15.5">
      <c r="B18">
        <v>16</v>
      </c>
      <c r="C18" s="6" t="s">
        <v>31</v>
      </c>
      <c r="D18" s="6" t="s">
        <v>31</v>
      </c>
    </row>
    <row r="19" spans="2:4" ht="15.5">
      <c r="B19">
        <v>17</v>
      </c>
      <c r="C19" s="6" t="s">
        <v>32</v>
      </c>
      <c r="D19" s="6" t="s">
        <v>33</v>
      </c>
    </row>
    <row r="20" spans="2:4" ht="15.5">
      <c r="B20">
        <v>18</v>
      </c>
      <c r="C20" s="6" t="s">
        <v>34</v>
      </c>
      <c r="D20" s="6" t="s">
        <v>35</v>
      </c>
    </row>
    <row r="21" spans="2:4" ht="15.5">
      <c r="B21">
        <v>19</v>
      </c>
      <c r="C21" s="6" t="s">
        <v>36</v>
      </c>
      <c r="D21" s="6" t="s">
        <v>37</v>
      </c>
    </row>
    <row r="22" spans="2:4" ht="15.5">
      <c r="B22">
        <v>20</v>
      </c>
      <c r="C22" s="6" t="s">
        <v>38</v>
      </c>
      <c r="D22" s="6" t="s">
        <v>39</v>
      </c>
    </row>
    <row r="23" spans="2:4" ht="15.5">
      <c r="B23">
        <v>21</v>
      </c>
      <c r="C23" s="6" t="s">
        <v>40</v>
      </c>
      <c r="D23" s="6" t="s">
        <v>40</v>
      </c>
    </row>
    <row r="24" spans="2:4" ht="15.5">
      <c r="B24">
        <v>22</v>
      </c>
      <c r="C24" s="6" t="s">
        <v>41</v>
      </c>
      <c r="D24" s="6" t="s">
        <v>42</v>
      </c>
    </row>
    <row r="25" spans="2:4" ht="15.5">
      <c r="B25">
        <v>23</v>
      </c>
      <c r="C25" s="6" t="s">
        <v>43</v>
      </c>
      <c r="D25" s="6" t="s">
        <v>44</v>
      </c>
    </row>
    <row r="26" spans="2:4" ht="15.5">
      <c r="B26">
        <v>24</v>
      </c>
      <c r="C26" s="6" t="s">
        <v>45</v>
      </c>
      <c r="D26" s="6" t="s">
        <v>46</v>
      </c>
    </row>
    <row r="27" spans="2:4" ht="15.5">
      <c r="B27">
        <v>25</v>
      </c>
      <c r="C27" s="6" t="s">
        <v>47</v>
      </c>
      <c r="D27" s="6" t="s">
        <v>48</v>
      </c>
    </row>
    <row r="28" spans="2:4" ht="15.5">
      <c r="B28">
        <v>26</v>
      </c>
      <c r="C28" s="6" t="s">
        <v>49</v>
      </c>
      <c r="D28" s="6" t="s">
        <v>50</v>
      </c>
    </row>
    <row r="29" spans="2:4" ht="15.5">
      <c r="B29">
        <v>27</v>
      </c>
      <c r="C29" s="6" t="s">
        <v>51</v>
      </c>
      <c r="D29" s="6" t="s">
        <v>52</v>
      </c>
    </row>
    <row r="30" spans="2:4" ht="15.5">
      <c r="B30">
        <v>28</v>
      </c>
      <c r="C30" s="6" t="s">
        <v>53</v>
      </c>
      <c r="D30" s="6" t="s">
        <v>54</v>
      </c>
    </row>
    <row r="31" spans="2:4" ht="15.5">
      <c r="B31">
        <v>29</v>
      </c>
      <c r="C31" s="6" t="s">
        <v>55</v>
      </c>
      <c r="D31" s="6" t="s">
        <v>56</v>
      </c>
    </row>
    <row r="32" spans="2:4" ht="15.5">
      <c r="B32">
        <v>30</v>
      </c>
      <c r="C32" s="6" t="s">
        <v>57</v>
      </c>
      <c r="D32" s="6" t="s">
        <v>58</v>
      </c>
    </row>
    <row r="33" spans="2:10" ht="15.5">
      <c r="B33">
        <v>31</v>
      </c>
      <c r="C33" s="6" t="s">
        <v>59</v>
      </c>
      <c r="D33" t="s">
        <v>60</v>
      </c>
    </row>
    <row r="34" spans="2:10" ht="15.5">
      <c r="B34">
        <v>32</v>
      </c>
      <c r="C34" s="6" t="s">
        <v>61</v>
      </c>
      <c r="D34" t="s">
        <v>62</v>
      </c>
    </row>
    <row r="35" spans="2:10" ht="15.5">
      <c r="B35">
        <v>33</v>
      </c>
      <c r="C35" s="6" t="s">
        <v>63</v>
      </c>
      <c r="D35" t="s">
        <v>64</v>
      </c>
    </row>
    <row r="36" spans="2:10" ht="15.5">
      <c r="B36">
        <v>34</v>
      </c>
      <c r="C36" s="6" t="s">
        <v>65</v>
      </c>
      <c r="D36" t="s">
        <v>66</v>
      </c>
    </row>
    <row r="37" spans="2:10" ht="15.5">
      <c r="B37">
        <v>35</v>
      </c>
      <c r="C37" s="6" t="s">
        <v>67</v>
      </c>
      <c r="D37" t="s">
        <v>68</v>
      </c>
    </row>
    <row r="38" spans="2:10" ht="15.5">
      <c r="B38">
        <v>36</v>
      </c>
      <c r="C38" s="6" t="s">
        <v>69</v>
      </c>
      <c r="D38" t="s">
        <v>70</v>
      </c>
    </row>
    <row r="39" spans="2:10" ht="15.5">
      <c r="B39">
        <v>37</v>
      </c>
      <c r="C39" s="6" t="s">
        <v>71</v>
      </c>
      <c r="D39" t="s">
        <v>72</v>
      </c>
    </row>
    <row r="40" spans="2:10" ht="15.5">
      <c r="B40">
        <v>38</v>
      </c>
      <c r="C40" s="6" t="s">
        <v>73</v>
      </c>
      <c r="D40" t="s">
        <v>74</v>
      </c>
    </row>
    <row r="41" spans="2:10" ht="15.5">
      <c r="B41">
        <v>39</v>
      </c>
      <c r="C41" s="6" t="s">
        <v>75</v>
      </c>
      <c r="D41" t="s">
        <v>76</v>
      </c>
    </row>
    <row r="42" spans="2:10" ht="15.5">
      <c r="B42">
        <v>40</v>
      </c>
      <c r="C42" s="6" t="s">
        <v>77</v>
      </c>
      <c r="D42" t="s">
        <v>78</v>
      </c>
    </row>
    <row r="43" spans="2:10" ht="15.5">
      <c r="B43">
        <v>41</v>
      </c>
      <c r="C43" s="6" t="s">
        <v>79</v>
      </c>
      <c r="D43" t="s">
        <v>80</v>
      </c>
    </row>
    <row r="44" spans="2:10" ht="15.5">
      <c r="B44">
        <v>42</v>
      </c>
      <c r="C44" s="6" t="s">
        <v>81</v>
      </c>
      <c r="D44" t="s">
        <v>82</v>
      </c>
    </row>
    <row r="45" spans="2:10" ht="15.5">
      <c r="B45">
        <v>43</v>
      </c>
      <c r="C45" s="6" t="s">
        <v>83</v>
      </c>
      <c r="D45" t="s">
        <v>84</v>
      </c>
      <c r="J45" t="s">
        <v>85</v>
      </c>
    </row>
    <row r="46" spans="2:10" ht="15.5">
      <c r="B46">
        <v>44</v>
      </c>
      <c r="C46" s="6" t="s">
        <v>86</v>
      </c>
      <c r="D46" t="s">
        <v>87</v>
      </c>
    </row>
    <row r="47" spans="2:10" ht="15.5">
      <c r="B47">
        <v>45</v>
      </c>
      <c r="C47" s="6" t="s">
        <v>88</v>
      </c>
      <c r="D47" t="s">
        <v>89</v>
      </c>
    </row>
    <row r="48" spans="2:10" ht="15.5">
      <c r="B48">
        <v>46</v>
      </c>
      <c r="C48" s="6" t="s">
        <v>90</v>
      </c>
      <c r="D48" t="s">
        <v>91</v>
      </c>
    </row>
    <row r="49" spans="2:4" ht="15.5">
      <c r="B49">
        <v>47</v>
      </c>
      <c r="C49" s="6" t="s">
        <v>92</v>
      </c>
      <c r="D49" t="s">
        <v>93</v>
      </c>
    </row>
    <row r="50" spans="2:4" ht="15.5">
      <c r="B50">
        <v>48</v>
      </c>
      <c r="C50" s="6" t="s">
        <v>94</v>
      </c>
      <c r="D50" t="s">
        <v>95</v>
      </c>
    </row>
    <row r="51" spans="2:4" ht="15.5">
      <c r="B51">
        <v>49</v>
      </c>
      <c r="C51" s="6" t="s">
        <v>96</v>
      </c>
      <c r="D51" t="s">
        <v>97</v>
      </c>
    </row>
    <row r="52" spans="2:4" ht="15.5">
      <c r="B52">
        <v>50</v>
      </c>
      <c r="C52" s="6" t="s">
        <v>98</v>
      </c>
      <c r="D52" t="s">
        <v>99</v>
      </c>
    </row>
    <row r="53" spans="2:4" ht="15.5">
      <c r="B53">
        <v>51</v>
      </c>
      <c r="C53" s="6" t="s">
        <v>100</v>
      </c>
      <c r="D53" t="s">
        <v>101</v>
      </c>
    </row>
    <row r="54" spans="2:4" ht="15.5">
      <c r="B54">
        <v>52</v>
      </c>
      <c r="C54" s="6" t="s">
        <v>102</v>
      </c>
      <c r="D54" t="s">
        <v>103</v>
      </c>
    </row>
    <row r="55" spans="2:4" ht="15.5">
      <c r="B55">
        <v>53</v>
      </c>
      <c r="C55" s="6" t="s">
        <v>104</v>
      </c>
      <c r="D55" t="s">
        <v>105</v>
      </c>
    </row>
    <row r="56" spans="2:4" ht="15.5">
      <c r="B56">
        <v>54</v>
      </c>
      <c r="C56" s="6" t="s">
        <v>106</v>
      </c>
      <c r="D56" t="s">
        <v>107</v>
      </c>
    </row>
    <row r="57" spans="2:4" ht="15.5">
      <c r="B57">
        <v>55</v>
      </c>
      <c r="C57" s="6" t="s">
        <v>108</v>
      </c>
      <c r="D57" t="s">
        <v>109</v>
      </c>
    </row>
    <row r="58" spans="2:4" ht="15.5">
      <c r="B58">
        <v>56</v>
      </c>
      <c r="C58" s="6" t="s">
        <v>110</v>
      </c>
      <c r="D58" t="s">
        <v>111</v>
      </c>
    </row>
    <row r="59" spans="2:4" ht="15.5">
      <c r="B59">
        <v>57</v>
      </c>
      <c r="C59" s="6" t="s">
        <v>112</v>
      </c>
      <c r="D59" t="s">
        <v>113</v>
      </c>
    </row>
    <row r="60" spans="2:4" ht="15.5">
      <c r="B60">
        <v>58</v>
      </c>
      <c r="C60" s="6" t="s">
        <v>114</v>
      </c>
      <c r="D60" t="s">
        <v>115</v>
      </c>
    </row>
    <row r="61" spans="2:4" ht="15.5">
      <c r="B61">
        <v>59</v>
      </c>
      <c r="C61" s="6" t="s">
        <v>116</v>
      </c>
      <c r="D61" t="s">
        <v>117</v>
      </c>
    </row>
    <row r="62" spans="2:4" ht="15.5">
      <c r="B62">
        <v>60</v>
      </c>
      <c r="C62" s="6" t="s">
        <v>118</v>
      </c>
      <c r="D62" t="s">
        <v>119</v>
      </c>
    </row>
    <row r="63" spans="2:4" ht="15.5">
      <c r="B63">
        <v>61</v>
      </c>
      <c r="C63" s="6" t="s">
        <v>120</v>
      </c>
      <c r="D63" t="s">
        <v>121</v>
      </c>
    </row>
    <row r="64" spans="2:4" ht="15.5">
      <c r="B64">
        <v>62</v>
      </c>
      <c r="C64" s="6" t="s">
        <v>122</v>
      </c>
      <c r="D64" t="s">
        <v>123</v>
      </c>
    </row>
    <row r="65" spans="2:4" ht="15.5">
      <c r="B65">
        <v>63</v>
      </c>
      <c r="C65" s="6" t="s">
        <v>124</v>
      </c>
      <c r="D65" t="s">
        <v>125</v>
      </c>
    </row>
    <row r="66" spans="2:4" ht="15.5">
      <c r="B66">
        <v>64</v>
      </c>
      <c r="C66" s="6" t="s">
        <v>126</v>
      </c>
      <c r="D66" t="s">
        <v>127</v>
      </c>
    </row>
    <row r="67" spans="2:4" ht="15.5">
      <c r="B67">
        <v>65</v>
      </c>
      <c r="C67" s="6" t="s">
        <v>128</v>
      </c>
      <c r="D67" t="s">
        <v>129</v>
      </c>
    </row>
    <row r="68" spans="2:4" ht="15.5">
      <c r="B68">
        <v>66</v>
      </c>
      <c r="C68" s="6" t="s">
        <v>130</v>
      </c>
      <c r="D68" s="7" t="s">
        <v>131</v>
      </c>
    </row>
    <row r="69" spans="2:4" ht="15.5">
      <c r="B69">
        <v>67</v>
      </c>
      <c r="C69" s="6" t="s">
        <v>132</v>
      </c>
      <c r="D69" s="7" t="s">
        <v>133</v>
      </c>
    </row>
    <row r="70" spans="2:4" ht="15.5">
      <c r="B70">
        <v>68</v>
      </c>
      <c r="C70" s="6" t="s">
        <v>134</v>
      </c>
      <c r="D70" s="7" t="s">
        <v>135</v>
      </c>
    </row>
    <row r="71" spans="2:4" ht="15.5">
      <c r="B71">
        <v>69</v>
      </c>
      <c r="C71" s="6" t="s">
        <v>136</v>
      </c>
      <c r="D71" s="7" t="s">
        <v>137</v>
      </c>
    </row>
    <row r="72" spans="2:4" ht="15.5">
      <c r="B72">
        <v>70</v>
      </c>
      <c r="C72" s="6" t="s">
        <v>138</v>
      </c>
      <c r="D72" s="7" t="s">
        <v>139</v>
      </c>
    </row>
    <row r="73" spans="2:4" ht="15.5">
      <c r="B73">
        <v>71</v>
      </c>
      <c r="C73" s="6" t="s">
        <v>140</v>
      </c>
      <c r="D73" s="8" t="s">
        <v>141</v>
      </c>
    </row>
    <row r="74" spans="2:4" ht="15.5">
      <c r="B74">
        <v>72</v>
      </c>
      <c r="C74" s="6" t="s">
        <v>142</v>
      </c>
      <c r="D74" s="8"/>
    </row>
    <row r="75" spans="2:4" ht="15.5">
      <c r="B75">
        <v>73</v>
      </c>
      <c r="C75" s="6" t="s">
        <v>143</v>
      </c>
      <c r="D75" s="9" t="s">
        <v>144</v>
      </c>
    </row>
    <row r="76" spans="2:4" ht="15.5">
      <c r="B76">
        <v>74</v>
      </c>
      <c r="C76" s="6" t="s">
        <v>145</v>
      </c>
      <c r="D76" s="9" t="s">
        <v>146</v>
      </c>
    </row>
    <row r="77" spans="2:4" ht="15.5">
      <c r="B77">
        <v>75</v>
      </c>
      <c r="C77" s="6" t="s">
        <v>147</v>
      </c>
      <c r="D77" s="9" t="s">
        <v>148</v>
      </c>
    </row>
    <row r="78" spans="2:4" ht="15.5">
      <c r="B78">
        <v>76</v>
      </c>
      <c r="C78" s="6" t="s">
        <v>149</v>
      </c>
      <c r="D78" s="9" t="s">
        <v>150</v>
      </c>
    </row>
    <row r="79" spans="2:4" ht="15.5">
      <c r="B79">
        <v>77</v>
      </c>
      <c r="C79" s="6" t="s">
        <v>151</v>
      </c>
      <c r="D79" s="9" t="s">
        <v>152</v>
      </c>
    </row>
    <row r="80" spans="2:4" ht="15.5">
      <c r="B80">
        <v>78</v>
      </c>
      <c r="C80" s="6" t="s">
        <v>153</v>
      </c>
      <c r="D80" s="9" t="s">
        <v>154</v>
      </c>
    </row>
    <row r="81" spans="2:4" ht="15.5">
      <c r="B81">
        <v>79</v>
      </c>
      <c r="C81" s="6" t="s">
        <v>155</v>
      </c>
      <c r="D81" s="9" t="s">
        <v>156</v>
      </c>
    </row>
    <row r="82" spans="2:4" ht="15.5">
      <c r="B82">
        <v>80</v>
      </c>
      <c r="C82" s="6" t="s">
        <v>157</v>
      </c>
      <c r="D82" s="9" t="s">
        <v>157</v>
      </c>
    </row>
    <row r="83" spans="2:4" ht="15.5">
      <c r="B83">
        <v>81</v>
      </c>
      <c r="C83" s="6" t="s">
        <v>158</v>
      </c>
      <c r="D83" s="9" t="s">
        <v>159</v>
      </c>
    </row>
    <row r="84" spans="2:4">
      <c r="B84">
        <v>82</v>
      </c>
      <c r="C84" t="s">
        <v>160</v>
      </c>
      <c r="D84" t="s">
        <v>161</v>
      </c>
    </row>
    <row r="85" spans="2:4">
      <c r="B85">
        <v>83</v>
      </c>
      <c r="C85" t="s">
        <v>162</v>
      </c>
      <c r="D85" t="s">
        <v>163</v>
      </c>
    </row>
    <row r="86" spans="2:4" ht="15.5">
      <c r="B86">
        <v>84</v>
      </c>
      <c r="C86" s="6" t="s">
        <v>164</v>
      </c>
      <c r="D86" t="s">
        <v>165</v>
      </c>
    </row>
    <row r="87" spans="2:4">
      <c r="B87">
        <v>85</v>
      </c>
      <c r="C87" t="s">
        <v>166</v>
      </c>
      <c r="D87" t="s">
        <v>167</v>
      </c>
    </row>
    <row r="88" spans="2:4">
      <c r="B88">
        <v>86</v>
      </c>
      <c r="C88" t="s">
        <v>168</v>
      </c>
      <c r="D88" t="s">
        <v>169</v>
      </c>
    </row>
    <row r="89" spans="2:4">
      <c r="B89">
        <v>87</v>
      </c>
      <c r="C89" t="s">
        <v>170</v>
      </c>
      <c r="D89" t="s">
        <v>171</v>
      </c>
    </row>
    <row r="90" spans="2:4">
      <c r="B90">
        <v>88</v>
      </c>
      <c r="C90" t="s">
        <v>53</v>
      </c>
      <c r="D90" t="s">
        <v>54</v>
      </c>
    </row>
    <row r="91" spans="2:4">
      <c r="B91">
        <v>89</v>
      </c>
      <c r="C91" s="10" t="s">
        <v>172</v>
      </c>
      <c r="D91" t="s">
        <v>173</v>
      </c>
    </row>
    <row r="92" spans="2:4">
      <c r="B92">
        <v>90</v>
      </c>
      <c r="C92" t="s">
        <v>174</v>
      </c>
      <c r="D92" t="s">
        <v>174</v>
      </c>
    </row>
    <row r="93" spans="2:4">
      <c r="B93">
        <v>91</v>
      </c>
      <c r="C93" t="s">
        <v>175</v>
      </c>
      <c r="D93" t="s">
        <v>176</v>
      </c>
    </row>
    <row r="94" spans="2:4">
      <c r="B94">
        <v>92</v>
      </c>
      <c r="C94" t="s">
        <v>177</v>
      </c>
      <c r="D94" t="s">
        <v>178</v>
      </c>
    </row>
    <row r="95" spans="2:4">
      <c r="B95">
        <v>93</v>
      </c>
      <c r="C95" t="s">
        <v>179</v>
      </c>
      <c r="D95" t="s">
        <v>180</v>
      </c>
    </row>
    <row r="96" spans="2:4">
      <c r="B96">
        <v>94</v>
      </c>
      <c r="C96" t="s">
        <v>181</v>
      </c>
      <c r="D96" t="s">
        <v>182</v>
      </c>
    </row>
    <row r="97" spans="2:4">
      <c r="B97">
        <v>95</v>
      </c>
      <c r="C97" t="s">
        <v>183</v>
      </c>
      <c r="D97" t="s">
        <v>184</v>
      </c>
    </row>
    <row r="98" spans="2:4">
      <c r="B98">
        <v>96</v>
      </c>
      <c r="C98" s="11" t="s">
        <v>185</v>
      </c>
      <c r="D98" s="11" t="s">
        <v>186</v>
      </c>
    </row>
    <row r="99" spans="2:4">
      <c r="B99">
        <v>97</v>
      </c>
      <c r="C99" s="11" t="s">
        <v>187</v>
      </c>
      <c r="D99" s="11" t="s">
        <v>188</v>
      </c>
    </row>
    <row r="100" spans="2:4">
      <c r="B100">
        <v>98</v>
      </c>
      <c r="C100" s="11" t="s">
        <v>189</v>
      </c>
      <c r="D100" s="11" t="s">
        <v>190</v>
      </c>
    </row>
    <row r="101" spans="2:4">
      <c r="B101">
        <v>99</v>
      </c>
      <c r="C101" s="11" t="s">
        <v>191</v>
      </c>
      <c r="D101" t="s">
        <v>192</v>
      </c>
    </row>
    <row r="102" spans="2:4">
      <c r="B102">
        <v>100</v>
      </c>
      <c r="C102" s="11" t="s">
        <v>193</v>
      </c>
      <c r="D102" t="s">
        <v>194</v>
      </c>
    </row>
    <row r="103" spans="2:4">
      <c r="B103">
        <v>101</v>
      </c>
      <c r="C103" t="s">
        <v>195</v>
      </c>
      <c r="D103" t="s">
        <v>196</v>
      </c>
    </row>
    <row r="104" spans="2:4" ht="15" customHeight="1">
      <c r="B104">
        <v>102</v>
      </c>
      <c r="C104" t="s">
        <v>197</v>
      </c>
      <c r="D104" t="s">
        <v>198</v>
      </c>
    </row>
    <row r="105" spans="2:4">
      <c r="B105">
        <v>103</v>
      </c>
      <c r="C105" t="s">
        <v>199</v>
      </c>
      <c r="D105" t="s">
        <v>200</v>
      </c>
    </row>
    <row r="106" spans="2:4">
      <c r="B106">
        <v>104</v>
      </c>
      <c r="C106" t="s">
        <v>201</v>
      </c>
      <c r="D106" t="s">
        <v>202</v>
      </c>
    </row>
    <row r="107" spans="2:4">
      <c r="B107">
        <v>105</v>
      </c>
      <c r="C107" s="12" t="s">
        <v>203</v>
      </c>
      <c r="D107" t="s">
        <v>204</v>
      </c>
    </row>
    <row r="108" spans="2:4">
      <c r="B108">
        <v>106</v>
      </c>
      <c r="C108" s="12" t="s">
        <v>205</v>
      </c>
      <c r="D108" t="s">
        <v>206</v>
      </c>
    </row>
    <row r="109" spans="2:4">
      <c r="B109">
        <v>107</v>
      </c>
      <c r="C109" t="s">
        <v>207</v>
      </c>
      <c r="D109" t="s">
        <v>208</v>
      </c>
    </row>
    <row r="110" spans="2:4">
      <c r="B110">
        <v>108</v>
      </c>
      <c r="C110" s="12" t="s">
        <v>209</v>
      </c>
      <c r="D110" t="s">
        <v>210</v>
      </c>
    </row>
    <row r="111" spans="2:4">
      <c r="B111">
        <v>109</v>
      </c>
      <c r="C111" s="12" t="s">
        <v>211</v>
      </c>
      <c r="D111" t="s">
        <v>212</v>
      </c>
    </row>
    <row r="112" spans="2:4">
      <c r="B112">
        <v>110</v>
      </c>
      <c r="C112" s="12" t="s">
        <v>213</v>
      </c>
      <c r="D112" t="s">
        <v>214</v>
      </c>
    </row>
    <row r="113" spans="2:4">
      <c r="B113">
        <v>111</v>
      </c>
      <c r="C113" s="12" t="s">
        <v>215</v>
      </c>
      <c r="D113" t="s">
        <v>216</v>
      </c>
    </row>
    <row r="114" spans="2:4">
      <c r="B114">
        <v>112</v>
      </c>
      <c r="C114" s="13" t="s">
        <v>217</v>
      </c>
      <c r="D114" t="s">
        <v>218</v>
      </c>
    </row>
    <row r="115" spans="2:4">
      <c r="B115">
        <v>113</v>
      </c>
      <c r="C115" s="13" t="s">
        <v>55</v>
      </c>
      <c r="D115" t="s">
        <v>56</v>
      </c>
    </row>
    <row r="116" spans="2:4">
      <c r="B116">
        <v>114</v>
      </c>
      <c r="C116" s="12" t="s">
        <v>219</v>
      </c>
      <c r="D116" t="s">
        <v>220</v>
      </c>
    </row>
    <row r="117" spans="2:4">
      <c r="B117">
        <v>115</v>
      </c>
      <c r="C117" s="12" t="s">
        <v>221</v>
      </c>
      <c r="D117" t="s">
        <v>222</v>
      </c>
    </row>
    <row r="118" spans="2:4">
      <c r="B118">
        <v>116</v>
      </c>
      <c r="C118" s="12" t="s">
        <v>223</v>
      </c>
      <c r="D118" t="s">
        <v>224</v>
      </c>
    </row>
    <row r="119" spans="2:4" ht="15.5">
      <c r="B119">
        <v>117</v>
      </c>
      <c r="C119" s="6"/>
      <c r="D119" s="7"/>
    </row>
    <row r="120" spans="2:4">
      <c r="B120">
        <v>118</v>
      </c>
      <c r="C120" s="14" t="s">
        <v>225</v>
      </c>
      <c r="D120" t="s">
        <v>226</v>
      </c>
    </row>
    <row r="121" spans="2:4">
      <c r="B121">
        <v>119</v>
      </c>
      <c r="C121" s="15" t="s">
        <v>227</v>
      </c>
    </row>
    <row r="122" spans="2:4" ht="17">
      <c r="B122">
        <v>120</v>
      </c>
      <c r="C122" s="16" t="s">
        <v>57</v>
      </c>
      <c r="D122" t="s">
        <v>58</v>
      </c>
    </row>
    <row r="123" spans="2:4">
      <c r="B123">
        <v>121</v>
      </c>
      <c r="C123" t="s">
        <v>228</v>
      </c>
      <c r="D123" t="s">
        <v>229</v>
      </c>
    </row>
    <row r="124" spans="2:4">
      <c r="B124">
        <v>122</v>
      </c>
      <c r="C124" t="s">
        <v>230</v>
      </c>
      <c r="D124" t="s">
        <v>229</v>
      </c>
    </row>
    <row r="125" spans="2:4">
      <c r="B125">
        <v>123</v>
      </c>
      <c r="C125" t="s">
        <v>231</v>
      </c>
      <c r="D125" t="s">
        <v>232</v>
      </c>
    </row>
    <row r="126" spans="2:4">
      <c r="B126">
        <v>124</v>
      </c>
      <c r="C126" t="s">
        <v>233</v>
      </c>
      <c r="D126" t="s">
        <v>234</v>
      </c>
    </row>
    <row r="127" spans="2:4">
      <c r="B127">
        <v>125</v>
      </c>
      <c r="C127" t="s">
        <v>235</v>
      </c>
      <c r="D127" t="s">
        <v>236</v>
      </c>
    </row>
    <row r="128" spans="2:4">
      <c r="B128">
        <v>126</v>
      </c>
      <c r="C128" t="s">
        <v>237</v>
      </c>
      <c r="D128" t="s">
        <v>237</v>
      </c>
    </row>
    <row r="129" spans="2:4">
      <c r="B129">
        <v>127</v>
      </c>
      <c r="C129" t="s">
        <v>238</v>
      </c>
      <c r="D129" t="s">
        <v>238</v>
      </c>
    </row>
    <row r="130" spans="2:4">
      <c r="B130">
        <v>128</v>
      </c>
      <c r="C130" t="s">
        <v>239</v>
      </c>
      <c r="D130" t="s">
        <v>239</v>
      </c>
    </row>
    <row r="131" spans="2:4">
      <c r="B131">
        <v>129</v>
      </c>
      <c r="C131" t="s">
        <v>240</v>
      </c>
      <c r="D131" t="s">
        <v>240</v>
      </c>
    </row>
    <row r="132" spans="2:4">
      <c r="B132">
        <v>130</v>
      </c>
      <c r="C132" t="s">
        <v>241</v>
      </c>
      <c r="D132" t="s">
        <v>241</v>
      </c>
    </row>
    <row r="133" spans="2:4">
      <c r="B133">
        <v>131</v>
      </c>
      <c r="C133" s="17" t="s">
        <v>242</v>
      </c>
      <c r="D133" t="s">
        <v>243</v>
      </c>
    </row>
    <row r="134" spans="2:4">
      <c r="B134">
        <v>132</v>
      </c>
      <c r="C134" s="17" t="s">
        <v>244</v>
      </c>
      <c r="D134" t="s">
        <v>245</v>
      </c>
    </row>
    <row r="135" spans="2:4">
      <c r="B135">
        <v>133</v>
      </c>
      <c r="C135" s="17" t="s">
        <v>246</v>
      </c>
      <c r="D135" t="s">
        <v>247</v>
      </c>
    </row>
    <row r="136" spans="2:4">
      <c r="B136">
        <v>134</v>
      </c>
      <c r="C136" s="17" t="s">
        <v>248</v>
      </c>
      <c r="D136" t="s">
        <v>249</v>
      </c>
    </row>
    <row r="137" spans="2:4">
      <c r="B137">
        <v>135</v>
      </c>
      <c r="C137" s="17" t="s">
        <v>106</v>
      </c>
      <c r="D137" t="s">
        <v>107</v>
      </c>
    </row>
    <row r="138" spans="2:4">
      <c r="B138">
        <v>136</v>
      </c>
      <c r="C138" s="17" t="s">
        <v>250</v>
      </c>
      <c r="D138" t="s">
        <v>251</v>
      </c>
    </row>
    <row r="139" spans="2:4">
      <c r="B139">
        <v>137</v>
      </c>
      <c r="C139" s="17" t="s">
        <v>252</v>
      </c>
      <c r="D139" t="s">
        <v>253</v>
      </c>
    </row>
    <row r="140" spans="2:4">
      <c r="B140">
        <v>138</v>
      </c>
      <c r="C140" s="17" t="s">
        <v>254</v>
      </c>
      <c r="D140" t="s">
        <v>255</v>
      </c>
    </row>
    <row r="141" spans="2:4">
      <c r="B141">
        <v>139</v>
      </c>
      <c r="C141" s="17" t="s">
        <v>256</v>
      </c>
      <c r="D141" t="s">
        <v>257</v>
      </c>
    </row>
    <row r="142" spans="2:4">
      <c r="B142">
        <v>140</v>
      </c>
      <c r="C142" s="17" t="s">
        <v>258</v>
      </c>
      <c r="D142" t="s">
        <v>259</v>
      </c>
    </row>
    <row r="143" spans="2:4">
      <c r="B143">
        <v>141</v>
      </c>
      <c r="C143" s="17" t="s">
        <v>260</v>
      </c>
      <c r="D143" s="7" t="s">
        <v>261</v>
      </c>
    </row>
    <row r="144" spans="2:4">
      <c r="B144">
        <v>142</v>
      </c>
      <c r="C144" s="7" t="s">
        <v>262</v>
      </c>
      <c r="D144" s="7" t="s">
        <v>263</v>
      </c>
    </row>
    <row r="145" spans="2:4">
      <c r="B145">
        <v>143</v>
      </c>
      <c r="C145" s="7" t="s">
        <v>264</v>
      </c>
      <c r="D145" t="s">
        <v>265</v>
      </c>
    </row>
    <row r="146" spans="2:4">
      <c r="B146">
        <v>144</v>
      </c>
      <c r="C146" s="17" t="s">
        <v>266</v>
      </c>
      <c r="D146" t="s">
        <v>267</v>
      </c>
    </row>
    <row r="147" spans="2:4">
      <c r="B147">
        <v>145</v>
      </c>
      <c r="C147" s="17" t="s">
        <v>268</v>
      </c>
      <c r="D147" t="s">
        <v>269</v>
      </c>
    </row>
    <row r="148" spans="2:4">
      <c r="B148">
        <v>146</v>
      </c>
      <c r="C148" s="18" t="s">
        <v>270</v>
      </c>
      <c r="D148" t="s">
        <v>271</v>
      </c>
    </row>
    <row r="149" spans="2:4">
      <c r="B149">
        <v>147</v>
      </c>
      <c r="C149" s="7" t="s">
        <v>272</v>
      </c>
      <c r="D149" t="s">
        <v>97</v>
      </c>
    </row>
    <row r="150" spans="2:4">
      <c r="B150">
        <v>148</v>
      </c>
      <c r="C150" s="7" t="s">
        <v>273</v>
      </c>
      <c r="D150" t="s">
        <v>274</v>
      </c>
    </row>
    <row r="151" spans="2:4">
      <c r="B151">
        <v>149</v>
      </c>
      <c r="C151" s="7" t="s">
        <v>275</v>
      </c>
      <c r="D151" t="s">
        <v>276</v>
      </c>
    </row>
    <row r="152" spans="2:4">
      <c r="B152">
        <v>150</v>
      </c>
      <c r="C152" s="18" t="s">
        <v>277</v>
      </c>
      <c r="D152" t="s">
        <v>278</v>
      </c>
    </row>
    <row r="153" spans="2:4">
      <c r="B153">
        <v>151</v>
      </c>
      <c r="C153" s="19" t="s">
        <v>279</v>
      </c>
      <c r="D153" t="s">
        <v>280</v>
      </c>
    </row>
    <row r="154" spans="2:4">
      <c r="B154">
        <v>152</v>
      </c>
      <c r="C154" s="7" t="s">
        <v>281</v>
      </c>
      <c r="D154" t="s">
        <v>282</v>
      </c>
    </row>
    <row r="155" spans="2:4">
      <c r="B155">
        <v>153</v>
      </c>
      <c r="C155" s="7" t="s">
        <v>283</v>
      </c>
      <c r="D155" t="s">
        <v>284</v>
      </c>
    </row>
    <row r="156" spans="2:4">
      <c r="B156">
        <v>154</v>
      </c>
      <c r="C156" s="7" t="s">
        <v>285</v>
      </c>
      <c r="D156" t="s">
        <v>286</v>
      </c>
    </row>
    <row r="157" spans="2:4">
      <c r="B157">
        <v>155</v>
      </c>
      <c r="C157" s="7" t="s">
        <v>287</v>
      </c>
      <c r="D157" t="s">
        <v>288</v>
      </c>
    </row>
    <row r="158" spans="2:4">
      <c r="B158">
        <v>156</v>
      </c>
      <c r="C158" s="7" t="s">
        <v>289</v>
      </c>
      <c r="D158" t="s">
        <v>290</v>
      </c>
    </row>
    <row r="159" spans="2:4">
      <c r="B159">
        <v>157</v>
      </c>
      <c r="C159" s="7" t="s">
        <v>291</v>
      </c>
      <c r="D159" t="s">
        <v>292</v>
      </c>
    </row>
    <row r="160" spans="2:4">
      <c r="B160">
        <v>158</v>
      </c>
      <c r="C160" s="7" t="s">
        <v>293</v>
      </c>
      <c r="D160" t="s">
        <v>294</v>
      </c>
    </row>
    <row r="161" spans="2:5">
      <c r="B161">
        <v>159</v>
      </c>
      <c r="C161" s="20" t="s">
        <v>295</v>
      </c>
      <c r="D161" t="s">
        <v>296</v>
      </c>
    </row>
    <row r="162" spans="2:5">
      <c r="B162">
        <v>160</v>
      </c>
      <c r="C162" s="20" t="s">
        <v>297</v>
      </c>
      <c r="D162" t="s">
        <v>298</v>
      </c>
    </row>
    <row r="163" spans="2:5">
      <c r="B163">
        <v>161</v>
      </c>
      <c r="C163" s="7" t="s">
        <v>49</v>
      </c>
      <c r="D163" t="s">
        <v>50</v>
      </c>
    </row>
    <row r="164" spans="2:5">
      <c r="B164">
        <v>162</v>
      </c>
      <c r="C164" s="7" t="s">
        <v>299</v>
      </c>
      <c r="D164" t="s">
        <v>300</v>
      </c>
    </row>
    <row r="165" spans="2:5" ht="15">
      <c r="B165">
        <v>163</v>
      </c>
      <c r="C165" s="7" t="s">
        <v>301</v>
      </c>
      <c r="D165" t="s">
        <v>302</v>
      </c>
      <c r="E165" s="21"/>
    </row>
    <row r="166" spans="2:5">
      <c r="B166">
        <v>164</v>
      </c>
      <c r="C166" t="s">
        <v>303</v>
      </c>
      <c r="D166" t="s">
        <v>304</v>
      </c>
    </row>
    <row r="167" spans="2:5">
      <c r="B167">
        <v>165</v>
      </c>
      <c r="C167" s="22" t="s">
        <v>305</v>
      </c>
      <c r="D167" t="s">
        <v>306</v>
      </c>
    </row>
    <row r="168" spans="2:5">
      <c r="B168">
        <v>166</v>
      </c>
      <c r="C168" s="9" t="s">
        <v>299</v>
      </c>
      <c r="D168" t="s">
        <v>300</v>
      </c>
    </row>
    <row r="169" spans="2:5">
      <c r="B169">
        <v>167</v>
      </c>
      <c r="C169" t="s">
        <v>177</v>
      </c>
      <c r="D169" t="s">
        <v>178</v>
      </c>
    </row>
    <row r="170" spans="2:5">
      <c r="B170">
        <v>168</v>
      </c>
      <c r="C170" t="s">
        <v>179</v>
      </c>
      <c r="D170" t="s">
        <v>180</v>
      </c>
    </row>
    <row r="171" spans="2:5">
      <c r="B171">
        <v>169</v>
      </c>
      <c r="C171" t="s">
        <v>181</v>
      </c>
      <c r="D171" t="s">
        <v>182</v>
      </c>
    </row>
    <row r="172" spans="2:5">
      <c r="B172">
        <v>170</v>
      </c>
      <c r="C172" t="s">
        <v>183</v>
      </c>
      <c r="D172" t="s">
        <v>184</v>
      </c>
    </row>
    <row r="173" spans="2:5">
      <c r="B173">
        <v>171</v>
      </c>
      <c r="C173" t="s">
        <v>307</v>
      </c>
      <c r="D173" t="s">
        <v>308</v>
      </c>
    </row>
    <row r="174" spans="2:5">
      <c r="B174">
        <v>172</v>
      </c>
      <c r="C174" t="s">
        <v>164</v>
      </c>
      <c r="D174" t="s">
        <v>165</v>
      </c>
    </row>
    <row r="175" spans="2:5">
      <c r="B175">
        <v>173</v>
      </c>
      <c r="C175" t="s">
        <v>309</v>
      </c>
      <c r="D175" s="23" t="s">
        <v>310</v>
      </c>
    </row>
    <row r="176" spans="2:5">
      <c r="B176">
        <v>174</v>
      </c>
      <c r="C176" t="s">
        <v>311</v>
      </c>
      <c r="D176" s="23" t="s">
        <v>312</v>
      </c>
    </row>
    <row r="177" spans="2:4">
      <c r="B177">
        <v>175</v>
      </c>
      <c r="C177" s="24" t="s">
        <v>18</v>
      </c>
      <c r="D177" t="s">
        <v>19</v>
      </c>
    </row>
    <row r="178" spans="2:4">
      <c r="B178">
        <v>176</v>
      </c>
      <c r="C178" s="24" t="s">
        <v>313</v>
      </c>
      <c r="D178" s="25" t="s">
        <v>314</v>
      </c>
    </row>
    <row r="179" spans="2:4">
      <c r="B179">
        <v>177</v>
      </c>
      <c r="C179" s="24" t="s">
        <v>315</v>
      </c>
      <c r="D179" t="s">
        <v>316</v>
      </c>
    </row>
    <row r="180" spans="2:4">
      <c r="B180">
        <v>178</v>
      </c>
      <c r="C180" s="24" t="s">
        <v>317</v>
      </c>
      <c r="D180" t="s">
        <v>318</v>
      </c>
    </row>
    <row r="181" spans="2:4">
      <c r="B181">
        <v>179</v>
      </c>
      <c r="C181" s="24" t="s">
        <v>319</v>
      </c>
      <c r="D181" t="s">
        <v>320</v>
      </c>
    </row>
    <row r="182" spans="2:4">
      <c r="B182">
        <v>180</v>
      </c>
      <c r="C182" s="24" t="s">
        <v>321</v>
      </c>
      <c r="D182" t="s">
        <v>322</v>
      </c>
    </row>
    <row r="183" spans="2:4">
      <c r="B183">
        <v>181</v>
      </c>
      <c r="C183" s="24" t="s">
        <v>29</v>
      </c>
      <c r="D183" t="s">
        <v>29</v>
      </c>
    </row>
    <row r="184" spans="2:4">
      <c r="B184">
        <v>182</v>
      </c>
      <c r="C184" s="24" t="s">
        <v>31</v>
      </c>
      <c r="D184" t="s">
        <v>31</v>
      </c>
    </row>
    <row r="185" spans="2:4">
      <c r="B185">
        <v>183</v>
      </c>
      <c r="C185" s="24" t="s">
        <v>32</v>
      </c>
      <c r="D185" t="s">
        <v>33</v>
      </c>
    </row>
    <row r="186" spans="2:4">
      <c r="B186">
        <v>184</v>
      </c>
      <c r="C186" t="s">
        <v>323</v>
      </c>
      <c r="D186" t="s">
        <v>324</v>
      </c>
    </row>
    <row r="187" spans="2:4">
      <c r="B187">
        <v>185</v>
      </c>
      <c r="C187" t="s">
        <v>325</v>
      </c>
      <c r="D187" t="s">
        <v>326</v>
      </c>
    </row>
    <row r="188" spans="2:4">
      <c r="B188">
        <v>186</v>
      </c>
      <c r="C188" t="s">
        <v>327</v>
      </c>
      <c r="D188" t="s">
        <v>328</v>
      </c>
    </row>
    <row r="189" spans="2:4">
      <c r="B189">
        <v>187</v>
      </c>
      <c r="C189" t="s">
        <v>329</v>
      </c>
      <c r="D189" t="s">
        <v>276</v>
      </c>
    </row>
    <row r="190" spans="2:4">
      <c r="B190">
        <v>188</v>
      </c>
      <c r="C190" s="12" t="s">
        <v>330</v>
      </c>
    </row>
    <row r="191" spans="2:4">
      <c r="B191">
        <v>189</v>
      </c>
      <c r="C191" s="12" t="s">
        <v>331</v>
      </c>
    </row>
    <row r="192" spans="2:4">
      <c r="B192">
        <v>190</v>
      </c>
      <c r="C192" s="12" t="s">
        <v>332</v>
      </c>
    </row>
    <row r="193" spans="2:4">
      <c r="B193">
        <v>191</v>
      </c>
      <c r="C193" s="12" t="s">
        <v>209</v>
      </c>
      <c r="D193" t="s">
        <v>210</v>
      </c>
    </row>
    <row r="194" spans="2:4">
      <c r="B194">
        <v>192</v>
      </c>
      <c r="C194" s="12" t="s">
        <v>211</v>
      </c>
    </row>
    <row r="195" spans="2:4">
      <c r="B195">
        <v>193</v>
      </c>
      <c r="C195" s="12" t="s">
        <v>215</v>
      </c>
    </row>
    <row r="196" spans="2:4">
      <c r="B196">
        <v>194</v>
      </c>
      <c r="C196" s="13" t="s">
        <v>217</v>
      </c>
    </row>
    <row r="197" spans="2:4">
      <c r="B197">
        <v>195</v>
      </c>
      <c r="C197" s="12" t="s">
        <v>333</v>
      </c>
    </row>
    <row r="198" spans="2:4">
      <c r="B198">
        <v>196</v>
      </c>
      <c r="C198" s="12" t="s">
        <v>334</v>
      </c>
    </row>
    <row r="199" spans="2:4">
      <c r="B199">
        <v>197</v>
      </c>
      <c r="C199" s="12" t="s">
        <v>213</v>
      </c>
    </row>
    <row r="200" spans="2:4">
      <c r="B200">
        <v>198</v>
      </c>
      <c r="C200" s="12" t="s">
        <v>205</v>
      </c>
    </row>
    <row r="201" spans="2:4">
      <c r="B201">
        <v>199</v>
      </c>
      <c r="C201" s="12" t="s">
        <v>335</v>
      </c>
    </row>
    <row r="202" spans="2:4">
      <c r="B202">
        <v>200</v>
      </c>
      <c r="C202" s="12" t="s">
        <v>203</v>
      </c>
    </row>
    <row r="203" spans="2:4">
      <c r="B203">
        <v>201</v>
      </c>
      <c r="C203" s="12" t="s">
        <v>336</v>
      </c>
    </row>
    <row r="204" spans="2:4">
      <c r="B204">
        <v>202</v>
      </c>
      <c r="C204" s="13" t="s">
        <v>337</v>
      </c>
    </row>
    <row r="205" spans="2:4">
      <c r="B205">
        <v>203</v>
      </c>
      <c r="C205" s="12" t="s">
        <v>338</v>
      </c>
      <c r="D205" t="s">
        <v>339</v>
      </c>
    </row>
    <row r="206" spans="2:4">
      <c r="B206">
        <v>204</v>
      </c>
      <c r="C206" s="12" t="s">
        <v>340</v>
      </c>
      <c r="D206" t="s">
        <v>340</v>
      </c>
    </row>
    <row r="207" spans="2:4">
      <c r="B207">
        <v>205</v>
      </c>
      <c r="C207" s="12" t="s">
        <v>341</v>
      </c>
      <c r="D207" s="12" t="s">
        <v>342</v>
      </c>
    </row>
    <row r="208" spans="2:4">
      <c r="B208">
        <v>206</v>
      </c>
      <c r="C208" t="s">
        <v>343</v>
      </c>
      <c r="D208" t="s">
        <v>344</v>
      </c>
    </row>
    <row r="209" spans="2:8">
      <c r="B209">
        <v>207</v>
      </c>
      <c r="C209" t="s">
        <v>345</v>
      </c>
      <c r="D209" t="s">
        <v>346</v>
      </c>
    </row>
    <row r="210" spans="2:8">
      <c r="B210">
        <v>208</v>
      </c>
      <c r="C210" s="12" t="s">
        <v>347</v>
      </c>
      <c r="D210" t="s">
        <v>348</v>
      </c>
    </row>
    <row r="211" spans="2:8">
      <c r="B211">
        <v>209</v>
      </c>
      <c r="C211" s="12" t="s">
        <v>203</v>
      </c>
      <c r="D211" t="s">
        <v>204</v>
      </c>
    </row>
    <row r="212" spans="2:8">
      <c r="B212">
        <v>210</v>
      </c>
      <c r="C212" s="12" t="s">
        <v>349</v>
      </c>
      <c r="D212" t="s">
        <v>350</v>
      </c>
    </row>
    <row r="213" spans="2:8">
      <c r="B213">
        <v>211</v>
      </c>
      <c r="C213" s="12" t="s">
        <v>351</v>
      </c>
      <c r="D213" t="s">
        <v>352</v>
      </c>
    </row>
    <row r="214" spans="2:8">
      <c r="B214">
        <v>212</v>
      </c>
      <c r="C214" s="12" t="s">
        <v>353</v>
      </c>
      <c r="D214" t="s">
        <v>354</v>
      </c>
    </row>
    <row r="215" spans="2:8">
      <c r="B215">
        <v>213</v>
      </c>
      <c r="C215" s="12" t="s">
        <v>355</v>
      </c>
      <c r="D215" t="s">
        <v>356</v>
      </c>
    </row>
    <row r="216" spans="2:8">
      <c r="B216">
        <v>214</v>
      </c>
      <c r="C216" s="12" t="s">
        <v>209</v>
      </c>
      <c r="D216" t="s">
        <v>210</v>
      </c>
    </row>
    <row r="217" spans="2:8">
      <c r="B217">
        <v>215</v>
      </c>
      <c r="C217" s="12" t="s">
        <v>215</v>
      </c>
      <c r="D217" t="s">
        <v>357</v>
      </c>
    </row>
    <row r="218" spans="2:8">
      <c r="B218">
        <v>216</v>
      </c>
      <c r="C218" s="12" t="s">
        <v>336</v>
      </c>
      <c r="D218" t="s">
        <v>358</v>
      </c>
    </row>
    <row r="219" spans="2:8">
      <c r="B219">
        <v>217</v>
      </c>
      <c r="C219" s="12" t="s">
        <v>359</v>
      </c>
      <c r="D219" t="s">
        <v>339</v>
      </c>
    </row>
    <row r="220" spans="2:8" ht="15" customHeight="1">
      <c r="B220">
        <v>218</v>
      </c>
      <c r="C220" s="12" t="s">
        <v>360</v>
      </c>
      <c r="D220" s="12" t="s">
        <v>361</v>
      </c>
      <c r="E220" s="12"/>
      <c r="F220" s="12"/>
      <c r="G220" s="12"/>
      <c r="H220" s="12"/>
    </row>
    <row r="221" spans="2:8" ht="15" customHeight="1">
      <c r="B221">
        <v>219</v>
      </c>
      <c r="C221" t="s">
        <v>362</v>
      </c>
      <c r="D221" t="s">
        <v>363</v>
      </c>
    </row>
    <row r="222" spans="2:8">
      <c r="B222">
        <v>220</v>
      </c>
      <c r="C222" t="s">
        <v>364</v>
      </c>
      <c r="D222" t="s">
        <v>365</v>
      </c>
    </row>
    <row r="223" spans="2:8">
      <c r="B223">
        <v>221</v>
      </c>
      <c r="C223" t="s">
        <v>366</v>
      </c>
      <c r="D223" t="s">
        <v>367</v>
      </c>
    </row>
    <row r="224" spans="2:8">
      <c r="B224">
        <v>222</v>
      </c>
      <c r="C224" t="s">
        <v>368</v>
      </c>
      <c r="D224" t="s">
        <v>368</v>
      </c>
    </row>
    <row r="225" spans="2:4">
      <c r="B225">
        <v>223</v>
      </c>
      <c r="C225" t="s">
        <v>369</v>
      </c>
      <c r="D225" t="s">
        <v>370</v>
      </c>
    </row>
    <row r="226" spans="2:4">
      <c r="B226">
        <v>224</v>
      </c>
      <c r="C226" t="s">
        <v>371</v>
      </c>
      <c r="D226" t="s">
        <v>372</v>
      </c>
    </row>
    <row r="227" spans="2:4">
      <c r="B227">
        <v>225</v>
      </c>
      <c r="C227" t="s">
        <v>373</v>
      </c>
      <c r="D227" t="s">
        <v>374</v>
      </c>
    </row>
    <row r="228" spans="2:4">
      <c r="B228">
        <v>226</v>
      </c>
      <c r="C228" t="s">
        <v>375</v>
      </c>
      <c r="D228" t="s">
        <v>376</v>
      </c>
    </row>
    <row r="229" spans="2:4">
      <c r="B229">
        <v>227</v>
      </c>
      <c r="C229" s="11" t="s">
        <v>193</v>
      </c>
      <c r="D229" t="s">
        <v>194</v>
      </c>
    </row>
    <row r="230" spans="2:4">
      <c r="B230">
        <v>228</v>
      </c>
      <c r="C230" t="s">
        <v>377</v>
      </c>
      <c r="D230" t="s">
        <v>378</v>
      </c>
    </row>
    <row r="231" spans="2:4">
      <c r="B231">
        <v>229</v>
      </c>
      <c r="C231" t="s">
        <v>379</v>
      </c>
      <c r="D231" t="s">
        <v>380</v>
      </c>
    </row>
    <row r="232" spans="2:4">
      <c r="B232">
        <v>230</v>
      </c>
      <c r="C232" s="13" t="s">
        <v>7</v>
      </c>
      <c r="D232" t="s">
        <v>8</v>
      </c>
    </row>
    <row r="233" spans="2:4">
      <c r="B233">
        <v>231</v>
      </c>
      <c r="C233" s="12" t="s">
        <v>381</v>
      </c>
      <c r="D233" t="s">
        <v>382</v>
      </c>
    </row>
    <row r="234" spans="2:4">
      <c r="B234">
        <v>232</v>
      </c>
      <c r="C234" s="12" t="s">
        <v>16</v>
      </c>
      <c r="D234" t="s">
        <v>17</v>
      </c>
    </row>
    <row r="235" spans="2:4">
      <c r="B235">
        <v>233</v>
      </c>
      <c r="C235" s="12" t="s">
        <v>383</v>
      </c>
      <c r="D235" t="s">
        <v>384</v>
      </c>
    </row>
    <row r="236" spans="2:4">
      <c r="B236">
        <v>234</v>
      </c>
      <c r="C236" s="12" t="s">
        <v>385</v>
      </c>
      <c r="D236" t="s">
        <v>386</v>
      </c>
    </row>
    <row r="237" spans="2:4">
      <c r="B237">
        <v>235</v>
      </c>
      <c r="C237" s="12" t="s">
        <v>22</v>
      </c>
      <c r="D237" t="s">
        <v>22</v>
      </c>
    </row>
    <row r="238" spans="2:4">
      <c r="B238">
        <v>236</v>
      </c>
      <c r="C238" s="12" t="s">
        <v>387</v>
      </c>
      <c r="D238" t="s">
        <v>388</v>
      </c>
    </row>
    <row r="239" spans="2:4">
      <c r="B239">
        <v>237</v>
      </c>
      <c r="C239" s="12" t="s">
        <v>24</v>
      </c>
      <c r="D239" t="s">
        <v>24</v>
      </c>
    </row>
    <row r="240" spans="2:4">
      <c r="B240">
        <v>238</v>
      </c>
      <c r="C240" s="12" t="s">
        <v>389</v>
      </c>
      <c r="D240" t="s">
        <v>28</v>
      </c>
    </row>
    <row r="241" spans="2:4">
      <c r="B241">
        <v>239</v>
      </c>
      <c r="C241" s="12" t="s">
        <v>390</v>
      </c>
      <c r="D241" t="s">
        <v>391</v>
      </c>
    </row>
    <row r="242" spans="2:4">
      <c r="B242">
        <v>240</v>
      </c>
      <c r="C242" s="12" t="s">
        <v>392</v>
      </c>
      <c r="D242" t="s">
        <v>393</v>
      </c>
    </row>
    <row r="243" spans="2:4">
      <c r="B243">
        <v>241</v>
      </c>
      <c r="C243" s="12" t="s">
        <v>394</v>
      </c>
      <c r="D243" t="s">
        <v>395</v>
      </c>
    </row>
    <row r="244" spans="2:4">
      <c r="B244">
        <v>242</v>
      </c>
      <c r="C244" s="12" t="s">
        <v>396</v>
      </c>
      <c r="D244" t="s">
        <v>397</v>
      </c>
    </row>
    <row r="245" spans="2:4">
      <c r="B245">
        <v>243</v>
      </c>
      <c r="C245" t="s">
        <v>398</v>
      </c>
      <c r="D245" t="s">
        <v>399</v>
      </c>
    </row>
    <row r="246" spans="2:4">
      <c r="B246">
        <v>244</v>
      </c>
      <c r="C246" t="s">
        <v>400</v>
      </c>
      <c r="D246" t="s">
        <v>401</v>
      </c>
    </row>
    <row r="247" spans="2:4" ht="15.5">
      <c r="B247">
        <v>245</v>
      </c>
      <c r="C247" s="6" t="s">
        <v>402</v>
      </c>
      <c r="D247" s="6" t="s">
        <v>403</v>
      </c>
    </row>
    <row r="248" spans="2:4">
      <c r="B248">
        <v>246</v>
      </c>
      <c r="C248" s="12" t="s">
        <v>404</v>
      </c>
      <c r="D248" t="s">
        <v>404</v>
      </c>
    </row>
    <row r="249" spans="2:4">
      <c r="B249">
        <v>247</v>
      </c>
      <c r="C249" t="s">
        <v>405</v>
      </c>
      <c r="D249" t="s">
        <v>406</v>
      </c>
    </row>
    <row r="250" spans="2:4">
      <c r="B250">
        <v>248</v>
      </c>
      <c r="C250" t="s">
        <v>407</v>
      </c>
      <c r="D250" t="s">
        <v>408</v>
      </c>
    </row>
    <row r="251" spans="2:4">
      <c r="B251">
        <v>249</v>
      </c>
      <c r="C251" t="s">
        <v>409</v>
      </c>
      <c r="D251" t="s">
        <v>410</v>
      </c>
    </row>
    <row r="252" spans="2:4">
      <c r="B252">
        <v>250</v>
      </c>
      <c r="C252" t="s">
        <v>411</v>
      </c>
      <c r="D252" t="s">
        <v>412</v>
      </c>
    </row>
    <row r="253" spans="2:4">
      <c r="B253">
        <v>251</v>
      </c>
      <c r="C253" t="s">
        <v>413</v>
      </c>
      <c r="D253" t="s">
        <v>414</v>
      </c>
    </row>
    <row r="254" spans="2:4">
      <c r="B254">
        <v>252</v>
      </c>
      <c r="C254" t="s">
        <v>415</v>
      </c>
      <c r="D254" t="s">
        <v>416</v>
      </c>
    </row>
    <row r="255" spans="2:4">
      <c r="B255">
        <v>253</v>
      </c>
      <c r="C255" t="s">
        <v>417</v>
      </c>
      <c r="D255" t="s">
        <v>418</v>
      </c>
    </row>
    <row r="256" spans="2:4">
      <c r="B256">
        <v>254</v>
      </c>
      <c r="C256" t="s">
        <v>419</v>
      </c>
      <c r="D256" t="s">
        <v>420</v>
      </c>
    </row>
    <row r="257" spans="2:4">
      <c r="B257">
        <v>255</v>
      </c>
      <c r="C257" t="s">
        <v>421</v>
      </c>
      <c r="D257" t="s">
        <v>422</v>
      </c>
    </row>
    <row r="258" spans="2:4">
      <c r="B258">
        <v>256</v>
      </c>
      <c r="C258" t="s">
        <v>423</v>
      </c>
      <c r="D258" t="s">
        <v>424</v>
      </c>
    </row>
    <row r="259" spans="2:4">
      <c r="B259">
        <v>257</v>
      </c>
      <c r="C259" t="s">
        <v>425</v>
      </c>
      <c r="D259" t="s">
        <v>426</v>
      </c>
    </row>
    <row r="260" spans="2:4">
      <c r="B260">
        <v>258</v>
      </c>
      <c r="C260" t="s">
        <v>427</v>
      </c>
      <c r="D260" t="s">
        <v>428</v>
      </c>
    </row>
    <row r="261" spans="2:4">
      <c r="B261">
        <v>259</v>
      </c>
      <c r="C261" t="s">
        <v>429</v>
      </c>
      <c r="D261" t="s">
        <v>430</v>
      </c>
    </row>
    <row r="262" spans="2:4">
      <c r="B262">
        <v>260</v>
      </c>
      <c r="C262" t="s">
        <v>431</v>
      </c>
      <c r="D262" t="s">
        <v>432</v>
      </c>
    </row>
    <row r="263" spans="2:4">
      <c r="B263">
        <v>261</v>
      </c>
      <c r="C263" t="s">
        <v>433</v>
      </c>
      <c r="D263" t="s">
        <v>434</v>
      </c>
    </row>
    <row r="264" spans="2:4">
      <c r="B264">
        <v>262</v>
      </c>
      <c r="C264" t="s">
        <v>435</v>
      </c>
      <c r="D264" t="s">
        <v>436</v>
      </c>
    </row>
    <row r="265" spans="2:4">
      <c r="B265">
        <v>263</v>
      </c>
      <c r="C265" t="s">
        <v>437</v>
      </c>
      <c r="D265" t="s">
        <v>438</v>
      </c>
    </row>
    <row r="266" spans="2:4">
      <c r="B266">
        <v>264</v>
      </c>
      <c r="C266" t="s">
        <v>439</v>
      </c>
      <c r="D266" t="s">
        <v>440</v>
      </c>
    </row>
    <row r="267" spans="2:4" ht="15" customHeight="1">
      <c r="B267">
        <v>265</v>
      </c>
      <c r="C267" t="s">
        <v>441</v>
      </c>
      <c r="D267" t="s">
        <v>442</v>
      </c>
    </row>
    <row r="268" spans="2:4">
      <c r="B268">
        <v>266</v>
      </c>
      <c r="C268" t="s">
        <v>443</v>
      </c>
      <c r="D268" t="s">
        <v>444</v>
      </c>
    </row>
    <row r="269" spans="2:4">
      <c r="B269">
        <v>267</v>
      </c>
      <c r="C269" t="s">
        <v>445</v>
      </c>
      <c r="D269" t="s">
        <v>446</v>
      </c>
    </row>
    <row r="270" spans="2:4">
      <c r="B270">
        <v>268</v>
      </c>
      <c r="C270" t="s">
        <v>447</v>
      </c>
      <c r="D270" t="s">
        <v>448</v>
      </c>
    </row>
    <row r="271" spans="2:4">
      <c r="B271">
        <v>269</v>
      </c>
      <c r="C271" t="s">
        <v>449</v>
      </c>
      <c r="D271" t="s">
        <v>450</v>
      </c>
    </row>
    <row r="272" spans="2:4">
      <c r="B272">
        <v>270</v>
      </c>
      <c r="C272" t="s">
        <v>451</v>
      </c>
      <c r="D272" t="s">
        <v>452</v>
      </c>
    </row>
    <row r="273" spans="2:4">
      <c r="B273">
        <v>271</v>
      </c>
      <c r="C273" t="s">
        <v>453</v>
      </c>
      <c r="D273" t="s">
        <v>454</v>
      </c>
    </row>
    <row r="274" spans="2:4">
      <c r="B274">
        <v>272</v>
      </c>
      <c r="C274" t="s">
        <v>455</v>
      </c>
      <c r="D274" t="s">
        <v>456</v>
      </c>
    </row>
    <row r="275" spans="2:4">
      <c r="B275">
        <v>273</v>
      </c>
      <c r="C275" s="26" t="s">
        <v>457</v>
      </c>
      <c r="D275" s="26" t="s">
        <v>458</v>
      </c>
    </row>
    <row r="276" spans="2:4" ht="15.5">
      <c r="B276">
        <v>274</v>
      </c>
      <c r="C276" s="27" t="s">
        <v>459</v>
      </c>
      <c r="D276" t="s">
        <v>460</v>
      </c>
    </row>
    <row r="277" spans="2:4">
      <c r="B277">
        <v>275</v>
      </c>
      <c r="C277" s="27" t="s">
        <v>461</v>
      </c>
      <c r="D277" t="s">
        <v>462</v>
      </c>
    </row>
    <row r="278" spans="2:4">
      <c r="B278">
        <v>276</v>
      </c>
      <c r="C278" s="27" t="s">
        <v>463</v>
      </c>
      <c r="D278" t="s">
        <v>464</v>
      </c>
    </row>
    <row r="279" spans="2:4">
      <c r="B279">
        <v>277</v>
      </c>
      <c r="C279" s="27" t="s">
        <v>465</v>
      </c>
      <c r="D279" t="s">
        <v>466</v>
      </c>
    </row>
    <row r="280" spans="2:4">
      <c r="B280">
        <v>278</v>
      </c>
      <c r="C280" s="27" t="s">
        <v>467</v>
      </c>
      <c r="D280" t="s">
        <v>468</v>
      </c>
    </row>
    <row r="281" spans="2:4">
      <c r="B281">
        <v>279</v>
      </c>
      <c r="C281" s="27" t="s">
        <v>469</v>
      </c>
      <c r="D281" t="s">
        <v>470</v>
      </c>
    </row>
    <row r="282" spans="2:4" ht="15.5">
      <c r="B282">
        <v>280</v>
      </c>
      <c r="C282" s="6" t="s">
        <v>471</v>
      </c>
      <c r="D282" s="6" t="s">
        <v>471</v>
      </c>
    </row>
    <row r="283" spans="2:4">
      <c r="B283">
        <v>281</v>
      </c>
      <c r="C283" s="27" t="s">
        <v>472</v>
      </c>
      <c r="D283" t="s">
        <v>473</v>
      </c>
    </row>
    <row r="284" spans="2:4" ht="15.5">
      <c r="B284">
        <v>282</v>
      </c>
      <c r="C284" s="6" t="s">
        <v>474</v>
      </c>
      <c r="D284" t="s">
        <v>475</v>
      </c>
    </row>
    <row r="285" spans="2:4" ht="15.5">
      <c r="B285">
        <v>283</v>
      </c>
      <c r="C285" s="6" t="s">
        <v>27</v>
      </c>
      <c r="D285" s="6" t="s">
        <v>476</v>
      </c>
    </row>
    <row r="286" spans="2:4" ht="15.5">
      <c r="B286">
        <v>284</v>
      </c>
      <c r="C286" s="6" t="s">
        <v>477</v>
      </c>
      <c r="D286" t="s">
        <v>478</v>
      </c>
    </row>
    <row r="287" spans="2:4" ht="15.5">
      <c r="B287">
        <v>285</v>
      </c>
      <c r="C287" s="6" t="s">
        <v>479</v>
      </c>
      <c r="D287" s="12" t="s">
        <v>480</v>
      </c>
    </row>
    <row r="288" spans="2:4" ht="15.5">
      <c r="B288">
        <v>286</v>
      </c>
      <c r="C288" s="6" t="s">
        <v>481</v>
      </c>
      <c r="D288" s="12" t="s">
        <v>482</v>
      </c>
    </row>
    <row r="289" spans="2:11" ht="15.5">
      <c r="B289">
        <v>287</v>
      </c>
      <c r="C289" s="6" t="s">
        <v>483</v>
      </c>
      <c r="D289" s="13" t="s">
        <v>484</v>
      </c>
    </row>
    <row r="290" spans="2:11" ht="15.5">
      <c r="B290">
        <v>288</v>
      </c>
      <c r="C290" s="6" t="s">
        <v>485</v>
      </c>
      <c r="D290" s="13" t="s">
        <v>486</v>
      </c>
    </row>
    <row r="291" spans="2:11" ht="15.5">
      <c r="B291">
        <v>289</v>
      </c>
      <c r="C291" s="6" t="s">
        <v>487</v>
      </c>
      <c r="D291" s="12" t="s">
        <v>488</v>
      </c>
    </row>
    <row r="292" spans="2:11" ht="15.5">
      <c r="B292">
        <v>290</v>
      </c>
      <c r="C292" s="6" t="s">
        <v>489</v>
      </c>
      <c r="D292" s="12" t="s">
        <v>490</v>
      </c>
    </row>
    <row r="293" spans="2:11" ht="15.5">
      <c r="B293">
        <v>291</v>
      </c>
      <c r="C293" s="6" t="s">
        <v>491</v>
      </c>
      <c r="D293" s="13" t="s">
        <v>492</v>
      </c>
    </row>
    <row r="294" spans="2:11" ht="15.5">
      <c r="B294">
        <v>292</v>
      </c>
      <c r="C294" s="6" t="s">
        <v>493</v>
      </c>
      <c r="D294" s="12" t="s">
        <v>494</v>
      </c>
    </row>
    <row r="295" spans="2:11" ht="15.5">
      <c r="B295">
        <v>293</v>
      </c>
      <c r="C295" s="6" t="s">
        <v>495</v>
      </c>
      <c r="D295" s="12" t="s">
        <v>496</v>
      </c>
    </row>
    <row r="296" spans="2:11" ht="15.5">
      <c r="B296">
        <v>294</v>
      </c>
      <c r="C296" s="6" t="s">
        <v>497</v>
      </c>
      <c r="D296" s="13" t="s">
        <v>498</v>
      </c>
    </row>
    <row r="297" spans="2:11" ht="15.5">
      <c r="B297">
        <v>295</v>
      </c>
      <c r="C297" s="6" t="s">
        <v>499</v>
      </c>
      <c r="D297" s="6" t="s">
        <v>500</v>
      </c>
    </row>
    <row r="298" spans="2:11">
      <c r="B298">
        <v>296</v>
      </c>
      <c r="C298" s="12" t="s">
        <v>501</v>
      </c>
      <c r="D298" t="s">
        <v>502</v>
      </c>
    </row>
    <row r="299" spans="2:11">
      <c r="B299">
        <v>297</v>
      </c>
      <c r="C299" t="s">
        <v>503</v>
      </c>
      <c r="D299" t="s">
        <v>504</v>
      </c>
      <c r="E299" s="28"/>
      <c r="F299" s="28"/>
      <c r="G299" s="28"/>
      <c r="H299" s="28"/>
      <c r="I299" s="28"/>
      <c r="J299" s="28"/>
      <c r="K299" s="28"/>
    </row>
    <row r="300" spans="2:11">
      <c r="B300">
        <v>298</v>
      </c>
      <c r="C300" t="s">
        <v>505</v>
      </c>
      <c r="D300" t="s">
        <v>506</v>
      </c>
    </row>
    <row r="301" spans="2:11" ht="15.5">
      <c r="B301">
        <v>299</v>
      </c>
      <c r="C301" s="6" t="s">
        <v>507</v>
      </c>
      <c r="D301" t="s">
        <v>508</v>
      </c>
    </row>
    <row r="302" spans="2:11" ht="15.5">
      <c r="B302">
        <v>300</v>
      </c>
      <c r="C302" s="6" t="s">
        <v>509</v>
      </c>
      <c r="D302" s="6" t="s">
        <v>510</v>
      </c>
    </row>
    <row r="303" spans="2:11">
      <c r="B303">
        <v>301</v>
      </c>
      <c r="C303" t="s">
        <v>511</v>
      </c>
      <c r="D303" t="s">
        <v>512</v>
      </c>
    </row>
    <row r="304" spans="2:11">
      <c r="B304">
        <v>302</v>
      </c>
      <c r="C304" t="s">
        <v>513</v>
      </c>
      <c r="D304" t="s">
        <v>514</v>
      </c>
    </row>
    <row r="305" spans="2:4" ht="15.5">
      <c r="B305">
        <v>303</v>
      </c>
      <c r="C305" s="29" t="s">
        <v>515</v>
      </c>
      <c r="D305" s="29" t="s">
        <v>516</v>
      </c>
    </row>
    <row r="306" spans="2:4" ht="15.5">
      <c r="B306">
        <v>304</v>
      </c>
      <c r="C306" s="27" t="s">
        <v>517</v>
      </c>
      <c r="D306" t="s">
        <v>518</v>
      </c>
    </row>
    <row r="307" spans="2:4">
      <c r="B307">
        <v>305</v>
      </c>
      <c r="C307" t="s">
        <v>519</v>
      </c>
      <c r="D307" t="s">
        <v>520</v>
      </c>
    </row>
    <row r="308" spans="2:4">
      <c r="B308">
        <v>306</v>
      </c>
      <c r="C308" t="s">
        <v>521</v>
      </c>
      <c r="D308" t="s">
        <v>522</v>
      </c>
    </row>
    <row r="309" spans="2:4">
      <c r="B309">
        <v>307</v>
      </c>
      <c r="C309" t="s">
        <v>523</v>
      </c>
      <c r="D309" t="s">
        <v>524</v>
      </c>
    </row>
    <row r="310" spans="2:4">
      <c r="B310">
        <v>308</v>
      </c>
      <c r="C310" t="s">
        <v>525</v>
      </c>
      <c r="D310" t="s">
        <v>526</v>
      </c>
    </row>
    <row r="311" spans="2:4" ht="15.5">
      <c r="B311">
        <v>309</v>
      </c>
      <c r="C311" s="27" t="s">
        <v>527</v>
      </c>
      <c r="D311" t="s">
        <v>528</v>
      </c>
    </row>
    <row r="312" spans="2:4" ht="15.5">
      <c r="B312">
        <v>310</v>
      </c>
      <c r="C312" s="27" t="s">
        <v>529</v>
      </c>
      <c r="D312" t="s">
        <v>530</v>
      </c>
    </row>
    <row r="313" spans="2:4">
      <c r="B313">
        <v>311</v>
      </c>
      <c r="C313" t="s">
        <v>531</v>
      </c>
      <c r="D313" t="s">
        <v>532</v>
      </c>
    </row>
    <row r="314" spans="2:4">
      <c r="B314">
        <v>312</v>
      </c>
      <c r="C314" t="s">
        <v>533</v>
      </c>
      <c r="D314" t="s">
        <v>534</v>
      </c>
    </row>
    <row r="315" spans="2:4">
      <c r="B315">
        <v>313</v>
      </c>
      <c r="C315" t="s">
        <v>535</v>
      </c>
      <c r="D315" t="s">
        <v>536</v>
      </c>
    </row>
    <row r="316" spans="2:4">
      <c r="B316">
        <v>314</v>
      </c>
      <c r="C316" t="s">
        <v>537</v>
      </c>
      <c r="D316" t="s">
        <v>538</v>
      </c>
    </row>
    <row r="317" spans="2:4">
      <c r="B317">
        <v>315</v>
      </c>
      <c r="C317" t="s">
        <v>539</v>
      </c>
      <c r="D317" t="s">
        <v>540</v>
      </c>
    </row>
    <row r="318" spans="2:4">
      <c r="B318">
        <v>316</v>
      </c>
      <c r="C318" t="s">
        <v>541</v>
      </c>
      <c r="D318" t="s">
        <v>542</v>
      </c>
    </row>
    <row r="319" spans="2:4">
      <c r="B319">
        <v>317</v>
      </c>
      <c r="C319" t="s">
        <v>543</v>
      </c>
      <c r="D319" t="s">
        <v>544</v>
      </c>
    </row>
    <row r="320" spans="2:4">
      <c r="B320">
        <v>318</v>
      </c>
      <c r="C320" t="s">
        <v>545</v>
      </c>
      <c r="D320" t="s">
        <v>506</v>
      </c>
    </row>
    <row r="321" spans="2:4">
      <c r="B321">
        <v>319</v>
      </c>
      <c r="C321" t="s">
        <v>546</v>
      </c>
      <c r="D321" t="s">
        <v>547</v>
      </c>
    </row>
    <row r="322" spans="2:4">
      <c r="B322">
        <v>320</v>
      </c>
      <c r="C322" t="s">
        <v>548</v>
      </c>
      <c r="D322" t="s">
        <v>549</v>
      </c>
    </row>
    <row r="1000" spans="1:1">
      <c r="A1000" t="s">
        <v>550</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97"/>
  <sheetViews>
    <sheetView showGridLines="0" zoomScaleNormal="100" workbookViewId="0">
      <selection activeCell="A41" sqref="A41"/>
    </sheetView>
  </sheetViews>
  <sheetFormatPr baseColWidth="10" defaultColWidth="11.453125" defaultRowHeight="14.5"/>
  <cols>
    <col min="1" max="1" width="62" style="63" customWidth="1"/>
    <col min="2" max="2" width="12.81640625" style="63" customWidth="1"/>
    <col min="3" max="3" width="13" style="63" customWidth="1"/>
    <col min="4" max="6" width="11.453125" style="63"/>
    <col min="7" max="9" width="0" style="63" hidden="1" customWidth="1"/>
    <col min="10" max="16384" width="11.453125" style="63"/>
  </cols>
  <sheetData>
    <row r="1" spans="1:9" ht="17">
      <c r="A1" s="61" t="str">
        <f>HLOOKUP(INDICE!$F$2,Nombres!$C$3:$D$636,15,FALSE)</f>
        <v>Chile</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74">
        <v>29.358000000000001</v>
      </c>
      <c r="C8" s="74">
        <v>31.427000000000003</v>
      </c>
      <c r="D8" s="74">
        <v>27.233000000000001</v>
      </c>
      <c r="E8" s="113">
        <v>28.963000000000015</v>
      </c>
      <c r="F8" s="74">
        <v>26.795999999999999</v>
      </c>
      <c r="G8" s="74">
        <v>0</v>
      </c>
      <c r="H8" s="74">
        <v>0</v>
      </c>
      <c r="I8" s="74">
        <v>0</v>
      </c>
    </row>
    <row r="9" spans="1:9">
      <c r="A9" s="17" t="str">
        <f>HLOOKUP(INDICE!$F$2,Nombres!$C$3:$D$636,34,FALSE)</f>
        <v>Comisiones netas</v>
      </c>
      <c r="B9" s="75">
        <v>9.2039999999999988</v>
      </c>
      <c r="C9" s="75">
        <v>8.0280000000000022</v>
      </c>
      <c r="D9" s="75">
        <v>8.94</v>
      </c>
      <c r="E9" s="76">
        <v>5.0999999999999952</v>
      </c>
      <c r="F9" s="75">
        <v>5.458000000000002</v>
      </c>
      <c r="G9" s="75">
        <v>0</v>
      </c>
      <c r="H9" s="75">
        <v>0</v>
      </c>
      <c r="I9" s="75">
        <v>0</v>
      </c>
    </row>
    <row r="10" spans="1:9">
      <c r="A10" s="17" t="str">
        <f>HLOOKUP(INDICE!$F$2,Nombres!$C$3:$D$636,35,FALSE)</f>
        <v>Resultados de operaciones financieras</v>
      </c>
      <c r="B10" s="75">
        <v>1.8659999999999999</v>
      </c>
      <c r="C10" s="75">
        <v>2.3530000000000002</v>
      </c>
      <c r="D10" s="75">
        <v>2.1589999999999994</v>
      </c>
      <c r="E10" s="76">
        <v>0.53200000000000069</v>
      </c>
      <c r="F10" s="75">
        <v>0.92700000000000005</v>
      </c>
      <c r="G10" s="75">
        <v>0</v>
      </c>
      <c r="H10" s="75">
        <v>0</v>
      </c>
      <c r="I10" s="75">
        <v>0</v>
      </c>
    </row>
    <row r="11" spans="1:9">
      <c r="A11" s="17" t="str">
        <f>HLOOKUP(INDICE!$F$2,Nombres!$C$3:$D$636,36,FALSE)</f>
        <v>Otros ingresos y cargas de explotación</v>
      </c>
      <c r="B11" s="75">
        <v>-0.36499999999999999</v>
      </c>
      <c r="C11" s="75">
        <v>-0.27899999999999991</v>
      </c>
      <c r="D11" s="75">
        <v>-0.26700000000000013</v>
      </c>
      <c r="E11" s="76">
        <v>-1.5799999999999996</v>
      </c>
      <c r="F11" s="75">
        <v>-0.34400000000000003</v>
      </c>
      <c r="G11" s="75">
        <v>0</v>
      </c>
      <c r="H11" s="75">
        <v>0</v>
      </c>
      <c r="I11" s="75">
        <v>0</v>
      </c>
    </row>
    <row r="12" spans="1:9">
      <c r="A12" s="25" t="str">
        <f>HLOOKUP(INDICE!$F$2,Nombres!$C$3:$D$636,37,FALSE)</f>
        <v>Margen bruto</v>
      </c>
      <c r="B12" s="74">
        <f t="shared" ref="B12:C12" si="0">+SUM(B8:B11)</f>
        <v>40.062999999999995</v>
      </c>
      <c r="C12" s="74">
        <f t="shared" si="0"/>
        <v>41.529000000000011</v>
      </c>
      <c r="D12" s="74">
        <f t="shared" ref="D12:E12" si="1">+SUM(D8:D11)</f>
        <v>38.064999999999998</v>
      </c>
      <c r="E12" s="113">
        <f t="shared" si="1"/>
        <v>33.015000000000015</v>
      </c>
      <c r="F12" s="74">
        <f t="shared" ref="F12:I12" si="2">+SUM(F8:F11)</f>
        <v>32.837000000000003</v>
      </c>
      <c r="G12" s="74">
        <f t="shared" si="2"/>
        <v>0</v>
      </c>
      <c r="H12" s="74">
        <f t="shared" si="2"/>
        <v>0</v>
      </c>
      <c r="I12" s="74">
        <f t="shared" si="2"/>
        <v>0</v>
      </c>
    </row>
    <row r="13" spans="1:9">
      <c r="A13" s="17" t="str">
        <f>HLOOKUP(INDICE!$F$2,Nombres!$C$3:$D$636,38,FALSE)</f>
        <v>Gastos de explotación</v>
      </c>
      <c r="B13" s="75">
        <v>-15.832145999999998</v>
      </c>
      <c r="C13" s="75">
        <v>-15.665146</v>
      </c>
      <c r="D13" s="75">
        <v>-14.831146000000002</v>
      </c>
      <c r="E13" s="76">
        <v>-13.490146000000003</v>
      </c>
      <c r="F13" s="75">
        <v>-13.251002</v>
      </c>
      <c r="G13" s="75">
        <v>0</v>
      </c>
      <c r="H13" s="75">
        <v>0</v>
      </c>
      <c r="I13" s="75">
        <v>0</v>
      </c>
    </row>
    <row r="14" spans="1:9">
      <c r="A14" s="17" t="str">
        <f>HLOOKUP(INDICE!$F$2,Nombres!$C$3:$D$636,39,FALSE)</f>
        <v xml:space="preserve">  Gastos de administración</v>
      </c>
      <c r="B14" s="75">
        <v>-14.514146</v>
      </c>
      <c r="C14" s="75">
        <v>-14.295146000000001</v>
      </c>
      <c r="D14" s="75">
        <v>-13.284146</v>
      </c>
      <c r="E14" s="76">
        <v>-11.776146000000001</v>
      </c>
      <c r="F14" s="75">
        <v>-11.454001999999999</v>
      </c>
      <c r="G14" s="75">
        <v>0</v>
      </c>
      <c r="H14" s="75">
        <v>0</v>
      </c>
      <c r="I14" s="75">
        <v>0</v>
      </c>
    </row>
    <row r="15" spans="1:9">
      <c r="A15" s="77" t="str">
        <f>HLOOKUP(INDICE!$F$2,Nombres!$C$3:$D$636,40,FALSE)</f>
        <v xml:space="preserve">  Gastos de personal</v>
      </c>
      <c r="B15" s="75">
        <v>-6.8429999999999991</v>
      </c>
      <c r="C15" s="75">
        <v>-7.0209999999999999</v>
      </c>
      <c r="D15" s="75">
        <v>-6.9759999999999991</v>
      </c>
      <c r="E15" s="76">
        <v>-6.4849999999999994</v>
      </c>
      <c r="F15" s="75">
        <v>-5.5750000000000002</v>
      </c>
      <c r="G15" s="75">
        <v>0</v>
      </c>
      <c r="H15" s="75">
        <v>0</v>
      </c>
      <c r="I15" s="75">
        <v>0</v>
      </c>
    </row>
    <row r="16" spans="1:9">
      <c r="A16" s="77" t="str">
        <f>HLOOKUP(INDICE!$F$2,Nombres!$C$3:$D$636,41,FALSE)</f>
        <v xml:space="preserve">  Otros gastos de administración</v>
      </c>
      <c r="B16" s="75">
        <v>-7.6711460000000002</v>
      </c>
      <c r="C16" s="75">
        <v>-7.274146</v>
      </c>
      <c r="D16" s="75">
        <v>-6.3081460000000007</v>
      </c>
      <c r="E16" s="76">
        <v>-5.2911459999999995</v>
      </c>
      <c r="F16" s="75">
        <v>-5.8790019999999998</v>
      </c>
      <c r="G16" s="75">
        <v>0</v>
      </c>
      <c r="H16" s="75">
        <v>0</v>
      </c>
      <c r="I16" s="75">
        <v>0</v>
      </c>
    </row>
    <row r="17" spans="1:9">
      <c r="A17" s="17" t="str">
        <f>HLOOKUP(INDICE!$F$2,Nombres!$C$3:$D$636,42,FALSE)</f>
        <v xml:space="preserve">  Amortización</v>
      </c>
      <c r="B17" s="75">
        <v>-1.3180000000000001</v>
      </c>
      <c r="C17" s="75">
        <v>-1.3699999999999999</v>
      </c>
      <c r="D17" s="75">
        <v>-1.5470000000000002</v>
      </c>
      <c r="E17" s="76">
        <v>-1.7140000000000004</v>
      </c>
      <c r="F17" s="75">
        <v>-1.7969999999999997</v>
      </c>
      <c r="G17" s="75">
        <v>0</v>
      </c>
      <c r="H17" s="75">
        <v>0</v>
      </c>
      <c r="I17" s="75">
        <v>0</v>
      </c>
    </row>
    <row r="18" spans="1:9">
      <c r="A18" s="25" t="str">
        <f>HLOOKUP(INDICE!$F$2,Nombres!$C$3:$D$636,43,FALSE)</f>
        <v>Margen neto</v>
      </c>
      <c r="B18" s="74">
        <f t="shared" ref="B18:I18" si="3">+B12+B13</f>
        <v>24.230853999999997</v>
      </c>
      <c r="C18" s="74">
        <f t="shared" si="3"/>
        <v>25.863854000000011</v>
      </c>
      <c r="D18" s="74">
        <f t="shared" si="3"/>
        <v>23.233853999999994</v>
      </c>
      <c r="E18" s="113">
        <f t="shared" si="3"/>
        <v>19.524854000000012</v>
      </c>
      <c r="F18" s="74">
        <f t="shared" si="3"/>
        <v>19.585998000000004</v>
      </c>
      <c r="G18" s="74">
        <f t="shared" si="3"/>
        <v>0</v>
      </c>
      <c r="H18" s="74">
        <f t="shared" si="3"/>
        <v>0</v>
      </c>
      <c r="I18" s="74">
        <f t="shared" si="3"/>
        <v>0</v>
      </c>
    </row>
    <row r="19" spans="1:9">
      <c r="A19" s="17" t="str">
        <f>HLOOKUP(INDICE!$F$2,Nombres!$C$3:$D$636,44,FALSE)</f>
        <v>Deterioro de activos financieros no valorados a valor razonable con cambios en resultados</v>
      </c>
      <c r="B19" s="75">
        <v>-21.72</v>
      </c>
      <c r="C19" s="75">
        <v>-18.352</v>
      </c>
      <c r="D19" s="75">
        <v>-18.263999999999996</v>
      </c>
      <c r="E19" s="76">
        <v>-11.182000000000006</v>
      </c>
      <c r="F19" s="75">
        <v>-19.562000000000001</v>
      </c>
      <c r="G19" s="75">
        <v>0</v>
      </c>
      <c r="H19" s="75">
        <v>0</v>
      </c>
      <c r="I19" s="75">
        <v>0</v>
      </c>
    </row>
    <row r="20" spans="1:9">
      <c r="A20" s="17" t="str">
        <f>HLOOKUP(INDICE!$F$2,Nombres!$C$3:$D$636,45,FALSE)</f>
        <v>Provisiones o reversión de provisiones y otros resultados</v>
      </c>
      <c r="B20" s="75">
        <v>-0.41200000000000003</v>
      </c>
      <c r="C20" s="75">
        <v>-0.22799999999999998</v>
      </c>
      <c r="D20" s="75">
        <v>-0.47000000000000008</v>
      </c>
      <c r="E20" s="76">
        <v>-0.10299999999999987</v>
      </c>
      <c r="F20" s="75">
        <v>-0.42099999999999999</v>
      </c>
      <c r="G20" s="75">
        <v>0</v>
      </c>
      <c r="H20" s="75">
        <v>0</v>
      </c>
      <c r="I20" s="75">
        <v>0</v>
      </c>
    </row>
    <row r="21" spans="1:9">
      <c r="A21" s="25" t="str">
        <f>HLOOKUP(INDICE!$F$2,Nombres!$C$3:$D$636,46,FALSE)</f>
        <v>Resultado antes de impuestos</v>
      </c>
      <c r="B21" s="74">
        <f t="shared" ref="B21:I21" si="4">+B18+B19+B20</f>
        <v>2.0988539999999984</v>
      </c>
      <c r="C21" s="74">
        <f t="shared" si="4"/>
        <v>7.2838540000000105</v>
      </c>
      <c r="D21" s="74">
        <f t="shared" si="4"/>
        <v>4.4998539999999982</v>
      </c>
      <c r="E21" s="113">
        <f t="shared" si="4"/>
        <v>8.2398540000000065</v>
      </c>
      <c r="F21" s="74">
        <f t="shared" si="4"/>
        <v>-0.39700199999999758</v>
      </c>
      <c r="G21" s="74">
        <f t="shared" si="4"/>
        <v>0</v>
      </c>
      <c r="H21" s="74">
        <f t="shared" si="4"/>
        <v>0</v>
      </c>
      <c r="I21" s="74">
        <f t="shared" si="4"/>
        <v>0</v>
      </c>
    </row>
    <row r="22" spans="1:9">
      <c r="A22" s="17" t="str">
        <f>HLOOKUP(INDICE!$F$2,Nombres!$C$3:$D$636,47,FALSE)</f>
        <v>Impuesto sobre beneficios</v>
      </c>
      <c r="B22" s="75">
        <v>5.5043800000000309E-2</v>
      </c>
      <c r="C22" s="75">
        <v>-0.67395620000000034</v>
      </c>
      <c r="D22" s="75">
        <v>-1.1009561999999997</v>
      </c>
      <c r="E22" s="76">
        <v>-0.63695619999999975</v>
      </c>
      <c r="F22" s="75">
        <v>0.53970059999999997</v>
      </c>
      <c r="G22" s="75">
        <v>0</v>
      </c>
      <c r="H22" s="75">
        <v>0</v>
      </c>
      <c r="I22" s="75">
        <v>0</v>
      </c>
    </row>
    <row r="23" spans="1:9">
      <c r="A23" s="25" t="str">
        <f>HLOOKUP(INDICE!$F$2,Nombres!$C$3:$D$636,48,FALSE)</f>
        <v>Resultado del ejercicio</v>
      </c>
      <c r="B23" s="74">
        <f t="shared" ref="B23:I23" si="5">+B21+B22</f>
        <v>2.1538977999999989</v>
      </c>
      <c r="C23" s="74">
        <f t="shared" si="5"/>
        <v>6.6098978000000104</v>
      </c>
      <c r="D23" s="74">
        <f t="shared" si="5"/>
        <v>3.3988977999999985</v>
      </c>
      <c r="E23" s="113">
        <f t="shared" si="5"/>
        <v>7.6028978000000063</v>
      </c>
      <c r="F23" s="74">
        <f t="shared" si="5"/>
        <v>0.1426986000000024</v>
      </c>
      <c r="G23" s="74">
        <f t="shared" si="5"/>
        <v>0</v>
      </c>
      <c r="H23" s="74">
        <f t="shared" si="5"/>
        <v>0</v>
      </c>
      <c r="I23" s="74">
        <f t="shared" si="5"/>
        <v>0</v>
      </c>
    </row>
    <row r="24" spans="1:9">
      <c r="A24" s="17" t="str">
        <f>HLOOKUP(INDICE!$F$2,Nombres!$C$3:$D$636,49,FALSE)</f>
        <v>Minoritarios</v>
      </c>
      <c r="B24" s="75">
        <v>0</v>
      </c>
      <c r="C24" s="75">
        <v>0</v>
      </c>
      <c r="D24" s="75">
        <v>0</v>
      </c>
      <c r="E24" s="76">
        <v>0</v>
      </c>
      <c r="F24" s="75">
        <v>0</v>
      </c>
      <c r="G24" s="75">
        <v>0</v>
      </c>
      <c r="H24" s="75">
        <v>0</v>
      </c>
      <c r="I24" s="75">
        <v>0</v>
      </c>
    </row>
    <row r="25" spans="1:9">
      <c r="A25" s="19" t="str">
        <f>HLOOKUP(INDICE!$F$2,Nombres!$C$3:$D$636,50,FALSE)</f>
        <v>Resultado atribuido</v>
      </c>
      <c r="B25" s="94">
        <f t="shared" ref="B25:I25" si="6">+B23+B24</f>
        <v>2.1538977999999989</v>
      </c>
      <c r="C25" s="94">
        <f t="shared" si="6"/>
        <v>6.6098978000000104</v>
      </c>
      <c r="D25" s="94">
        <f t="shared" si="6"/>
        <v>3.3988977999999985</v>
      </c>
      <c r="E25" s="110">
        <f t="shared" si="6"/>
        <v>7.6028978000000063</v>
      </c>
      <c r="F25" s="94">
        <f t="shared" si="6"/>
        <v>0.1426986000000024</v>
      </c>
      <c r="G25" s="94">
        <f t="shared" si="6"/>
        <v>0</v>
      </c>
      <c r="H25" s="94">
        <f t="shared" si="6"/>
        <v>0</v>
      </c>
      <c r="I25" s="94">
        <f t="shared" si="6"/>
        <v>0</v>
      </c>
    </row>
    <row r="26" spans="1:9">
      <c r="A26" s="114"/>
      <c r="B26" s="99">
        <v>0</v>
      </c>
      <c r="C26" s="99">
        <v>0</v>
      </c>
      <c r="D26" s="99">
        <v>-7.1054273576010019E-15</v>
      </c>
      <c r="E26" s="99">
        <v>0</v>
      </c>
      <c r="F26" s="99">
        <v>1.1657341758564144E-15</v>
      </c>
      <c r="G26" s="99">
        <v>0</v>
      </c>
      <c r="H26" s="99">
        <v>0</v>
      </c>
      <c r="I26" s="99">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7" t="str">
        <f>HLOOKUP(INDICE!$F$2,Nombres!$C$3:$D$636,52,FALSE)</f>
        <v>Efectivo, saldos en efectivo en bancos centrales y otros depósitos a la vista</v>
      </c>
      <c r="B31" s="75">
        <v>30.622</v>
      </c>
      <c r="C31" s="75">
        <v>34.832000000000001</v>
      </c>
      <c r="D31" s="75">
        <v>58.744999999999997</v>
      </c>
      <c r="E31" s="76">
        <v>27.008000000000003</v>
      </c>
      <c r="F31" s="75">
        <v>21.594000000000001</v>
      </c>
      <c r="G31" s="75">
        <v>0</v>
      </c>
      <c r="H31" s="75">
        <v>0</v>
      </c>
      <c r="I31" s="75">
        <v>0</v>
      </c>
    </row>
    <row r="32" spans="1:9">
      <c r="A32" s="17" t="str">
        <f>HLOOKUP(INDICE!$F$2,Nombres!$C$3:$D$636,53,FALSE)</f>
        <v>Activos financieros a valor razonable</v>
      </c>
      <c r="B32" s="83">
        <v>0</v>
      </c>
      <c r="C32" s="83">
        <v>0</v>
      </c>
      <c r="D32" s="83">
        <v>0</v>
      </c>
      <c r="E32" s="95">
        <v>0</v>
      </c>
      <c r="F32" s="75">
        <v>0</v>
      </c>
      <c r="G32" s="75">
        <v>0</v>
      </c>
      <c r="H32" s="75">
        <v>0</v>
      </c>
      <c r="I32" s="75">
        <v>0</v>
      </c>
    </row>
    <row r="33" spans="1:9">
      <c r="A33" s="17" t="str">
        <f>HLOOKUP(INDICE!$F$2,Nombres!$C$3:$D$636,54,FALSE)</f>
        <v>Activos financieros a coste amortizado</v>
      </c>
      <c r="B33" s="75">
        <v>2210.672</v>
      </c>
      <c r="C33" s="75">
        <v>2201.4</v>
      </c>
      <c r="D33" s="75">
        <v>1998.2869999999998</v>
      </c>
      <c r="E33" s="76">
        <v>2003.0230000000001</v>
      </c>
      <c r="F33" s="75">
        <v>1796.7270000000001</v>
      </c>
      <c r="G33" s="75">
        <v>0</v>
      </c>
      <c r="H33" s="75">
        <v>0</v>
      </c>
      <c r="I33" s="75">
        <v>0</v>
      </c>
    </row>
    <row r="34" spans="1:9">
      <c r="A34" s="17" t="str">
        <f>HLOOKUP(INDICE!$F$2,Nombres!$C$3:$D$636,55,FALSE)</f>
        <v xml:space="preserve">    de los que préstamos y anticipos a la clientela</v>
      </c>
      <c r="B34" s="75">
        <v>2173.498</v>
      </c>
      <c r="C34" s="75">
        <v>2156.4220000000005</v>
      </c>
      <c r="D34" s="75">
        <v>1988.867</v>
      </c>
      <c r="E34" s="76">
        <v>1998.634</v>
      </c>
      <c r="F34" s="75">
        <v>1783.2719999999999</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4.1640000000000006</v>
      </c>
      <c r="C36" s="75">
        <v>3.794</v>
      </c>
      <c r="D36" s="75">
        <v>3.24</v>
      </c>
      <c r="E36" s="76">
        <v>6.4630000000000001</v>
      </c>
      <c r="F36" s="75">
        <v>5.7039999999999997</v>
      </c>
      <c r="G36" s="75">
        <v>0</v>
      </c>
      <c r="H36" s="75">
        <v>0</v>
      </c>
      <c r="I36" s="75">
        <v>0</v>
      </c>
    </row>
    <row r="37" spans="1:9">
      <c r="A37" s="17" t="str">
        <f>HLOOKUP(INDICE!$F$2,Nombres!$C$3:$D$636,57,FALSE)</f>
        <v>Otros activos</v>
      </c>
      <c r="B37" s="83">
        <f>+B38-B36-B33-B32-B31</f>
        <v>332.36300000000011</v>
      </c>
      <c r="C37" s="83">
        <f t="shared" ref="C37:I37" si="7">+C38-C36-C33-C32-C31</f>
        <v>295.27499999999998</v>
      </c>
      <c r="D37" s="83">
        <f t="shared" si="7"/>
        <v>284.22099999999989</v>
      </c>
      <c r="E37" s="95">
        <f t="shared" si="7"/>
        <v>279.03000000000003</v>
      </c>
      <c r="F37" s="75">
        <f t="shared" si="7"/>
        <v>261.43199799999985</v>
      </c>
      <c r="G37" s="75">
        <f t="shared" si="7"/>
        <v>0</v>
      </c>
      <c r="H37" s="75">
        <f t="shared" si="7"/>
        <v>0</v>
      </c>
      <c r="I37" s="75">
        <f t="shared" si="7"/>
        <v>0</v>
      </c>
    </row>
    <row r="38" spans="1:9">
      <c r="A38" s="19" t="str">
        <f>HLOOKUP(INDICE!$F$2,Nombres!$C$3:$D$636,58,FALSE)</f>
        <v>Total activo / pasivo</v>
      </c>
      <c r="B38" s="19">
        <v>2577.8210000000004</v>
      </c>
      <c r="C38" s="19">
        <v>2535.3009999999999</v>
      </c>
      <c r="D38" s="19">
        <v>2344.4929999999995</v>
      </c>
      <c r="E38" s="19">
        <v>2315.5240000000003</v>
      </c>
      <c r="F38" s="94">
        <v>2085.4569980000001</v>
      </c>
      <c r="G38" s="94">
        <v>0</v>
      </c>
      <c r="H38" s="94">
        <v>0</v>
      </c>
      <c r="I38" s="94">
        <v>0</v>
      </c>
    </row>
    <row r="39" spans="1:9">
      <c r="A39" s="17" t="str">
        <f>HLOOKUP(INDICE!$F$2,Nombres!$C$3:$D$636,59,FALSE)</f>
        <v>Pasivos financieros mantenidos para negociar y designados a valor razonable con cambios en resultados</v>
      </c>
      <c r="B39" s="83">
        <v>0</v>
      </c>
      <c r="C39" s="83">
        <v>0</v>
      </c>
      <c r="D39" s="83">
        <v>0</v>
      </c>
      <c r="E39" s="95">
        <v>0</v>
      </c>
      <c r="F39" s="75">
        <v>0</v>
      </c>
      <c r="G39" s="75">
        <v>0</v>
      </c>
      <c r="H39" s="75">
        <v>0</v>
      </c>
      <c r="I39" s="75">
        <v>0</v>
      </c>
    </row>
    <row r="40" spans="1:9">
      <c r="A40" s="17" t="str">
        <f>HLOOKUP(INDICE!$F$2,Nombres!$C$3:$D$636,60,FALSE)</f>
        <v>Depósitos de bancos centrales y entidades de crédito</v>
      </c>
      <c r="B40" s="83">
        <v>1025.394</v>
      </c>
      <c r="C40" s="83">
        <v>1040.586</v>
      </c>
      <c r="D40" s="83">
        <v>971.04300000000001</v>
      </c>
      <c r="E40" s="95">
        <v>1055.8389999999999</v>
      </c>
      <c r="F40" s="75">
        <v>980.67600000000004</v>
      </c>
      <c r="G40" s="75">
        <v>0</v>
      </c>
      <c r="H40" s="75">
        <v>0</v>
      </c>
      <c r="I40" s="75">
        <v>0</v>
      </c>
    </row>
    <row r="41" spans="1:9" ht="15.75" customHeight="1">
      <c r="A41" s="17" t="str">
        <f>HLOOKUP(INDICE!$F$2,Nombres!$C$3:$D$636,61,FALSE)</f>
        <v>Depósitos de la clientela</v>
      </c>
      <c r="B41" s="83">
        <v>8.370000000000001</v>
      </c>
      <c r="C41" s="83">
        <v>5.5970000000000004</v>
      </c>
      <c r="D41" s="83">
        <v>6.2910000000000004</v>
      </c>
      <c r="E41" s="95">
        <v>6.6529999999999996</v>
      </c>
      <c r="F41" s="75">
        <v>6.5229999999999997</v>
      </c>
      <c r="G41" s="75">
        <v>0</v>
      </c>
      <c r="H41" s="75">
        <v>0</v>
      </c>
      <c r="I41" s="75">
        <v>0</v>
      </c>
    </row>
    <row r="42" spans="1:9">
      <c r="A42" s="17" t="str">
        <f>HLOOKUP(INDICE!$F$2,Nombres!$C$3:$D$636,62,FALSE)</f>
        <v>Valores representativos de deuda emitidos</v>
      </c>
      <c r="B42" s="75">
        <v>906.00234879999994</v>
      </c>
      <c r="C42" s="75">
        <v>855.92473599999994</v>
      </c>
      <c r="D42" s="75">
        <v>813.86090719999993</v>
      </c>
      <c r="E42" s="76">
        <v>662.05294079999999</v>
      </c>
      <c r="F42" s="75">
        <v>575.3702816</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3">
        <f>+B38-B39-B40-B41-B42-B45</f>
        <v>336.74319728000052</v>
      </c>
      <c r="C44" s="83">
        <f t="shared" ref="C44:I44" si="8">+C38-C39-C40-C41-C42-C45</f>
        <v>321.53012455999999</v>
      </c>
      <c r="D44" s="83">
        <f t="shared" si="8"/>
        <v>271.62182322999951</v>
      </c>
      <c r="E44" s="95">
        <f t="shared" si="8"/>
        <v>309.23955237000041</v>
      </c>
      <c r="F44" s="75">
        <f t="shared" si="8"/>
        <v>277.50141318000027</v>
      </c>
      <c r="G44" s="75">
        <f t="shared" si="8"/>
        <v>0</v>
      </c>
      <c r="H44" s="75">
        <f t="shared" si="8"/>
        <v>0</v>
      </c>
      <c r="I44" s="75">
        <f t="shared" si="8"/>
        <v>0</v>
      </c>
    </row>
    <row r="45" spans="1:9">
      <c r="A45" s="17" t="str">
        <f>HLOOKUP(INDICE!$F$2,Nombres!$C$3:$D$636,282,FALSE)</f>
        <v>Dotación de capital regulatorio</v>
      </c>
      <c r="B45" s="83">
        <v>301.31145392000002</v>
      </c>
      <c r="C45" s="83">
        <v>311.66313944000001</v>
      </c>
      <c r="D45" s="83">
        <v>281.67626956999999</v>
      </c>
      <c r="E45" s="95">
        <v>281.73950682999998</v>
      </c>
      <c r="F45" s="75">
        <v>245.38630322</v>
      </c>
      <c r="G45" s="75">
        <v>0</v>
      </c>
      <c r="H45" s="75">
        <v>0</v>
      </c>
      <c r="I45" s="75">
        <v>0</v>
      </c>
    </row>
    <row r="46" spans="1:9">
      <c r="A46" s="91"/>
      <c r="B46" s="83"/>
      <c r="C46" s="83"/>
      <c r="D46" s="83"/>
      <c r="E46" s="83"/>
      <c r="F46" s="75"/>
      <c r="G46" s="75"/>
      <c r="H46" s="75"/>
      <c r="I46" s="75"/>
    </row>
    <row r="47" spans="1:9">
      <c r="A47" s="17"/>
      <c r="B47" s="83"/>
      <c r="C47" s="83"/>
      <c r="D47" s="83"/>
      <c r="E47" s="83"/>
      <c r="F47" s="75"/>
      <c r="G47" s="75"/>
      <c r="H47" s="75"/>
      <c r="I47" s="75"/>
    </row>
    <row r="48" spans="1:9" ht="17">
      <c r="A48" s="65" t="str">
        <f>HLOOKUP(INDICE!$F$2,Nombres!$C$3:$D$636,65,FALSE)</f>
        <v>Indicadores relevantes y de gestión</v>
      </c>
      <c r="B48" s="66"/>
      <c r="C48" s="66"/>
      <c r="D48" s="66"/>
      <c r="E48" s="66"/>
      <c r="F48" s="104"/>
      <c r="G48" s="104"/>
      <c r="H48" s="104"/>
      <c r="I48" s="104"/>
    </row>
    <row r="49" spans="1:9">
      <c r="A49" s="67" t="str">
        <f>HLOOKUP(INDICE!$F$2,Nombres!$C$3:$D$636,32,FALSE)</f>
        <v>(Millones de euros)</v>
      </c>
      <c r="B49" s="62"/>
      <c r="C49" s="62"/>
      <c r="D49" s="62"/>
      <c r="E49" s="62"/>
      <c r="F49" s="105"/>
      <c r="G49" s="75"/>
      <c r="H49" s="75"/>
      <c r="I49" s="75"/>
    </row>
    <row r="50" spans="1:9">
      <c r="A50" s="62"/>
      <c r="B50" s="84">
        <f t="shared" ref="B50:I50" si="9">+B$30</f>
        <v>45016</v>
      </c>
      <c r="C50" s="84">
        <f t="shared" si="9"/>
        <v>45107</v>
      </c>
      <c r="D50" s="84">
        <f t="shared" si="9"/>
        <v>45199</v>
      </c>
      <c r="E50" s="98">
        <f t="shared" si="9"/>
        <v>45291</v>
      </c>
      <c r="F50" s="84">
        <f t="shared" si="9"/>
        <v>45382</v>
      </c>
      <c r="G50" s="84">
        <f t="shared" si="9"/>
        <v>45473</v>
      </c>
      <c r="H50" s="84">
        <f t="shared" si="9"/>
        <v>45565</v>
      </c>
      <c r="I50" s="84">
        <f t="shared" si="9"/>
        <v>45657</v>
      </c>
    </row>
    <row r="51" spans="1:9">
      <c r="A51" s="17" t="str">
        <f>HLOOKUP(INDICE!$F$2,Nombres!$C$3:$D$636,66,FALSE)</f>
        <v>Préstamos y anticipos a la clientela bruto (*)</v>
      </c>
      <c r="B51" s="75">
        <v>2290.9970000000003</v>
      </c>
      <c r="C51" s="75">
        <v>2277.7620000000002</v>
      </c>
      <c r="D51" s="75">
        <v>2100.9659999999999</v>
      </c>
      <c r="E51" s="76">
        <v>2103.6730000000002</v>
      </c>
      <c r="F51" s="75">
        <v>1880.9070000000002</v>
      </c>
      <c r="G51" s="75">
        <v>0</v>
      </c>
      <c r="H51" s="75">
        <v>0</v>
      </c>
      <c r="I51" s="75">
        <v>0</v>
      </c>
    </row>
    <row r="52" spans="1:9">
      <c r="A52" s="17" t="str">
        <f>HLOOKUP(INDICE!$F$2,Nombres!$C$3:$D$636,67,FALSE)</f>
        <v>Depósitos de clientes en gestión (**)</v>
      </c>
      <c r="B52" s="75">
        <v>8.370000000000001</v>
      </c>
      <c r="C52" s="75">
        <v>5.5970000000000004</v>
      </c>
      <c r="D52" s="75">
        <v>6.2910000000000004</v>
      </c>
      <c r="E52" s="76">
        <v>6.6529999999999996</v>
      </c>
      <c r="F52" s="75">
        <v>6.5229999999999988</v>
      </c>
      <c r="G52" s="75">
        <v>0</v>
      </c>
      <c r="H52" s="75">
        <v>0</v>
      </c>
      <c r="I52" s="75">
        <v>0</v>
      </c>
    </row>
    <row r="53" spans="1:9">
      <c r="A53" s="17" t="str">
        <f>HLOOKUP(INDICE!$F$2,Nombres!$C$3:$D$636,68,FALSE)</f>
        <v>Fondos de inversión y carteras gestionadas</v>
      </c>
      <c r="B53" s="75">
        <v>0</v>
      </c>
      <c r="C53" s="75">
        <v>0</v>
      </c>
      <c r="D53" s="75">
        <v>0</v>
      </c>
      <c r="E53" s="76">
        <v>0</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1" t="str">
        <f>HLOOKUP(INDICE!$F$2,Nombres!$C$3:$D$636,71,FALSE)</f>
        <v>(*) No incluye las adquisiciones temporales de activos.</v>
      </c>
      <c r="B56" s="83"/>
      <c r="C56" s="83"/>
      <c r="D56" s="83"/>
      <c r="E56" s="83"/>
      <c r="F56" s="83"/>
      <c r="G56" s="83"/>
      <c r="H56" s="83"/>
      <c r="I56" s="83"/>
    </row>
    <row r="57" spans="1:9">
      <c r="A57" s="91" t="str">
        <f>HLOOKUP(INDICE!$F$2,Nombres!$C$3:$D$636,72,FALSE)</f>
        <v>(**) No incluye las cesiones temporales de activos.</v>
      </c>
      <c r="B57" s="62"/>
      <c r="C57" s="62"/>
      <c r="D57" s="62"/>
      <c r="E57" s="62"/>
      <c r="F57" s="62"/>
      <c r="G57" s="62"/>
      <c r="H57" s="62"/>
      <c r="I57" s="62"/>
    </row>
    <row r="58" spans="1:9">
      <c r="A58" s="91"/>
      <c r="B58" s="62"/>
      <c r="C58" s="62"/>
      <c r="D58" s="62"/>
      <c r="E58" s="62"/>
      <c r="F58" s="62"/>
      <c r="G58" s="62"/>
      <c r="H58" s="62"/>
      <c r="I58" s="62"/>
    </row>
    <row r="59" spans="1:9" ht="17">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c r="A62" s="70"/>
      <c r="B62" s="299">
        <f>+B$6</f>
        <v>2023</v>
      </c>
      <c r="C62" s="299"/>
      <c r="D62" s="299"/>
      <c r="E62" s="300"/>
      <c r="F62" s="299">
        <f>+F$6</f>
        <v>2024</v>
      </c>
      <c r="G62" s="299"/>
      <c r="H62" s="299"/>
      <c r="I62" s="299"/>
    </row>
    <row r="63" spans="1:9">
      <c r="A63" s="70"/>
      <c r="B63" s="71" t="str">
        <f>+B$7</f>
        <v>1er Trim.</v>
      </c>
      <c r="C63" s="71" t="str">
        <f t="shared" ref="C63:I63" si="10">+C$7</f>
        <v>2º Trim.</v>
      </c>
      <c r="D63" s="71" t="str">
        <f t="shared" si="10"/>
        <v>3er Trim.</v>
      </c>
      <c r="E63" s="72" t="str">
        <f t="shared" si="10"/>
        <v>4º Trim.</v>
      </c>
      <c r="F63" s="71" t="str">
        <f t="shared" si="10"/>
        <v>1er Trim.</v>
      </c>
      <c r="G63" s="71" t="str">
        <f t="shared" si="10"/>
        <v>2º Trim.</v>
      </c>
      <c r="H63" s="71" t="str">
        <f t="shared" si="10"/>
        <v>3er Trim.</v>
      </c>
      <c r="I63" s="71" t="str">
        <f t="shared" si="10"/>
        <v>4º Trim.</v>
      </c>
    </row>
    <row r="64" spans="1:9">
      <c r="A64" s="25" t="str">
        <f>HLOOKUP(INDICE!$F$2,Nombres!$C$3:$D$636,33,FALSE)</f>
        <v>Margen de intereses</v>
      </c>
      <c r="B64" s="74">
        <v>24.909501443897582</v>
      </c>
      <c r="C64" s="74">
        <v>26.682212425276699</v>
      </c>
      <c r="D64" s="74">
        <v>24.681679872340265</v>
      </c>
      <c r="E64" s="113">
        <v>27.186919920434693</v>
      </c>
      <c r="F64" s="74">
        <v>26.795999999999999</v>
      </c>
      <c r="G64" s="74">
        <v>0</v>
      </c>
      <c r="H64" s="74">
        <v>0</v>
      </c>
      <c r="I64" s="74">
        <v>0</v>
      </c>
    </row>
    <row r="65" spans="1:9">
      <c r="A65" s="17" t="str">
        <f>HLOOKUP(INDICE!$F$2,Nombres!$C$3:$D$636,34,FALSE)</f>
        <v>Comisiones netas</v>
      </c>
      <c r="B65" s="75">
        <v>7.8093552452358255</v>
      </c>
      <c r="C65" s="75">
        <v>6.816430942040828</v>
      </c>
      <c r="D65" s="75">
        <v>8.0539754637824359</v>
      </c>
      <c r="E65" s="76">
        <v>4.9778146120646305</v>
      </c>
      <c r="F65" s="75">
        <v>5.4580000000000002</v>
      </c>
      <c r="G65" s="75">
        <v>0</v>
      </c>
      <c r="H65" s="75">
        <v>0</v>
      </c>
      <c r="I65" s="75">
        <v>0</v>
      </c>
    </row>
    <row r="66" spans="1:9">
      <c r="A66" s="17" t="str">
        <f>HLOOKUP(INDICE!$F$2,Nombres!$C$3:$D$636,35,FALSE)</f>
        <v>Resultados de operaciones financieras</v>
      </c>
      <c r="B66" s="75">
        <v>1.5832525953509395</v>
      </c>
      <c r="C66" s="75">
        <v>1.9976545497349583</v>
      </c>
      <c r="D66" s="75">
        <v>1.9460499010112611</v>
      </c>
      <c r="E66" s="76">
        <v>0.58438383322571497</v>
      </c>
      <c r="F66" s="75">
        <v>0.92699999999999982</v>
      </c>
      <c r="G66" s="75">
        <v>0</v>
      </c>
      <c r="H66" s="75">
        <v>0</v>
      </c>
      <c r="I66" s="75">
        <v>0</v>
      </c>
    </row>
    <row r="67" spans="1:9">
      <c r="A67" s="17" t="str">
        <f>HLOOKUP(INDICE!$F$2,Nombres!$C$3:$D$636,36,FALSE)</f>
        <v>Otros ingresos y cargas de explotación</v>
      </c>
      <c r="B67" s="75">
        <v>-0.30969303178086444</v>
      </c>
      <c r="C67" s="75">
        <v>-0.23690668413174942</v>
      </c>
      <c r="D67" s="75">
        <v>-0.24284178126432457</v>
      </c>
      <c r="E67" s="76">
        <v>-1.4136482467294695</v>
      </c>
      <c r="F67" s="75">
        <v>-0.34399999999999997</v>
      </c>
      <c r="G67" s="75">
        <v>0</v>
      </c>
      <c r="H67" s="75">
        <v>0</v>
      </c>
      <c r="I67" s="75">
        <v>0</v>
      </c>
    </row>
    <row r="68" spans="1:9">
      <c r="A68" s="25" t="str">
        <f>HLOOKUP(INDICE!$F$2,Nombres!$C$3:$D$636,37,FALSE)</f>
        <v>Margen bruto</v>
      </c>
      <c r="B68" s="74">
        <f t="shared" ref="B68:C68" si="11">+SUM(B64:B67)</f>
        <v>33.992416252703485</v>
      </c>
      <c r="C68" s="74">
        <f t="shared" si="11"/>
        <v>35.259391232920741</v>
      </c>
      <c r="D68" s="74">
        <f t="shared" ref="D68:I68" si="12">+SUM(D64:D67)</f>
        <v>34.438863455869644</v>
      </c>
      <c r="E68" s="113">
        <f t="shared" si="12"/>
        <v>31.33547011899557</v>
      </c>
      <c r="F68" s="74">
        <f t="shared" si="12"/>
        <v>32.836999999999996</v>
      </c>
      <c r="G68" s="74">
        <f t="shared" si="12"/>
        <v>0</v>
      </c>
      <c r="H68" s="74">
        <f t="shared" si="12"/>
        <v>0</v>
      </c>
      <c r="I68" s="74">
        <f t="shared" si="12"/>
        <v>0</v>
      </c>
    </row>
    <row r="69" spans="1:9">
      <c r="A69" s="17" t="str">
        <f>HLOOKUP(INDICE!$F$2,Nombres!$C$3:$D$636,38,FALSE)</f>
        <v>Gastos de explotación</v>
      </c>
      <c r="B69" s="75">
        <v>-13.433165189965166</v>
      </c>
      <c r="C69" s="75">
        <v>-13.300392044843294</v>
      </c>
      <c r="D69" s="75">
        <v>-13.413085417868775</v>
      </c>
      <c r="E69" s="76">
        <v>-12.758097975746676</v>
      </c>
      <c r="F69" s="75">
        <v>-13.251002</v>
      </c>
      <c r="G69" s="75">
        <v>0</v>
      </c>
      <c r="H69" s="75">
        <v>0</v>
      </c>
      <c r="I69" s="75">
        <v>0</v>
      </c>
    </row>
    <row r="70" spans="1:9">
      <c r="A70" s="17" t="str">
        <f>HLOOKUP(INDICE!$F$2,Nombres!$C$3:$D$636,39,FALSE)</f>
        <v xml:space="preserve">  Gastos de administración</v>
      </c>
      <c r="B70" s="75">
        <v>-12.314876379315361</v>
      </c>
      <c r="C70" s="75">
        <v>-12.137221171683928</v>
      </c>
      <c r="D70" s="75">
        <v>-12.024638690542563</v>
      </c>
      <c r="E70" s="76">
        <v>-11.166590943887588</v>
      </c>
      <c r="F70" s="75">
        <v>-11.454002000000001</v>
      </c>
      <c r="G70" s="75">
        <v>0</v>
      </c>
      <c r="H70" s="75">
        <v>0</v>
      </c>
      <c r="I70" s="75">
        <v>0</v>
      </c>
    </row>
    <row r="71" spans="1:9">
      <c r="A71" s="77" t="str">
        <f>HLOOKUP(INDICE!$F$2,Nombres!$C$3:$D$636,40,FALSE)</f>
        <v xml:space="preserve">  Gastos de personal</v>
      </c>
      <c r="B71" s="75">
        <v>-5.8061079903464528</v>
      </c>
      <c r="C71" s="75">
        <v>-5.9610635335859694</v>
      </c>
      <c r="D71" s="75">
        <v>-6.2920609691163092</v>
      </c>
      <c r="E71" s="76">
        <v>-6.1075387844472946</v>
      </c>
      <c r="F71" s="75">
        <v>-5.5750000000000002</v>
      </c>
      <c r="G71" s="75">
        <v>0</v>
      </c>
      <c r="H71" s="75">
        <v>0</v>
      </c>
      <c r="I71" s="75">
        <v>0</v>
      </c>
    </row>
    <row r="72" spans="1:9">
      <c r="A72" s="77" t="str">
        <f>HLOOKUP(INDICE!$F$2,Nombres!$C$3:$D$636,41,FALSE)</f>
        <v xml:space="preserve">  Otros gastos de administración</v>
      </c>
      <c r="B72" s="75">
        <v>-6.5087683889689067</v>
      </c>
      <c r="C72" s="75">
        <v>-6.1761576380979593</v>
      </c>
      <c r="D72" s="75">
        <v>-5.7325777214262539</v>
      </c>
      <c r="E72" s="76">
        <v>-5.0590521594402942</v>
      </c>
      <c r="F72" s="75">
        <v>-5.8790019999999998</v>
      </c>
      <c r="G72" s="75">
        <v>0</v>
      </c>
      <c r="H72" s="75">
        <v>0</v>
      </c>
      <c r="I72" s="75">
        <v>0</v>
      </c>
    </row>
    <row r="73" spans="1:9">
      <c r="A73" s="17" t="str">
        <f>HLOOKUP(INDICE!$F$2,Nombres!$C$3:$D$636,42,FALSE)</f>
        <v xml:space="preserve">  Amortización</v>
      </c>
      <c r="B73" s="75">
        <v>-1.1182888106498066</v>
      </c>
      <c r="C73" s="75">
        <v>-1.1631708731593648</v>
      </c>
      <c r="D73" s="75">
        <v>-1.3884467273262113</v>
      </c>
      <c r="E73" s="76">
        <v>-1.5915070318590865</v>
      </c>
      <c r="F73" s="75">
        <v>-1.7970000000000002</v>
      </c>
      <c r="G73" s="75">
        <v>0</v>
      </c>
      <c r="H73" s="75">
        <v>0</v>
      </c>
      <c r="I73" s="75">
        <v>0</v>
      </c>
    </row>
    <row r="74" spans="1:9">
      <c r="A74" s="25" t="str">
        <f>HLOOKUP(INDICE!$F$2,Nombres!$C$3:$D$636,43,FALSE)</f>
        <v>Margen neto</v>
      </c>
      <c r="B74" s="74">
        <f t="shared" ref="B74:I74" si="13">+B68+B69</f>
        <v>20.559251062738319</v>
      </c>
      <c r="C74" s="74">
        <f t="shared" si="13"/>
        <v>21.958999188077449</v>
      </c>
      <c r="D74" s="74">
        <f t="shared" si="13"/>
        <v>21.025778038000869</v>
      </c>
      <c r="E74" s="113">
        <f t="shared" si="13"/>
        <v>18.577372143248894</v>
      </c>
      <c r="F74" s="74">
        <f t="shared" si="13"/>
        <v>19.585997999999996</v>
      </c>
      <c r="G74" s="74">
        <f t="shared" si="13"/>
        <v>0</v>
      </c>
      <c r="H74" s="74">
        <f t="shared" si="13"/>
        <v>0</v>
      </c>
      <c r="I74" s="74">
        <f t="shared" si="13"/>
        <v>0</v>
      </c>
    </row>
    <row r="75" spans="1:9">
      <c r="A75" s="17" t="str">
        <f>HLOOKUP(INDICE!$F$2,Nombres!$C$3:$D$636,44,FALSE)</f>
        <v>Deterioro de activos financieros no valorados a valor razonable con cambios en resultados</v>
      </c>
      <c r="B75" s="75">
        <v>-18.428856576110618</v>
      </c>
      <c r="C75" s="75">
        <v>-15.582546864961222</v>
      </c>
      <c r="D75" s="75">
        <v>-16.540582485727128</v>
      </c>
      <c r="E75" s="76">
        <v>-10.931110346539315</v>
      </c>
      <c r="F75" s="75">
        <v>-19.561999999999998</v>
      </c>
      <c r="G75" s="75">
        <v>0</v>
      </c>
      <c r="H75" s="75">
        <v>0</v>
      </c>
      <c r="I75" s="75">
        <v>0</v>
      </c>
    </row>
    <row r="76" spans="1:9">
      <c r="A76" s="17" t="str">
        <f>HLOOKUP(INDICE!$F$2,Nombres!$C$3:$D$636,45,FALSE)</f>
        <v>Provisiones o reversión de provisiones y otros resultados</v>
      </c>
      <c r="B76" s="75">
        <v>-0.34957131258552371</v>
      </c>
      <c r="C76" s="75">
        <v>-0.19363337403570755</v>
      </c>
      <c r="D76" s="75">
        <v>-0.41868341641543338</v>
      </c>
      <c r="E76" s="76">
        <v>-0.11091312512811753</v>
      </c>
      <c r="F76" s="75">
        <v>-0.42099999999999999</v>
      </c>
      <c r="G76" s="75">
        <v>0</v>
      </c>
      <c r="H76" s="75">
        <v>0</v>
      </c>
      <c r="I76" s="75">
        <v>0</v>
      </c>
    </row>
    <row r="77" spans="1:9">
      <c r="A77" s="25" t="str">
        <f>HLOOKUP(INDICE!$F$2,Nombres!$C$3:$D$636,46,FALSE)</f>
        <v>Resultado antes de impuestos</v>
      </c>
      <c r="B77" s="74">
        <f t="shared" ref="B77:I77" si="14">+B74+B75+B76</f>
        <v>1.7808231740421769</v>
      </c>
      <c r="C77" s="74">
        <f t="shared" si="14"/>
        <v>6.1828189490805201</v>
      </c>
      <c r="D77" s="74">
        <f t="shared" si="14"/>
        <v>4.0665121358583072</v>
      </c>
      <c r="E77" s="113">
        <f t="shared" si="14"/>
        <v>7.5353486715814615</v>
      </c>
      <c r="F77" s="74">
        <f t="shared" si="14"/>
        <v>-0.39700200000000113</v>
      </c>
      <c r="G77" s="74">
        <f t="shared" si="14"/>
        <v>0</v>
      </c>
      <c r="H77" s="74">
        <f t="shared" si="14"/>
        <v>0</v>
      </c>
      <c r="I77" s="74">
        <f t="shared" si="14"/>
        <v>0</v>
      </c>
    </row>
    <row r="78" spans="1:9">
      <c r="A78" s="17" t="str">
        <f>HLOOKUP(INDICE!$F$2,Nombres!$C$3:$D$636,47,FALSE)</f>
        <v>Impuesto sobre beneficios</v>
      </c>
      <c r="B78" s="75">
        <v>4.670323644586194E-2</v>
      </c>
      <c r="C78" s="75">
        <v>-0.57200966814585286</v>
      </c>
      <c r="D78" s="75">
        <v>-0.96507297832372441</v>
      </c>
      <c r="E78" s="76">
        <v>-0.59404312914299329</v>
      </c>
      <c r="F78" s="75">
        <v>0.53970059999999997</v>
      </c>
      <c r="G78" s="75">
        <v>0</v>
      </c>
      <c r="H78" s="75">
        <v>0</v>
      </c>
      <c r="I78" s="75">
        <v>0</v>
      </c>
    </row>
    <row r="79" spans="1:9">
      <c r="A79" s="25" t="str">
        <f>HLOOKUP(INDICE!$F$2,Nombres!$C$3:$D$636,48,FALSE)</f>
        <v>Resultado del ejercicio</v>
      </c>
      <c r="B79" s="74">
        <f t="shared" ref="B79:I79" si="15">+B77+B78</f>
        <v>1.8275264104880389</v>
      </c>
      <c r="C79" s="74">
        <f t="shared" si="15"/>
        <v>5.6108092809346672</v>
      </c>
      <c r="D79" s="74">
        <f t="shared" si="15"/>
        <v>3.1014391575345828</v>
      </c>
      <c r="E79" s="113">
        <f t="shared" si="15"/>
        <v>6.9413055424384682</v>
      </c>
      <c r="F79" s="74">
        <f t="shared" si="15"/>
        <v>0.14269859999999884</v>
      </c>
      <c r="G79" s="74">
        <f t="shared" si="15"/>
        <v>0</v>
      </c>
      <c r="H79" s="74">
        <f t="shared" si="15"/>
        <v>0</v>
      </c>
      <c r="I79" s="74">
        <f t="shared" si="15"/>
        <v>0</v>
      </c>
    </row>
    <row r="80" spans="1:9">
      <c r="A80" s="17" t="str">
        <f>HLOOKUP(INDICE!$F$2,Nombres!$C$3:$D$636,49,FALSE)</f>
        <v>Minoritarios</v>
      </c>
      <c r="B80" s="75">
        <v>0</v>
      </c>
      <c r="C80" s="75">
        <v>0</v>
      </c>
      <c r="D80" s="75">
        <v>0</v>
      </c>
      <c r="E80" s="76">
        <v>0</v>
      </c>
      <c r="F80" s="75">
        <v>0</v>
      </c>
      <c r="G80" s="75">
        <v>0</v>
      </c>
      <c r="H80" s="75">
        <v>0</v>
      </c>
      <c r="I80" s="75">
        <v>0</v>
      </c>
    </row>
    <row r="81" spans="1:9">
      <c r="A81" s="19" t="str">
        <f>HLOOKUP(INDICE!$F$2,Nombres!$C$3:$D$636,50,FALSE)</f>
        <v>Resultado atribuido</v>
      </c>
      <c r="B81" s="94">
        <f t="shared" ref="B81:I81" si="16">+B79+B80</f>
        <v>1.8275264104880389</v>
      </c>
      <c r="C81" s="94">
        <f t="shared" si="16"/>
        <v>5.6108092809346672</v>
      </c>
      <c r="D81" s="94">
        <f t="shared" si="16"/>
        <v>3.1014391575345828</v>
      </c>
      <c r="E81" s="110">
        <f t="shared" si="16"/>
        <v>6.9413055424384682</v>
      </c>
      <c r="F81" s="94">
        <f t="shared" si="16"/>
        <v>0.14269859999999884</v>
      </c>
      <c r="G81" s="94">
        <f t="shared" si="16"/>
        <v>0</v>
      </c>
      <c r="H81" s="94">
        <f t="shared" si="16"/>
        <v>0</v>
      </c>
      <c r="I81" s="94">
        <f t="shared" si="16"/>
        <v>0</v>
      </c>
    </row>
    <row r="82" spans="1:9">
      <c r="A82" s="114"/>
      <c r="B82" s="99">
        <v>3.9968028886505635E-15</v>
      </c>
      <c r="C82" s="99">
        <v>1.0658141036401503E-14</v>
      </c>
      <c r="D82" s="99">
        <v>6.2172489379008766E-15</v>
      </c>
      <c r="E82" s="99">
        <v>0</v>
      </c>
      <c r="F82" s="99">
        <v>-1.0547118733938987E-15</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7">+B$30</f>
        <v>45016</v>
      </c>
      <c r="C86" s="84">
        <f t="shared" si="17"/>
        <v>45107</v>
      </c>
      <c r="D86" s="84">
        <f t="shared" si="17"/>
        <v>45199</v>
      </c>
      <c r="E86" s="98">
        <f t="shared" si="17"/>
        <v>45291</v>
      </c>
      <c r="F86" s="84">
        <f t="shared" si="17"/>
        <v>45382</v>
      </c>
      <c r="G86" s="84">
        <f t="shared" si="17"/>
        <v>45473</v>
      </c>
      <c r="H86" s="84">
        <f t="shared" si="17"/>
        <v>45565</v>
      </c>
      <c r="I86" s="84">
        <f t="shared" si="17"/>
        <v>45657</v>
      </c>
    </row>
    <row r="87" spans="1:9">
      <c r="A87" s="17" t="str">
        <f>HLOOKUP(INDICE!$F$2,Nombres!$C$3:$D$636,52,FALSE)</f>
        <v>Efectivo, saldos en efectivo en bancos centrales y otros depósitos a la vista</v>
      </c>
      <c r="B87" s="75">
        <v>24.766625823890848</v>
      </c>
      <c r="C87" s="75">
        <v>28.624734821052485</v>
      </c>
      <c r="D87" s="75">
        <v>53.175607815043087</v>
      </c>
      <c r="E87" s="76">
        <v>24.874115476041645</v>
      </c>
      <c r="F87" s="75">
        <v>21.594000000000001</v>
      </c>
      <c r="G87" s="75">
        <v>0</v>
      </c>
      <c r="H87" s="75">
        <v>0</v>
      </c>
      <c r="I87" s="75">
        <v>0</v>
      </c>
    </row>
    <row r="88" spans="1:9">
      <c r="A88" s="17" t="str">
        <f>HLOOKUP(INDICE!$F$2,Nombres!$C$3:$D$636,53,FALSE)</f>
        <v>Activos financieros a valor razonable</v>
      </c>
      <c r="B88" s="83">
        <v>0</v>
      </c>
      <c r="C88" s="83">
        <v>0</v>
      </c>
      <c r="D88" s="83">
        <v>0</v>
      </c>
      <c r="E88" s="95">
        <v>0</v>
      </c>
      <c r="F88" s="75">
        <v>0</v>
      </c>
      <c r="G88" s="75">
        <v>0</v>
      </c>
      <c r="H88" s="75">
        <v>0</v>
      </c>
      <c r="I88" s="75">
        <v>0</v>
      </c>
    </row>
    <row r="89" spans="1:9">
      <c r="A89" s="17" t="str">
        <f>HLOOKUP(INDICE!$F$2,Nombres!$C$3:$D$636,54,FALSE)</f>
        <v>Activos financieros a coste amortizado</v>
      </c>
      <c r="B89" s="75">
        <v>1787.9591876217241</v>
      </c>
      <c r="C89" s="75">
        <v>1809.0977042680565</v>
      </c>
      <c r="D89" s="75">
        <v>1808.8369361460379</v>
      </c>
      <c r="E89" s="76">
        <v>1844.7654547973698</v>
      </c>
      <c r="F89" s="75">
        <v>1796.7270000000001</v>
      </c>
      <c r="G89" s="75">
        <v>0</v>
      </c>
      <c r="H89" s="75">
        <v>0</v>
      </c>
      <c r="I89" s="75">
        <v>0</v>
      </c>
    </row>
    <row r="90" spans="1:9">
      <c r="A90" s="17" t="str">
        <f>HLOOKUP(INDICE!$F$2,Nombres!$C$3:$D$636,55,FALSE)</f>
        <v xml:space="preserve">    de los que préstamos y anticipos a la clientela</v>
      </c>
      <c r="B90" s="75">
        <v>1757.8934000057184</v>
      </c>
      <c r="C90" s="75">
        <v>1772.1350457132421</v>
      </c>
      <c r="D90" s="75">
        <v>1800.3100108652875</v>
      </c>
      <c r="E90" s="76">
        <v>1840.723226834383</v>
      </c>
      <c r="F90" s="75">
        <v>1783.2719999999999</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3.3677823111057901</v>
      </c>
      <c r="C92" s="75">
        <v>3.117887112743257</v>
      </c>
      <c r="D92" s="75">
        <v>2.9328278035703406</v>
      </c>
      <c r="E92" s="76">
        <v>5.9523625711514052</v>
      </c>
      <c r="F92" s="75">
        <v>5.7039999999999997</v>
      </c>
      <c r="G92" s="75">
        <v>0</v>
      </c>
      <c r="H92" s="75">
        <v>0</v>
      </c>
      <c r="I92" s="75">
        <v>0</v>
      </c>
    </row>
    <row r="93" spans="1:9">
      <c r="A93" s="17" t="str">
        <f>HLOOKUP(INDICE!$F$2,Nombres!$C$3:$D$636,57,FALSE)</f>
        <v>Otros activos</v>
      </c>
      <c r="B93" s="83">
        <f>+B94-B92-B89-B88-B87</f>
        <v>268.81033435784195</v>
      </c>
      <c r="C93" s="83">
        <f t="shared" ref="C93:I93" si="18">+C94-C92-C89-C88-C87</f>
        <v>242.65527601878398</v>
      </c>
      <c r="D93" s="83">
        <f t="shared" si="18"/>
        <v>257.27507751807622</v>
      </c>
      <c r="E93" s="95">
        <f t="shared" si="18"/>
        <v>256.98402107819561</v>
      </c>
      <c r="F93" s="75">
        <f t="shared" si="18"/>
        <v>261.43199799999985</v>
      </c>
      <c r="G93" s="75">
        <f t="shared" si="18"/>
        <v>0</v>
      </c>
      <c r="H93" s="75">
        <f t="shared" si="18"/>
        <v>0</v>
      </c>
      <c r="I93" s="75">
        <f t="shared" si="18"/>
        <v>0</v>
      </c>
    </row>
    <row r="94" spans="1:9">
      <c r="A94" s="19" t="str">
        <f>HLOOKUP(INDICE!$F$2,Nombres!$C$3:$D$636,58,FALSE)</f>
        <v>Total activo / pasivo</v>
      </c>
      <c r="B94" s="19">
        <v>2084.9039301145626</v>
      </c>
      <c r="C94" s="19">
        <v>2083.4956022206361</v>
      </c>
      <c r="D94" s="19">
        <v>2122.2204492827277</v>
      </c>
      <c r="E94" s="19">
        <v>2132.5759539227583</v>
      </c>
      <c r="F94" s="94">
        <v>2085.4569980000001</v>
      </c>
      <c r="G94" s="94">
        <v>0</v>
      </c>
      <c r="H94" s="94">
        <v>0</v>
      </c>
      <c r="I94" s="94">
        <v>0</v>
      </c>
    </row>
    <row r="95" spans="1:9">
      <c r="A95" s="17" t="str">
        <f>HLOOKUP(INDICE!$F$2,Nombres!$C$3:$D$636,59,FALSE)</f>
        <v>Pasivos financieros mantenidos para negociar y designados a valor razonable con cambios en resultados</v>
      </c>
      <c r="B95" s="83">
        <v>0</v>
      </c>
      <c r="C95" s="83">
        <v>0</v>
      </c>
      <c r="D95" s="83">
        <v>0</v>
      </c>
      <c r="E95" s="95">
        <v>0</v>
      </c>
      <c r="F95" s="75">
        <v>0</v>
      </c>
      <c r="G95" s="75">
        <v>0</v>
      </c>
      <c r="H95" s="75">
        <v>0</v>
      </c>
      <c r="I95" s="75">
        <v>0</v>
      </c>
    </row>
    <row r="96" spans="1:9">
      <c r="A96" s="17" t="str">
        <f>HLOOKUP(INDICE!$F$2,Nombres!$C$3:$D$636,60,FALSE)</f>
        <v>Depósitos de bancos centrales y entidades de crédito</v>
      </c>
      <c r="B96" s="83">
        <v>829.32367317819649</v>
      </c>
      <c r="C96" s="83">
        <v>855.14751689537559</v>
      </c>
      <c r="D96" s="83">
        <v>878.98207063652899</v>
      </c>
      <c r="E96" s="95">
        <v>972.41784693825275</v>
      </c>
      <c r="F96" s="75">
        <v>980.67600000000004</v>
      </c>
      <c r="G96" s="75">
        <v>0</v>
      </c>
      <c r="H96" s="75">
        <v>0</v>
      </c>
      <c r="I96" s="75">
        <v>0</v>
      </c>
    </row>
    <row r="97" spans="1:9">
      <c r="A97" s="17" t="str">
        <f>HLOOKUP(INDICE!$F$2,Nombres!$C$3:$D$636,61,FALSE)</f>
        <v>Depósitos de la clientela</v>
      </c>
      <c r="B97" s="83">
        <v>6.7695336080584694</v>
      </c>
      <c r="C97" s="83">
        <v>4.5995820163479211</v>
      </c>
      <c r="D97" s="83">
        <v>5.6945739852657438</v>
      </c>
      <c r="E97" s="95">
        <v>6.1273507946573265</v>
      </c>
      <c r="F97" s="75">
        <v>6.5229999999999997</v>
      </c>
      <c r="G97" s="75">
        <v>0</v>
      </c>
      <c r="H97" s="75">
        <v>0</v>
      </c>
      <c r="I97" s="75">
        <v>0</v>
      </c>
    </row>
    <row r="98" spans="1:9">
      <c r="A98" s="17" t="str">
        <f>HLOOKUP(INDICE!$F$2,Nombres!$C$3:$D$636,62,FALSE)</f>
        <v>Valores representativos de deuda emitidos</v>
      </c>
      <c r="B98" s="75">
        <v>732.76145151511469</v>
      </c>
      <c r="C98" s="75">
        <v>703.39396516936608</v>
      </c>
      <c r="D98" s="75">
        <v>736.70182002319143</v>
      </c>
      <c r="E98" s="76">
        <v>609.74456830243491</v>
      </c>
      <c r="F98" s="75">
        <v>575.3702816</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272.35297386762539</v>
      </c>
      <c r="C100" s="83">
        <f t="shared" ref="C100:I100" si="19">+C94-C95-C96-C97-C98-C101</f>
        <v>264.23158453462253</v>
      </c>
      <c r="D100" s="83">
        <f t="shared" si="19"/>
        <v>245.87038124241118</v>
      </c>
      <c r="E100" s="95">
        <f t="shared" si="19"/>
        <v>284.80673635259245</v>
      </c>
      <c r="F100" s="75">
        <f t="shared" si="19"/>
        <v>277.50141318000027</v>
      </c>
      <c r="G100" s="75">
        <f t="shared" si="19"/>
        <v>0</v>
      </c>
      <c r="H100" s="75">
        <f t="shared" si="19"/>
        <v>0</v>
      </c>
      <c r="I100" s="75">
        <f t="shared" si="19"/>
        <v>0</v>
      </c>
    </row>
    <row r="101" spans="1:9">
      <c r="A101" s="17" t="str">
        <f>HLOOKUP(INDICE!$F$2,Nombres!$C$3:$D$636,282,FALSE)</f>
        <v>Dotación de capital regulatorio</v>
      </c>
      <c r="B101" s="83">
        <v>243.69629794556755</v>
      </c>
      <c r="C101" s="83">
        <v>256.12295360492379</v>
      </c>
      <c r="D101" s="83">
        <v>254.97160339533028</v>
      </c>
      <c r="E101" s="95">
        <v>259.4794515348209</v>
      </c>
      <c r="F101" s="75">
        <v>245.38630322</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20">+B$30</f>
        <v>45016</v>
      </c>
      <c r="C106" s="84">
        <f t="shared" si="20"/>
        <v>45107</v>
      </c>
      <c r="D106" s="84">
        <f t="shared" si="20"/>
        <v>45199</v>
      </c>
      <c r="E106" s="98">
        <f t="shared" si="20"/>
        <v>45291</v>
      </c>
      <c r="F106" s="84">
        <f t="shared" si="20"/>
        <v>45382</v>
      </c>
      <c r="G106" s="84">
        <f t="shared" si="20"/>
        <v>45473</v>
      </c>
      <c r="H106" s="84">
        <f t="shared" si="20"/>
        <v>45565</v>
      </c>
      <c r="I106" s="84">
        <f t="shared" si="20"/>
        <v>45657</v>
      </c>
    </row>
    <row r="107" spans="1:9">
      <c r="A107" s="17" t="str">
        <f>HLOOKUP(INDICE!$F$2,Nombres!$C$3:$D$636,66,FALSE)</f>
        <v>Préstamos y anticipos a la clientela bruto (*)</v>
      </c>
      <c r="B107" s="75">
        <v>1852.924873053898</v>
      </c>
      <c r="C107" s="75">
        <v>1871.851551316897</v>
      </c>
      <c r="D107" s="75">
        <v>1901.7813268999885</v>
      </c>
      <c r="E107" s="76">
        <v>1937.4631637230063</v>
      </c>
      <c r="F107" s="75">
        <v>1880.9070000000002</v>
      </c>
      <c r="G107" s="75">
        <v>0</v>
      </c>
      <c r="H107" s="75">
        <v>0</v>
      </c>
      <c r="I107" s="75">
        <v>0</v>
      </c>
    </row>
    <row r="108" spans="1:9">
      <c r="A108" s="17" t="str">
        <f>HLOOKUP(INDICE!$F$2,Nombres!$C$3:$D$636,67,FALSE)</f>
        <v>Depósitos de clientes en gestión (**)</v>
      </c>
      <c r="B108" s="75">
        <v>6.7695336080584694</v>
      </c>
      <c r="C108" s="75">
        <v>4.5995820163479211</v>
      </c>
      <c r="D108" s="75">
        <v>5.6945739852657438</v>
      </c>
      <c r="E108" s="76">
        <v>6.1273507946573265</v>
      </c>
      <c r="F108" s="75">
        <v>6.5229999999999988</v>
      </c>
      <c r="G108" s="75">
        <v>0</v>
      </c>
      <c r="H108" s="75">
        <v>0</v>
      </c>
      <c r="I108" s="75">
        <v>0</v>
      </c>
    </row>
    <row r="109" spans="1:9">
      <c r="A109" s="17" t="str">
        <f>HLOOKUP(INDICE!$F$2,Nombres!$C$3:$D$636,68,FALSE)</f>
        <v>Fondos de inversión y carteras gestionadas</v>
      </c>
      <c r="B109" s="75">
        <v>0</v>
      </c>
      <c r="C109" s="75">
        <v>0</v>
      </c>
      <c r="D109" s="75">
        <v>0</v>
      </c>
      <c r="E109" s="76">
        <v>0</v>
      </c>
      <c r="F109" s="75">
        <v>0</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HLOOKUP(INDICE!$F$2,Nombres!$C$3:$D$636,81,FALSE)</f>
        <v>(Millones de pesos chilenos)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71" t="str">
        <f>+B$7</f>
        <v>1er Trim.</v>
      </c>
      <c r="C119" s="71" t="str">
        <f t="shared" ref="C119:I119" si="21">+C$7</f>
        <v>2º Trim.</v>
      </c>
      <c r="D119" s="71" t="str">
        <f t="shared" si="21"/>
        <v>3er Trim.</v>
      </c>
      <c r="E119" s="72" t="str">
        <f t="shared" si="21"/>
        <v>4º Trim.</v>
      </c>
      <c r="F119" s="71" t="str">
        <f t="shared" si="21"/>
        <v>1er Trim.</v>
      </c>
      <c r="G119" s="71" t="str">
        <f t="shared" si="21"/>
        <v>2º Trim.</v>
      </c>
      <c r="H119" s="71" t="str">
        <f t="shared" si="21"/>
        <v>3er Trim.</v>
      </c>
      <c r="I119" s="71" t="str">
        <f t="shared" si="21"/>
        <v>4º Trim.</v>
      </c>
    </row>
    <row r="120" spans="1:9">
      <c r="A120" s="25" t="str">
        <f>HLOOKUP(INDICE!$F$2,Nombres!$C$3:$D$636,33,FALSE)</f>
        <v>Margen de intereses</v>
      </c>
      <c r="B120" s="74">
        <v>25583.456440028731</v>
      </c>
      <c r="C120" s="74">
        <v>27404.13014058501</v>
      </c>
      <c r="D120" s="74">
        <v>25349.470895791212</v>
      </c>
      <c r="E120" s="113">
        <v>27922.493073155627</v>
      </c>
      <c r="F120" s="74">
        <v>27520.996368032669</v>
      </c>
      <c r="G120" s="74">
        <v>0</v>
      </c>
      <c r="H120" s="74">
        <v>0</v>
      </c>
      <c r="I120" s="74">
        <v>0</v>
      </c>
    </row>
    <row r="121" spans="1:9">
      <c r="A121" s="17" t="str">
        <f>HLOOKUP(INDICE!$F$2,Nombres!$C$3:$D$636,34,FALSE)</f>
        <v>Comisiones netas</v>
      </c>
      <c r="B121" s="75">
        <v>8020.6462658908786</v>
      </c>
      <c r="C121" s="75">
        <v>7000.8572622350739</v>
      </c>
      <c r="D121" s="75">
        <v>8271.8849636878858</v>
      </c>
      <c r="E121" s="76">
        <v>5112.4950686434759</v>
      </c>
      <c r="F121" s="75">
        <v>5605.6724203882031</v>
      </c>
      <c r="G121" s="75">
        <v>0</v>
      </c>
      <c r="H121" s="75">
        <v>0</v>
      </c>
      <c r="I121" s="75">
        <v>0</v>
      </c>
    </row>
    <row r="122" spans="1:9">
      <c r="A122" s="17" t="str">
        <f>HLOOKUP(INDICE!$F$2,Nombres!$C$3:$D$636,35,FALSE)</f>
        <v>Resultados de operaciones financieras</v>
      </c>
      <c r="B122" s="75">
        <v>1626.0893016245523</v>
      </c>
      <c r="C122" s="75">
        <v>2051.7033739304261</v>
      </c>
      <c r="D122" s="75">
        <v>1998.7025025280354</v>
      </c>
      <c r="E122" s="76">
        <v>600.19500491647705</v>
      </c>
      <c r="F122" s="75">
        <v>952.08104318429173</v>
      </c>
      <c r="G122" s="75">
        <v>0</v>
      </c>
      <c r="H122" s="75">
        <v>0</v>
      </c>
      <c r="I122" s="75">
        <v>0</v>
      </c>
    </row>
    <row r="123" spans="1:9">
      <c r="A123" s="17" t="str">
        <f>HLOOKUP(INDICE!$F$2,Nombres!$C$3:$D$636,36,FALSE)</f>
        <v>Otros ingresos y cargas de explotación</v>
      </c>
      <c r="B123" s="75">
        <v>-318.07213027489911</v>
      </c>
      <c r="C123" s="75">
        <v>-243.31646490343843</v>
      </c>
      <c r="D123" s="75">
        <v>-249.41214286393696</v>
      </c>
      <c r="E123" s="76">
        <v>-1451.8961137452411</v>
      </c>
      <c r="F123" s="75">
        <v>-353.30731268111793</v>
      </c>
      <c r="G123" s="75">
        <v>0</v>
      </c>
      <c r="H123" s="75">
        <v>0</v>
      </c>
      <c r="I123" s="75">
        <v>0</v>
      </c>
    </row>
    <row r="124" spans="1:9">
      <c r="A124" s="25" t="str">
        <f>HLOOKUP(INDICE!$F$2,Nombres!$C$3:$D$636,37,FALSE)</f>
        <v>Margen bruto</v>
      </c>
      <c r="B124" s="74">
        <f t="shared" ref="B124:C124" si="22">+SUM(B120:B123)</f>
        <v>34912.119877269259</v>
      </c>
      <c r="C124" s="74">
        <f t="shared" si="22"/>
        <v>36213.374311847074</v>
      </c>
      <c r="D124" s="74">
        <f t="shared" ref="D124:F124" si="23">+SUM(D120:D123)</f>
        <v>35370.6462191432</v>
      </c>
      <c r="E124" s="113">
        <f t="shared" si="23"/>
        <v>32183.287032970344</v>
      </c>
      <c r="F124" s="74">
        <f t="shared" si="23"/>
        <v>33725.442518924043</v>
      </c>
      <c r="G124" s="74">
        <f t="shared" ref="G124:I124" si="24">+SUM(G120:G123)</f>
        <v>0</v>
      </c>
      <c r="H124" s="74">
        <f t="shared" si="24"/>
        <v>0</v>
      </c>
      <c r="I124" s="74">
        <f t="shared" si="24"/>
        <v>0</v>
      </c>
    </row>
    <row r="125" spans="1:9">
      <c r="A125" s="17" t="str">
        <f>HLOOKUP(INDICE!$F$2,Nombres!$C$3:$D$636,38,FALSE)</f>
        <v>Gastos de explotación</v>
      </c>
      <c r="B125" s="75">
        <v>-13796.614808337596</v>
      </c>
      <c r="C125" s="75">
        <v>-13660.249334211927</v>
      </c>
      <c r="D125" s="75">
        <v>-13775.991755085775</v>
      </c>
      <c r="E125" s="76">
        <v>-13103.282880039154</v>
      </c>
      <c r="F125" s="75">
        <v>-13609.522985325928</v>
      </c>
      <c r="G125" s="75">
        <v>0</v>
      </c>
      <c r="H125" s="75">
        <v>0</v>
      </c>
      <c r="I125" s="75">
        <v>0</v>
      </c>
    </row>
    <row r="126" spans="1:9">
      <c r="A126" s="17" t="str">
        <f>HLOOKUP(INDICE!$F$2,Nombres!$C$3:$D$636,39,FALSE)</f>
        <v xml:space="preserve">  Gastos de administración</v>
      </c>
      <c r="B126" s="75">
        <v>-12648.069417372342</v>
      </c>
      <c r="C126" s="75">
        <v>-12465.607545302377</v>
      </c>
      <c r="D126" s="75">
        <v>-12349.979016619156</v>
      </c>
      <c r="E126" s="76">
        <v>-11468.715808704166</v>
      </c>
      <c r="F126" s="75">
        <v>-11763.903099023693</v>
      </c>
      <c r="G126" s="75">
        <v>0</v>
      </c>
      <c r="H126" s="75">
        <v>0</v>
      </c>
      <c r="I126" s="75">
        <v>0</v>
      </c>
    </row>
    <row r="127" spans="1:9">
      <c r="A127" s="77" t="str">
        <f>HLOOKUP(INDICE!$F$2,Nombres!$C$3:$D$636,40,FALSE)</f>
        <v xml:space="preserve">  Gastos de personal</v>
      </c>
      <c r="B127" s="75">
        <v>-5963.1988697839297</v>
      </c>
      <c r="C127" s="75">
        <v>-6122.3469121298476</v>
      </c>
      <c r="D127" s="75">
        <v>-6462.2998611169587</v>
      </c>
      <c r="E127" s="76">
        <v>-6272.7852181069065</v>
      </c>
      <c r="F127" s="75">
        <v>-5725.8379889454436</v>
      </c>
      <c r="G127" s="75">
        <v>0</v>
      </c>
      <c r="H127" s="75">
        <v>0</v>
      </c>
      <c r="I127" s="75">
        <v>0</v>
      </c>
    </row>
    <row r="128" spans="1:9">
      <c r="A128" s="77" t="str">
        <f>HLOOKUP(INDICE!$F$2,Nombres!$C$3:$D$636,41,FALSE)</f>
        <v xml:space="preserve">  Otros gastos de administración</v>
      </c>
      <c r="B128" s="75">
        <v>-6684.8705475884126</v>
      </c>
      <c r="C128" s="75">
        <v>-6343.2606331725301</v>
      </c>
      <c r="D128" s="75">
        <v>-5887.6791555021973</v>
      </c>
      <c r="E128" s="76">
        <v>-5195.9305905972606</v>
      </c>
      <c r="F128" s="75">
        <v>-6038.0651100782497</v>
      </c>
      <c r="G128" s="75">
        <v>0</v>
      </c>
      <c r="H128" s="75">
        <v>0</v>
      </c>
      <c r="I128" s="75">
        <v>0</v>
      </c>
    </row>
    <row r="129" spans="1:9">
      <c r="A129" s="17" t="str">
        <f>HLOOKUP(INDICE!$F$2,Nombres!$C$3:$D$636,42,FALSE)</f>
        <v xml:space="preserve">  Amortización</v>
      </c>
      <c r="B129" s="75">
        <v>-1148.545390965252</v>
      </c>
      <c r="C129" s="75">
        <v>-1194.6417889095483</v>
      </c>
      <c r="D129" s="75">
        <v>-1426.0127384666184</v>
      </c>
      <c r="E129" s="76">
        <v>-1634.5670713349882</v>
      </c>
      <c r="F129" s="75">
        <v>-1845.6198863022353</v>
      </c>
      <c r="G129" s="75">
        <v>0</v>
      </c>
      <c r="H129" s="75">
        <v>0</v>
      </c>
      <c r="I129" s="75">
        <v>0</v>
      </c>
    </row>
    <row r="130" spans="1:9">
      <c r="A130" s="25" t="str">
        <f>HLOOKUP(INDICE!$F$2,Nombres!$C$3:$D$636,43,FALSE)</f>
        <v>Margen neto</v>
      </c>
      <c r="B130" s="74">
        <f t="shared" ref="B130:I130" si="25">+B124+B125</f>
        <v>21115.505068931663</v>
      </c>
      <c r="C130" s="74">
        <f t="shared" si="25"/>
        <v>22553.124977635147</v>
      </c>
      <c r="D130" s="74">
        <f t="shared" si="25"/>
        <v>21594.654464057425</v>
      </c>
      <c r="E130" s="113">
        <f t="shared" si="25"/>
        <v>19080.004152931189</v>
      </c>
      <c r="F130" s="74">
        <f t="shared" si="25"/>
        <v>20115.919533598113</v>
      </c>
      <c r="G130" s="74">
        <f t="shared" si="25"/>
        <v>0</v>
      </c>
      <c r="H130" s="74">
        <f t="shared" si="25"/>
        <v>0</v>
      </c>
      <c r="I130" s="74">
        <f t="shared" si="25"/>
        <v>0</v>
      </c>
    </row>
    <row r="131" spans="1:9">
      <c r="A131" s="17" t="str">
        <f>HLOOKUP(INDICE!$F$2,Nombres!$C$3:$D$636,44,FALSE)</f>
        <v>Deterioro de activos financieros no valorados a valor razonable con cambios en resultados</v>
      </c>
      <c r="B131" s="75">
        <v>-18927.470327591254</v>
      </c>
      <c r="C131" s="75">
        <v>-16004.150458101833</v>
      </c>
      <c r="D131" s="75">
        <v>-16988.10682619947</v>
      </c>
      <c r="E131" s="76">
        <v>-11226.864014990038</v>
      </c>
      <c r="F131" s="75">
        <v>-20091.272240314036</v>
      </c>
      <c r="G131" s="75">
        <v>0</v>
      </c>
      <c r="H131" s="75">
        <v>0</v>
      </c>
      <c r="I131" s="75">
        <v>0</v>
      </c>
    </row>
    <row r="132" spans="1:9">
      <c r="A132" s="17" t="str">
        <f>HLOOKUP(INDICE!$F$2,Nombres!$C$3:$D$636,45,FALSE)</f>
        <v>Provisiones o reversión de provisiones y otros resultados</v>
      </c>
      <c r="B132" s="75">
        <v>-359.0293634883792</v>
      </c>
      <c r="C132" s="75">
        <v>-198.8723460056209</v>
      </c>
      <c r="D132" s="75">
        <v>-430.01137417990168</v>
      </c>
      <c r="E132" s="76">
        <v>-113.91400633744138</v>
      </c>
      <c r="F132" s="75">
        <v>-432.39063557776353</v>
      </c>
      <c r="G132" s="75">
        <v>0</v>
      </c>
      <c r="H132" s="75">
        <v>0</v>
      </c>
      <c r="I132" s="75">
        <v>0</v>
      </c>
    </row>
    <row r="133" spans="1:9">
      <c r="A133" s="25" t="str">
        <f>HLOOKUP(INDICE!$F$2,Nombres!$C$3:$D$636,46,FALSE)</f>
        <v>Resultado antes de impuestos</v>
      </c>
      <c r="B133" s="74">
        <f t="shared" ref="B133:I133" si="26">+B130+B131+B132</f>
        <v>1829.0053778520296</v>
      </c>
      <c r="C133" s="74">
        <f t="shared" si="26"/>
        <v>6350.1021735276936</v>
      </c>
      <c r="D133" s="74">
        <f t="shared" si="26"/>
        <v>4176.5362636780537</v>
      </c>
      <c r="E133" s="113">
        <f t="shared" si="26"/>
        <v>7739.2261316037093</v>
      </c>
      <c r="F133" s="74">
        <f t="shared" si="26"/>
        <v>-407.74334229368651</v>
      </c>
      <c r="G133" s="74">
        <f t="shared" si="26"/>
        <v>0</v>
      </c>
      <c r="H133" s="74">
        <f t="shared" si="26"/>
        <v>0</v>
      </c>
      <c r="I133" s="74">
        <f t="shared" si="26"/>
        <v>0</v>
      </c>
    </row>
    <row r="134" spans="1:9">
      <c r="A134" s="17" t="str">
        <f>HLOOKUP(INDICE!$F$2,Nombres!$C$3:$D$636,47,FALSE)</f>
        <v>Impuesto sobre beneficios</v>
      </c>
      <c r="B134" s="75">
        <v>47.96684582034402</v>
      </c>
      <c r="C134" s="75">
        <v>-587.48604267508551</v>
      </c>
      <c r="D134" s="75">
        <v>-991.1841293974353</v>
      </c>
      <c r="E134" s="76">
        <v>-610.115644111027</v>
      </c>
      <c r="F134" s="75">
        <v>554.30281580926453</v>
      </c>
      <c r="G134" s="75">
        <v>0</v>
      </c>
      <c r="H134" s="75">
        <v>0</v>
      </c>
      <c r="I134" s="75">
        <v>0</v>
      </c>
    </row>
    <row r="135" spans="1:9">
      <c r="A135" s="25" t="str">
        <f>HLOOKUP(INDICE!$F$2,Nombres!$C$3:$D$636,48,FALSE)</f>
        <v>Resultado del ejercicio</v>
      </c>
      <c r="B135" s="74">
        <f t="shared" ref="B135:I135" si="27">+B133+B134</f>
        <v>1876.9722236723737</v>
      </c>
      <c r="C135" s="74">
        <f t="shared" si="27"/>
        <v>5762.616130852608</v>
      </c>
      <c r="D135" s="74">
        <f t="shared" si="27"/>
        <v>3185.3521342806184</v>
      </c>
      <c r="E135" s="113">
        <f t="shared" si="27"/>
        <v>7129.1104874926823</v>
      </c>
      <c r="F135" s="74">
        <f t="shared" si="27"/>
        <v>146.55947351557802</v>
      </c>
      <c r="G135" s="74">
        <f t="shared" si="27"/>
        <v>0</v>
      </c>
      <c r="H135" s="74">
        <f t="shared" si="27"/>
        <v>0</v>
      </c>
      <c r="I135" s="74">
        <f t="shared" si="27"/>
        <v>0</v>
      </c>
    </row>
    <row r="136" spans="1:9">
      <c r="A136" s="17" t="str">
        <f>HLOOKUP(INDICE!$F$2,Nombres!$C$3:$D$636,49,FALSE)</f>
        <v>Minoritarios</v>
      </c>
      <c r="B136" s="75">
        <v>0</v>
      </c>
      <c r="C136" s="75">
        <v>0</v>
      </c>
      <c r="D136" s="75">
        <v>0</v>
      </c>
      <c r="E136" s="76">
        <v>0</v>
      </c>
      <c r="F136" s="75">
        <v>0</v>
      </c>
      <c r="G136" s="75">
        <v>0</v>
      </c>
      <c r="H136" s="75">
        <v>0</v>
      </c>
      <c r="I136" s="75">
        <v>0</v>
      </c>
    </row>
    <row r="137" spans="1:9">
      <c r="A137" s="19" t="str">
        <f>HLOOKUP(INDICE!$F$2,Nombres!$C$3:$D$636,50,FALSE)</f>
        <v>Resultado atribuido</v>
      </c>
      <c r="B137" s="94">
        <f t="shared" ref="B137:I137" si="28">+B135+B136</f>
        <v>1876.9722236723737</v>
      </c>
      <c r="C137" s="94">
        <f t="shared" si="28"/>
        <v>5762.616130852608</v>
      </c>
      <c r="D137" s="94">
        <f t="shared" si="28"/>
        <v>3185.3521342806184</v>
      </c>
      <c r="E137" s="110">
        <f t="shared" si="28"/>
        <v>7129.1104874926823</v>
      </c>
      <c r="F137" s="94">
        <f t="shared" si="28"/>
        <v>146.55947351557802</v>
      </c>
      <c r="G137" s="94">
        <f t="shared" si="28"/>
        <v>0</v>
      </c>
      <c r="H137" s="94">
        <f t="shared" si="28"/>
        <v>0</v>
      </c>
      <c r="I137" s="94">
        <f t="shared" si="28"/>
        <v>0</v>
      </c>
    </row>
    <row r="138" spans="1:9">
      <c r="A138" s="114"/>
      <c r="B138" s="99">
        <v>-1.0231815394945443E-11</v>
      </c>
      <c r="C138" s="99">
        <v>0</v>
      </c>
      <c r="D138" s="99">
        <v>0</v>
      </c>
      <c r="E138" s="99">
        <v>0</v>
      </c>
      <c r="F138" s="99">
        <v>3.637978807091713E-12</v>
      </c>
      <c r="G138" s="99">
        <v>0</v>
      </c>
      <c r="H138" s="99">
        <v>0</v>
      </c>
      <c r="I138" s="99">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4"/>
      <c r="G140" s="104"/>
      <c r="H140" s="104"/>
      <c r="I140" s="104"/>
    </row>
    <row r="141" spans="1:9">
      <c r="A141" s="67" t="str">
        <f>HLOOKUP(INDICE!$F$2,Nombres!$C$3:$D$636,81,FALSE)</f>
        <v>(Millones de pesos chilenos)</v>
      </c>
      <c r="B141" s="62"/>
      <c r="C141" s="82"/>
      <c r="D141" s="82"/>
      <c r="E141" s="82"/>
      <c r="F141" s="105"/>
      <c r="G141" s="75"/>
      <c r="H141" s="75"/>
      <c r="I141" s="75"/>
    </row>
    <row r="142" spans="1:9">
      <c r="A142" s="62"/>
      <c r="B142" s="84">
        <f t="shared" ref="B142:I142" si="29">+B$30</f>
        <v>45016</v>
      </c>
      <c r="C142" s="84">
        <f t="shared" si="29"/>
        <v>45107</v>
      </c>
      <c r="D142" s="84">
        <f t="shared" si="29"/>
        <v>45199</v>
      </c>
      <c r="E142" s="98">
        <f t="shared" si="29"/>
        <v>45291</v>
      </c>
      <c r="F142" s="84">
        <f t="shared" si="29"/>
        <v>45382</v>
      </c>
      <c r="G142" s="84">
        <f t="shared" si="29"/>
        <v>45473</v>
      </c>
      <c r="H142" s="84">
        <f t="shared" si="29"/>
        <v>45565</v>
      </c>
      <c r="I142" s="84">
        <f t="shared" si="29"/>
        <v>45657</v>
      </c>
    </row>
    <row r="143" spans="1:9">
      <c r="A143" s="17" t="str">
        <f>HLOOKUP(INDICE!$F$2,Nombres!$C$3:$D$636,52,FALSE)</f>
        <v>Efectivo, saldos en efectivo en bancos centrales y otros depósitos a la vista</v>
      </c>
      <c r="B143" s="75">
        <v>26285.480785238004</v>
      </c>
      <c r="C143" s="75">
        <v>30380.194802131657</v>
      </c>
      <c r="D143" s="75">
        <v>56436.691352495283</v>
      </c>
      <c r="E143" s="76">
        <v>26399.562420997048</v>
      </c>
      <c r="F143" s="75">
        <v>22918.288349513168</v>
      </c>
      <c r="G143" s="75">
        <v>0</v>
      </c>
      <c r="H143" s="75">
        <v>0</v>
      </c>
      <c r="I143" s="75">
        <v>0</v>
      </c>
    </row>
    <row r="144" spans="1:9">
      <c r="A144" s="17" t="str">
        <f>HLOOKUP(INDICE!$F$2,Nombres!$C$3:$D$636,53,FALSE)</f>
        <v>Activos financieros a valor razonable</v>
      </c>
      <c r="B144" s="83">
        <v>0</v>
      </c>
      <c r="C144" s="83">
        <v>0</v>
      </c>
      <c r="D144" s="83">
        <v>0</v>
      </c>
      <c r="E144" s="95">
        <v>0</v>
      </c>
      <c r="F144" s="75">
        <v>0</v>
      </c>
      <c r="G144" s="75">
        <v>0</v>
      </c>
      <c r="H144" s="75">
        <v>0</v>
      </c>
      <c r="I144" s="75">
        <v>0</v>
      </c>
    </row>
    <row r="145" spans="1:9">
      <c r="A145" s="17" t="str">
        <f>HLOOKUP(INDICE!$F$2,Nombres!$C$3:$D$636,54,FALSE)</f>
        <v>Activos financieros a coste amortizado</v>
      </c>
      <c r="B145" s="75">
        <v>1897608.7903619516</v>
      </c>
      <c r="C145" s="75">
        <v>1920043.662075466</v>
      </c>
      <c r="D145" s="75">
        <v>1919766.901910014</v>
      </c>
      <c r="E145" s="76">
        <v>1957898.7973634766</v>
      </c>
      <c r="F145" s="75">
        <v>1906914.3035730175</v>
      </c>
      <c r="G145" s="75">
        <v>0</v>
      </c>
      <c r="H145" s="75">
        <v>0</v>
      </c>
      <c r="I145" s="75">
        <v>0</v>
      </c>
    </row>
    <row r="146" spans="1:9">
      <c r="A146" s="17" t="str">
        <f>HLOOKUP(INDICE!$F$2,Nombres!$C$3:$D$636,55,FALSE)</f>
        <v xml:space="preserve">    de los que préstamos y anticipos a la clientela</v>
      </c>
      <c r="B146" s="75">
        <v>1865699.1677798068</v>
      </c>
      <c r="C146" s="75">
        <v>1880814.2063505498</v>
      </c>
      <c r="D146" s="75">
        <v>1910717.0486026597</v>
      </c>
      <c r="E146" s="76">
        <v>1953608.6729756745</v>
      </c>
      <c r="F146" s="75">
        <v>1892634.1530801631</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3574.3172225762869</v>
      </c>
      <c r="C148" s="75">
        <v>3309.0967811003534</v>
      </c>
      <c r="D148" s="75">
        <v>3112.6883987077158</v>
      </c>
      <c r="E148" s="76">
        <v>6317.4012117485163</v>
      </c>
      <c r="F148" s="75">
        <v>6053.8073884237792</v>
      </c>
      <c r="G148" s="75">
        <v>0</v>
      </c>
      <c r="H148" s="75">
        <v>0</v>
      </c>
      <c r="I148" s="75">
        <v>0</v>
      </c>
    </row>
    <row r="149" spans="1:9">
      <c r="A149" s="17" t="str">
        <f>HLOOKUP(INDICE!$F$2,Nombres!$C$3:$D$636,57,FALSE)</f>
        <v>Otros activos</v>
      </c>
      <c r="B149" s="83">
        <f>+B150-B148-B145-B144-B143</f>
        <v>285295.57998249831</v>
      </c>
      <c r="C149" s="83">
        <f t="shared" ref="C149:I149" si="30">+C150-C148-C145-C144-C143</f>
        <v>257536.51872414522</v>
      </c>
      <c r="D149" s="83">
        <f t="shared" si="30"/>
        <v>273052.90412626712</v>
      </c>
      <c r="E149" s="95">
        <f t="shared" si="30"/>
        <v>272743.99816094572</v>
      </c>
      <c r="F149" s="75">
        <f t="shared" si="30"/>
        <v>277464.75474452856</v>
      </c>
      <c r="G149" s="75">
        <f t="shared" si="30"/>
        <v>0</v>
      </c>
      <c r="H149" s="75">
        <f t="shared" si="30"/>
        <v>0</v>
      </c>
      <c r="I149" s="75">
        <f t="shared" si="30"/>
        <v>0</v>
      </c>
    </row>
    <row r="150" spans="1:9">
      <c r="A150" s="19" t="str">
        <f>HLOOKUP(INDICE!$F$2,Nombres!$C$3:$D$636,58,FALSE)</f>
        <v>Total activo / pasivo</v>
      </c>
      <c r="B150" s="19">
        <v>2212764.168352264</v>
      </c>
      <c r="C150" s="19">
        <v>2211269.472382843</v>
      </c>
      <c r="D150" s="19">
        <v>2252369.185787484</v>
      </c>
      <c r="E150" s="19">
        <v>2263359.7591571677</v>
      </c>
      <c r="F150" s="94">
        <v>2213351.1540554832</v>
      </c>
      <c r="G150" s="94">
        <v>0</v>
      </c>
      <c r="H150" s="94">
        <v>0</v>
      </c>
      <c r="I150" s="94">
        <v>0</v>
      </c>
    </row>
    <row r="151" spans="1:9">
      <c r="A151" s="17" t="str">
        <f>HLOOKUP(INDICE!$F$2,Nombres!$C$3:$D$636,59,FALSE)</f>
        <v>Pasivos financieros mantenidos para negociar y designados a valor razonable con cambios en resultados</v>
      </c>
      <c r="B151" s="83">
        <v>0</v>
      </c>
      <c r="C151" s="83">
        <v>0</v>
      </c>
      <c r="D151" s="83">
        <v>0</v>
      </c>
      <c r="E151" s="95">
        <v>0</v>
      </c>
      <c r="F151" s="75">
        <v>0</v>
      </c>
      <c r="G151" s="75">
        <v>0</v>
      </c>
      <c r="H151" s="75">
        <v>0</v>
      </c>
      <c r="I151" s="75">
        <v>0</v>
      </c>
    </row>
    <row r="152" spans="1:9">
      <c r="A152" s="17" t="str">
        <f>HLOOKUP(INDICE!$F$2,Nombres!$C$3:$D$636,60,FALSE)</f>
        <v>Depósitos de bancos centrales y entidades de crédito</v>
      </c>
      <c r="B152" s="83">
        <v>880183.34152891196</v>
      </c>
      <c r="C152" s="83">
        <v>907590.87587192736</v>
      </c>
      <c r="D152" s="83">
        <v>932887.12368714076</v>
      </c>
      <c r="E152" s="95">
        <v>1032053.0060361042</v>
      </c>
      <c r="F152" s="75">
        <v>1040817.6042163181</v>
      </c>
      <c r="G152" s="75">
        <v>0</v>
      </c>
      <c r="H152" s="75">
        <v>0</v>
      </c>
      <c r="I152" s="75">
        <v>0</v>
      </c>
    </row>
    <row r="153" spans="1:9">
      <c r="A153" s="17" t="str">
        <f>HLOOKUP(INDICE!$F$2,Nombres!$C$3:$D$636,61,FALSE)</f>
        <v>Depósitos de la clientela</v>
      </c>
      <c r="B153" s="83">
        <v>7184.686636158387</v>
      </c>
      <c r="C153" s="83">
        <v>4881.6591153976487</v>
      </c>
      <c r="D153" s="83">
        <v>6043.8033074908144</v>
      </c>
      <c r="E153" s="95">
        <v>6503.1208822161343</v>
      </c>
      <c r="F153" s="75">
        <v>6923.033940162748</v>
      </c>
      <c r="G153" s="75">
        <v>0</v>
      </c>
      <c r="H153" s="75">
        <v>0</v>
      </c>
      <c r="I153" s="75">
        <v>0</v>
      </c>
    </row>
    <row r="154" spans="1:9">
      <c r="A154" s="17" t="str">
        <f>HLOOKUP(INDICE!$F$2,Nombres!$C$3:$D$636,62,FALSE)</f>
        <v>Valores representativos de deuda emitidos</v>
      </c>
      <c r="B154" s="75">
        <v>777699.27930125082</v>
      </c>
      <c r="C154" s="75">
        <v>746530.78248860559</v>
      </c>
      <c r="D154" s="75">
        <v>781881.29753184458</v>
      </c>
      <c r="E154" s="76">
        <v>647138.1789341775</v>
      </c>
      <c r="F154" s="75">
        <v>610655.83131654118</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3">
        <f>+B150-B151-B152-B153-B154-B157</f>
        <v>289055.47781539569</v>
      </c>
      <c r="C156" s="83">
        <f t="shared" ref="C156:I156" si="31">+C150-C151-C152-C153-C154-C157</f>
        <v>280436.03062949155</v>
      </c>
      <c r="D156" s="83">
        <f t="shared" si="31"/>
        <v>260948.79568020359</v>
      </c>
      <c r="E156" s="95">
        <f t="shared" si="31"/>
        <v>302272.98821952817</v>
      </c>
      <c r="F156" s="75">
        <f t="shared" si="31"/>
        <v>294519.65382312844</v>
      </c>
      <c r="G156" s="75">
        <f t="shared" si="31"/>
        <v>0</v>
      </c>
      <c r="H156" s="75">
        <f t="shared" si="31"/>
        <v>0</v>
      </c>
      <c r="I156" s="75">
        <f t="shared" si="31"/>
        <v>0</v>
      </c>
    </row>
    <row r="157" spans="1:9">
      <c r="A157" s="17" t="str">
        <f>HLOOKUP(INDICE!$F$2,Nombres!$C$3:$D$636,282,FALSE)</f>
        <v>Dotación de capital regulatorio</v>
      </c>
      <c r="B157" s="83">
        <v>258641.3830705469</v>
      </c>
      <c r="C157" s="83">
        <v>271830.12427742081</v>
      </c>
      <c r="D157" s="83">
        <v>270608.16558080434</v>
      </c>
      <c r="E157" s="95">
        <v>275392.46508514177</v>
      </c>
      <c r="F157" s="75">
        <v>260435.0307593327</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65" t="str">
        <f>HLOOKUP(INDICE!$F$2,Nombres!$C$3:$D$636,65,FALSE)</f>
        <v>Indicadores relevantes y de gestión</v>
      </c>
      <c r="B160" s="66"/>
      <c r="C160" s="66"/>
      <c r="D160" s="66"/>
      <c r="E160" s="66"/>
      <c r="F160" s="104"/>
      <c r="G160" s="104"/>
      <c r="H160" s="104"/>
      <c r="I160" s="104"/>
    </row>
    <row r="161" spans="1:15">
      <c r="A161" s="67" t="str">
        <f>HLOOKUP(INDICE!$F$2,Nombres!$C$3:$D$636,81,FALSE)</f>
        <v>(Millones de pesos chilenos)</v>
      </c>
      <c r="B161" s="62"/>
      <c r="C161" s="62"/>
      <c r="D161" s="62"/>
      <c r="E161" s="62"/>
      <c r="F161" s="105"/>
      <c r="G161" s="75"/>
      <c r="H161" s="75"/>
      <c r="I161" s="75"/>
    </row>
    <row r="162" spans="1:15" ht="15.75" customHeight="1">
      <c r="A162" s="62"/>
      <c r="B162" s="84">
        <f t="shared" ref="B162:I162" si="32">+B$30</f>
        <v>45016</v>
      </c>
      <c r="C162" s="84">
        <f t="shared" si="32"/>
        <v>45107</v>
      </c>
      <c r="D162" s="84">
        <f t="shared" si="32"/>
        <v>45199</v>
      </c>
      <c r="E162" s="98">
        <f t="shared" si="32"/>
        <v>45291</v>
      </c>
      <c r="F162" s="84">
        <f t="shared" si="32"/>
        <v>45382</v>
      </c>
      <c r="G162" s="84">
        <f t="shared" si="32"/>
        <v>45473</v>
      </c>
      <c r="H162" s="84">
        <f t="shared" si="32"/>
        <v>45565</v>
      </c>
      <c r="I162" s="84">
        <f t="shared" si="32"/>
        <v>45657</v>
      </c>
    </row>
    <row r="163" spans="1:15" ht="15.75" customHeight="1">
      <c r="A163" s="17" t="str">
        <f>HLOOKUP(INDICE!$F$2,Nombres!$C$3:$D$636,66,FALSE)</f>
        <v>Préstamos y anticipos a la clientela bruto (*)</v>
      </c>
      <c r="B163" s="75">
        <v>1966558.6056605682</v>
      </c>
      <c r="C163" s="75">
        <v>1986645.9942837909</v>
      </c>
      <c r="D163" s="75">
        <v>2018411.263666467</v>
      </c>
      <c r="E163" s="76">
        <v>2056281.3491138229</v>
      </c>
      <c r="F163" s="75">
        <v>1996256.7835795942</v>
      </c>
      <c r="G163" s="75">
        <v>0</v>
      </c>
      <c r="H163" s="75">
        <v>0</v>
      </c>
      <c r="I163" s="75">
        <v>0</v>
      </c>
    </row>
    <row r="164" spans="1:15" ht="15.75" customHeight="1">
      <c r="A164" s="17" t="str">
        <f>HLOOKUP(INDICE!$F$2,Nombres!$C$3:$D$636,67,FALSE)</f>
        <v>Depósitos de clientes en gestión (**)</v>
      </c>
      <c r="B164" s="75">
        <v>7184.686636158387</v>
      </c>
      <c r="C164" s="75">
        <v>4881.6591153976487</v>
      </c>
      <c r="D164" s="75">
        <v>6043.8033074908144</v>
      </c>
      <c r="E164" s="76">
        <v>6503.1208822161343</v>
      </c>
      <c r="F164" s="75">
        <v>6923.033940162748</v>
      </c>
      <c r="G164" s="75">
        <v>0</v>
      </c>
      <c r="H164" s="75">
        <v>0</v>
      </c>
      <c r="I164" s="75">
        <v>0</v>
      </c>
    </row>
    <row r="165" spans="1:15" ht="15.75" customHeight="1">
      <c r="A165" s="17" t="str">
        <f>HLOOKUP(INDICE!$F$2,Nombres!$C$3:$D$636,68,FALSE)</f>
        <v>Fondos de inversión y carteras gestionadas</v>
      </c>
      <c r="B165" s="75">
        <v>0</v>
      </c>
      <c r="C165" s="75">
        <v>0</v>
      </c>
      <c r="D165" s="75">
        <v>0</v>
      </c>
      <c r="E165" s="76">
        <v>0</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1" t="str">
        <f>HLOOKUP(INDICE!$F$2,Nombres!$C$3:$D$636,71,FALSE)</f>
        <v>(*) No incluye las adquisiciones temporales de activos.</v>
      </c>
      <c r="B168" s="75"/>
      <c r="C168" s="83"/>
      <c r="D168" s="83"/>
      <c r="E168" s="83"/>
      <c r="F168" s="75"/>
      <c r="G168" s="75"/>
      <c r="H168" s="75"/>
      <c r="I168" s="75"/>
    </row>
    <row r="169" spans="1:15">
      <c r="A169" s="91"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row r="997" spans="1:1">
      <c r="A997" s="63" t="s">
        <v>550</v>
      </c>
    </row>
  </sheetData>
  <mergeCells count="6">
    <mergeCell ref="B6:E6"/>
    <mergeCell ref="F6:I6"/>
    <mergeCell ref="B62:E62"/>
    <mergeCell ref="F62:I62"/>
    <mergeCell ref="B118:E118"/>
    <mergeCell ref="F118:I118"/>
  </mergeCells>
  <conditionalFormatting sqref="G26:I26">
    <cfRule type="cellIs" dxfId="54" priority="18" operator="notBetween">
      <formula>0.5</formula>
      <formula>-0.5</formula>
    </cfRule>
  </conditionalFormatting>
  <conditionalFormatting sqref="C26">
    <cfRule type="cellIs" dxfId="53" priority="17" operator="notBetween">
      <formula>0.5</formula>
      <formula>-0.5</formula>
    </cfRule>
  </conditionalFormatting>
  <conditionalFormatting sqref="D26">
    <cfRule type="cellIs" dxfId="52" priority="16" operator="notBetween">
      <formula>0.5</formula>
      <formula>-0.5</formula>
    </cfRule>
  </conditionalFormatting>
  <conditionalFormatting sqref="E26">
    <cfRule type="cellIs" dxfId="51" priority="15" operator="notBetween">
      <formula>0.5</formula>
      <formula>-0.5</formula>
    </cfRule>
  </conditionalFormatting>
  <conditionalFormatting sqref="F26:I26">
    <cfRule type="cellIs" dxfId="50" priority="14" operator="notBetween">
      <formula>0.5</formula>
      <formula>-0.5</formula>
    </cfRule>
  </conditionalFormatting>
  <conditionalFormatting sqref="G82:I82">
    <cfRule type="cellIs" dxfId="49" priority="13" operator="notBetween">
      <formula>0.5</formula>
      <formula>-0.5</formula>
    </cfRule>
  </conditionalFormatting>
  <conditionalFormatting sqref="C82">
    <cfRule type="cellIs" dxfId="48" priority="12" operator="notBetween">
      <formula>0.5</formula>
      <formula>-0.5</formula>
    </cfRule>
  </conditionalFormatting>
  <conditionalFormatting sqref="D82">
    <cfRule type="cellIs" dxfId="47" priority="11" operator="notBetween">
      <formula>0.5</formula>
      <formula>-0.5</formula>
    </cfRule>
  </conditionalFormatting>
  <conditionalFormatting sqref="E82">
    <cfRule type="cellIs" dxfId="46" priority="10" operator="notBetween">
      <formula>0.5</formula>
      <formula>-0.5</formula>
    </cfRule>
  </conditionalFormatting>
  <conditionalFormatting sqref="F82:I82">
    <cfRule type="cellIs" dxfId="45" priority="9" operator="notBetween">
      <formula>0.5</formula>
      <formula>-0.5</formula>
    </cfRule>
  </conditionalFormatting>
  <conditionalFormatting sqref="G138:I138">
    <cfRule type="cellIs" dxfId="44" priority="8" operator="notBetween">
      <formula>0.5</formula>
      <formula>-0.5</formula>
    </cfRule>
  </conditionalFormatting>
  <conditionalFormatting sqref="C138">
    <cfRule type="cellIs" dxfId="43" priority="7" operator="notBetween">
      <formula>0.5</formula>
      <formula>-0.5</formula>
    </cfRule>
  </conditionalFormatting>
  <conditionalFormatting sqref="D138">
    <cfRule type="cellIs" dxfId="42" priority="6" operator="notBetween">
      <formula>0.5</formula>
      <formula>-0.5</formula>
    </cfRule>
  </conditionalFormatting>
  <conditionalFormatting sqref="E138">
    <cfRule type="cellIs" dxfId="41" priority="5" operator="notBetween">
      <formula>0.5</formula>
      <formula>-0.5</formula>
    </cfRule>
  </conditionalFormatting>
  <conditionalFormatting sqref="F138:I138">
    <cfRule type="cellIs" dxfId="40" priority="4" operator="notBetween">
      <formula>0.5</formula>
      <formula>-0.5</formula>
    </cfRule>
  </conditionalFormatting>
  <conditionalFormatting sqref="B26:I26">
    <cfRule type="cellIs" dxfId="39" priority="3" operator="notBetween">
      <formula>0.5</formula>
      <formula>-0.5</formula>
    </cfRule>
  </conditionalFormatting>
  <conditionalFormatting sqref="B82:I82">
    <cfRule type="cellIs" dxfId="38" priority="2" operator="notBetween">
      <formula>0.5</formula>
      <formula>-0.5</formula>
    </cfRule>
  </conditionalFormatting>
  <conditionalFormatting sqref="B138:I138">
    <cfRule type="cellIs" dxfId="37" priority="1" operator="notBetween">
      <formula>0.5</formula>
      <formula>-0.5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election activeCell="A41" sqref="A41"/>
    </sheetView>
  </sheetViews>
  <sheetFormatPr baseColWidth="10" defaultColWidth="11.453125" defaultRowHeight="14.5"/>
  <cols>
    <col min="1" max="1" width="62" style="63" customWidth="1"/>
    <col min="2" max="6" width="12.26953125" style="63" customWidth="1"/>
    <col min="7" max="9" width="12.26953125" style="63" hidden="1" customWidth="1"/>
    <col min="10" max="16384" width="11.453125" style="63"/>
  </cols>
  <sheetData>
    <row r="1" spans="1:9" ht="17">
      <c r="A1" s="61" t="str">
        <f>HLOOKUP(INDICE!$F$2,Nombres!$C$3:$D$636,16,FALSE)</f>
        <v>Colombia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171.14400000000006</v>
      </c>
      <c r="C8" s="25">
        <v>178.34699999000009</v>
      </c>
      <c r="D8" s="25">
        <v>202.81800000999988</v>
      </c>
      <c r="E8" s="73">
        <v>216.02000000000012</v>
      </c>
      <c r="F8" s="74">
        <v>241.08100000000002</v>
      </c>
      <c r="G8" s="74">
        <v>0</v>
      </c>
      <c r="H8" s="74">
        <v>0</v>
      </c>
      <c r="I8" s="74">
        <v>0</v>
      </c>
    </row>
    <row r="9" spans="1:9">
      <c r="A9" s="17" t="str">
        <f>HLOOKUP(INDICE!$F$2,Nombres!$C$3:$D$636,34,FALSE)</f>
        <v>Comisiones netas</v>
      </c>
      <c r="B9" s="75">
        <v>24.067286930000002</v>
      </c>
      <c r="C9" s="75">
        <v>30.918738139999988</v>
      </c>
      <c r="D9" s="75">
        <v>27.939315390000004</v>
      </c>
      <c r="E9" s="76">
        <v>31.167154320000002</v>
      </c>
      <c r="F9" s="75">
        <v>28.111220880000005</v>
      </c>
      <c r="G9" s="75">
        <v>0</v>
      </c>
      <c r="H9" s="75">
        <v>0</v>
      </c>
      <c r="I9" s="75">
        <v>0</v>
      </c>
    </row>
    <row r="10" spans="1:9">
      <c r="A10" s="17" t="str">
        <f>HLOOKUP(INDICE!$F$2,Nombres!$C$3:$D$636,35,FALSE)</f>
        <v>Resultados de operaciones financieras</v>
      </c>
      <c r="B10" s="75">
        <v>32.770545580000004</v>
      </c>
      <c r="C10" s="75">
        <v>26.711920020000001</v>
      </c>
      <c r="D10" s="75">
        <v>-0.26821273999999562</v>
      </c>
      <c r="E10" s="76">
        <v>33.235029800000028</v>
      </c>
      <c r="F10" s="75">
        <v>25.082216530000007</v>
      </c>
      <c r="G10" s="75">
        <v>0</v>
      </c>
      <c r="H10" s="75">
        <v>0</v>
      </c>
      <c r="I10" s="75">
        <v>0</v>
      </c>
    </row>
    <row r="11" spans="1:9">
      <c r="A11" s="17" t="str">
        <f>HLOOKUP(INDICE!$F$2,Nombres!$C$3:$D$636,36,FALSE)</f>
        <v>Otros ingresos y cargas de explotación</v>
      </c>
      <c r="B11" s="75">
        <v>1.6949999999999985</v>
      </c>
      <c r="C11" s="75">
        <v>-2.9100000000000019</v>
      </c>
      <c r="D11" s="75">
        <v>-8.8069999999999951</v>
      </c>
      <c r="E11" s="76">
        <v>-3.2729999999999988</v>
      </c>
      <c r="F11" s="75">
        <v>-2.0599999999999943</v>
      </c>
      <c r="G11" s="75">
        <v>0</v>
      </c>
      <c r="H11" s="75">
        <v>0</v>
      </c>
      <c r="I11" s="75">
        <v>0</v>
      </c>
    </row>
    <row r="12" spans="1:9">
      <c r="A12" s="25" t="str">
        <f>HLOOKUP(INDICE!$F$2,Nombres!$C$3:$D$636,37,FALSE)</f>
        <v>Margen bruto</v>
      </c>
      <c r="B12" s="25">
        <f>+SUM(B8:B11)</f>
        <v>229.67683251000005</v>
      </c>
      <c r="C12" s="25">
        <f t="shared" ref="C12:I12" si="0">+SUM(C8:C11)</f>
        <v>233.06765815000009</v>
      </c>
      <c r="D12" s="25">
        <f t="shared" si="0"/>
        <v>221.68210265999988</v>
      </c>
      <c r="E12" s="73">
        <f t="shared" si="0"/>
        <v>277.14918412000014</v>
      </c>
      <c r="F12" s="74">
        <f t="shared" si="0"/>
        <v>292.21443741000002</v>
      </c>
      <c r="G12" s="74">
        <f t="shared" si="0"/>
        <v>0</v>
      </c>
      <c r="H12" s="74">
        <f t="shared" si="0"/>
        <v>0</v>
      </c>
      <c r="I12" s="74">
        <f t="shared" si="0"/>
        <v>0</v>
      </c>
    </row>
    <row r="13" spans="1:9">
      <c r="A13" s="17" t="str">
        <f>HLOOKUP(INDICE!$F$2,Nombres!$C$3:$D$636,38,FALSE)</f>
        <v>Gastos de explotación</v>
      </c>
      <c r="B13" s="75">
        <v>-107.49219150000002</v>
      </c>
      <c r="C13" s="75">
        <v>-103.15456448000002</v>
      </c>
      <c r="D13" s="75">
        <v>-121.00170366</v>
      </c>
      <c r="E13" s="76">
        <v>-125.32342495999998</v>
      </c>
      <c r="F13" s="75">
        <v>-146.28789683999997</v>
      </c>
      <c r="G13" s="75">
        <v>0</v>
      </c>
      <c r="H13" s="75">
        <v>0</v>
      </c>
      <c r="I13" s="75">
        <v>0</v>
      </c>
    </row>
    <row r="14" spans="1:9">
      <c r="A14" s="17" t="str">
        <f>HLOOKUP(INDICE!$F$2,Nombres!$C$3:$D$636,39,FALSE)</f>
        <v xml:space="preserve">  Gastos de administración</v>
      </c>
      <c r="B14" s="75">
        <v>-100.6911915</v>
      </c>
      <c r="C14" s="75">
        <v>-96.183564480000001</v>
      </c>
      <c r="D14" s="75">
        <v>-112.20170366000001</v>
      </c>
      <c r="E14" s="76">
        <v>-117.01542496</v>
      </c>
      <c r="F14" s="75">
        <v>-137.29789683999999</v>
      </c>
      <c r="G14" s="75">
        <v>0</v>
      </c>
      <c r="H14" s="75">
        <v>0</v>
      </c>
      <c r="I14" s="75">
        <v>0</v>
      </c>
    </row>
    <row r="15" spans="1:9">
      <c r="A15" s="77" t="str">
        <f>HLOOKUP(INDICE!$F$2,Nombres!$C$3:$D$636,40,FALSE)</f>
        <v xml:space="preserve">  Gastos de personal</v>
      </c>
      <c r="B15" s="75">
        <v>-46.428999990000001</v>
      </c>
      <c r="C15" s="75">
        <v>-41.916000009999998</v>
      </c>
      <c r="D15" s="75">
        <v>-52.261000009999997</v>
      </c>
      <c r="E15" s="76">
        <v>-52.71599999</v>
      </c>
      <c r="F15" s="75">
        <v>-62.347601509999997</v>
      </c>
      <c r="G15" s="75">
        <v>0</v>
      </c>
      <c r="H15" s="75">
        <v>0</v>
      </c>
      <c r="I15" s="75">
        <v>0</v>
      </c>
    </row>
    <row r="16" spans="1:9">
      <c r="A16" s="77" t="str">
        <f>HLOOKUP(INDICE!$F$2,Nombres!$C$3:$D$636,41,FALSE)</f>
        <v xml:space="preserve">  Otros gastos de administración</v>
      </c>
      <c r="B16" s="75">
        <v>-54.262191510000008</v>
      </c>
      <c r="C16" s="75">
        <v>-54.267564470000003</v>
      </c>
      <c r="D16" s="75">
        <v>-59.940703650000003</v>
      </c>
      <c r="E16" s="76">
        <v>-64.299424970000004</v>
      </c>
      <c r="F16" s="75">
        <v>-74.950295330000003</v>
      </c>
      <c r="G16" s="75">
        <v>0</v>
      </c>
      <c r="H16" s="75">
        <v>0</v>
      </c>
      <c r="I16" s="75">
        <v>0</v>
      </c>
    </row>
    <row r="17" spans="1:9">
      <c r="A17" s="17" t="str">
        <f>HLOOKUP(INDICE!$F$2,Nombres!$C$3:$D$636,42,FALSE)</f>
        <v xml:space="preserve">  Amortización</v>
      </c>
      <c r="B17" s="75">
        <v>-6.8010000000000002</v>
      </c>
      <c r="C17" s="75">
        <v>-6.9709999999999992</v>
      </c>
      <c r="D17" s="75">
        <v>-8.8000000000000007</v>
      </c>
      <c r="E17" s="76">
        <v>-8.3079999999999998</v>
      </c>
      <c r="F17" s="75">
        <v>-8.9899999999999984</v>
      </c>
      <c r="G17" s="75">
        <v>0</v>
      </c>
      <c r="H17" s="75">
        <v>0</v>
      </c>
      <c r="I17" s="75">
        <v>0</v>
      </c>
    </row>
    <row r="18" spans="1:9">
      <c r="A18" s="25" t="str">
        <f>HLOOKUP(INDICE!$F$2,Nombres!$C$3:$D$636,43,FALSE)</f>
        <v>Margen neto</v>
      </c>
      <c r="B18" s="25">
        <f>+B12+B13</f>
        <v>122.18464101000004</v>
      </c>
      <c r="C18" s="25">
        <f t="shared" ref="C18:I18" si="1">+C12+C13</f>
        <v>129.91309367000008</v>
      </c>
      <c r="D18" s="25">
        <f t="shared" si="1"/>
        <v>100.68039899999988</v>
      </c>
      <c r="E18" s="73">
        <f t="shared" si="1"/>
        <v>151.82575916000016</v>
      </c>
      <c r="F18" s="74">
        <f t="shared" si="1"/>
        <v>145.92654057000004</v>
      </c>
      <c r="G18" s="74">
        <f t="shared" si="1"/>
        <v>0</v>
      </c>
      <c r="H18" s="74">
        <f t="shared" si="1"/>
        <v>0</v>
      </c>
      <c r="I18" s="74">
        <f t="shared" si="1"/>
        <v>0</v>
      </c>
    </row>
    <row r="19" spans="1:9">
      <c r="A19" s="17" t="str">
        <f>HLOOKUP(INDICE!$F$2,Nombres!$C$3:$D$636,44,FALSE)</f>
        <v>Deterioro de activos financieros no valorados a valor razonable con cambios en resultados</v>
      </c>
      <c r="B19" s="75">
        <v>-60.413999999999987</v>
      </c>
      <c r="C19" s="75">
        <v>-74.864000000000004</v>
      </c>
      <c r="D19" s="75">
        <v>-91.304000000000002</v>
      </c>
      <c r="E19" s="76">
        <v>-111.57399999999997</v>
      </c>
      <c r="F19" s="75">
        <v>-127.024</v>
      </c>
      <c r="G19" s="75">
        <v>0</v>
      </c>
      <c r="H19" s="75">
        <v>0</v>
      </c>
      <c r="I19" s="75">
        <v>0</v>
      </c>
    </row>
    <row r="20" spans="1:9">
      <c r="A20" s="17" t="str">
        <f>HLOOKUP(INDICE!$F$2,Nombres!$C$3:$D$636,45,FALSE)</f>
        <v>Provisiones o reversión de provisiones y otros resultados</v>
      </c>
      <c r="B20" s="75">
        <v>-1.4060000000000004</v>
      </c>
      <c r="C20" s="75">
        <v>8.016</v>
      </c>
      <c r="D20" s="75">
        <v>1.5999999999999348E-2</v>
      </c>
      <c r="E20" s="76">
        <v>-16.539000000000001</v>
      </c>
      <c r="F20" s="75">
        <v>-1.581</v>
      </c>
      <c r="G20" s="75">
        <v>0</v>
      </c>
      <c r="H20" s="75">
        <v>0</v>
      </c>
      <c r="I20" s="75">
        <v>0</v>
      </c>
    </row>
    <row r="21" spans="1:9">
      <c r="A21" s="25" t="str">
        <f>HLOOKUP(INDICE!$F$2,Nombres!$C$3:$D$636,46,FALSE)</f>
        <v>Resultado antes de impuestos</v>
      </c>
      <c r="B21" s="25">
        <f>+B18+B19+B20</f>
        <v>60.364641010000049</v>
      </c>
      <c r="C21" s="25">
        <f t="shared" ref="C21:I21" si="2">+C18+C19+C20</f>
        <v>63.065093670000074</v>
      </c>
      <c r="D21" s="25">
        <f t="shared" si="2"/>
        <v>9.3923989999998785</v>
      </c>
      <c r="E21" s="73">
        <f t="shared" si="2"/>
        <v>23.712759160000189</v>
      </c>
      <c r="F21" s="74">
        <f t="shared" si="2"/>
        <v>17.321540570000042</v>
      </c>
      <c r="G21" s="74">
        <f t="shared" si="2"/>
        <v>0</v>
      </c>
      <c r="H21" s="74">
        <f t="shared" si="2"/>
        <v>0</v>
      </c>
      <c r="I21" s="74">
        <f t="shared" si="2"/>
        <v>0</v>
      </c>
    </row>
    <row r="22" spans="1:9">
      <c r="A22" s="17" t="str">
        <f>HLOOKUP(INDICE!$F$2,Nombres!$C$3:$D$636,47,FALSE)</f>
        <v>Impuesto sobre beneficios</v>
      </c>
      <c r="B22" s="75">
        <v>-21.79257789</v>
      </c>
      <c r="C22" s="75">
        <v>-10.879969400000002</v>
      </c>
      <c r="D22" s="75">
        <v>6.1557537</v>
      </c>
      <c r="E22" s="76">
        <v>5.8316416900000521</v>
      </c>
      <c r="F22" s="75">
        <v>1.64731761</v>
      </c>
      <c r="G22" s="75">
        <v>0</v>
      </c>
      <c r="H22" s="75">
        <v>0</v>
      </c>
      <c r="I22" s="75">
        <v>0</v>
      </c>
    </row>
    <row r="23" spans="1:9">
      <c r="A23" s="25" t="str">
        <f>HLOOKUP(INDICE!$F$2,Nombres!$C$3:$D$636,48,FALSE)</f>
        <v>Resultado del ejercicio</v>
      </c>
      <c r="B23" s="25">
        <f>+B21+B22</f>
        <v>38.572063120000053</v>
      </c>
      <c r="C23" s="25">
        <f t="shared" ref="C23:I23" si="3">+C21+C22</f>
        <v>52.185124270000074</v>
      </c>
      <c r="D23" s="25">
        <f t="shared" si="3"/>
        <v>15.548152699999878</v>
      </c>
      <c r="E23" s="73">
        <f t="shared" si="3"/>
        <v>29.54440085000024</v>
      </c>
      <c r="F23" s="74">
        <f t="shared" si="3"/>
        <v>18.968858180000041</v>
      </c>
      <c r="G23" s="74">
        <f t="shared" si="3"/>
        <v>0</v>
      </c>
      <c r="H23" s="74">
        <f t="shared" si="3"/>
        <v>0</v>
      </c>
      <c r="I23" s="74">
        <f t="shared" si="3"/>
        <v>0</v>
      </c>
    </row>
    <row r="24" spans="1:9">
      <c r="A24" s="17" t="str">
        <f>HLOOKUP(INDICE!$F$2,Nombres!$C$3:$D$636,49,FALSE)</f>
        <v>Minoritarios</v>
      </c>
      <c r="B24" s="75">
        <v>1.2979088799999998</v>
      </c>
      <c r="C24" s="75">
        <v>1.6811419999999995</v>
      </c>
      <c r="D24" s="75">
        <v>3.003063999999998</v>
      </c>
      <c r="E24" s="76">
        <v>10.592111320000003</v>
      </c>
      <c r="F24" s="75">
        <v>0.74632300000000018</v>
      </c>
      <c r="G24" s="75">
        <v>0</v>
      </c>
      <c r="H24" s="75">
        <v>0</v>
      </c>
      <c r="I24" s="75">
        <v>0</v>
      </c>
    </row>
    <row r="25" spans="1:9">
      <c r="A25" s="19" t="str">
        <f>HLOOKUP(INDICE!$F$2,Nombres!$C$3:$D$636,50,FALSE)</f>
        <v>Resultado atribuido</v>
      </c>
      <c r="B25" s="19">
        <f>+B23+B24</f>
        <v>39.869972000000054</v>
      </c>
      <c r="C25" s="19">
        <f t="shared" ref="C25:I25" si="4">+C23+C24</f>
        <v>53.866266270000075</v>
      </c>
      <c r="D25" s="19">
        <f t="shared" si="4"/>
        <v>18.551216699999877</v>
      </c>
      <c r="E25" s="19">
        <f t="shared" si="4"/>
        <v>40.136512170000245</v>
      </c>
      <c r="F25" s="94">
        <f t="shared" si="4"/>
        <v>19.715181180000041</v>
      </c>
      <c r="G25" s="94">
        <f t="shared" si="4"/>
        <v>0</v>
      </c>
      <c r="H25" s="94">
        <f t="shared" si="4"/>
        <v>0</v>
      </c>
      <c r="I25" s="94">
        <f t="shared" si="4"/>
        <v>0</v>
      </c>
    </row>
    <row r="26" spans="1:9">
      <c r="A26" s="91"/>
      <c r="B26" s="99">
        <v>0</v>
      </c>
      <c r="C26" s="99">
        <v>0</v>
      </c>
      <c r="D26" s="99">
        <v>0</v>
      </c>
      <c r="E26" s="99">
        <v>0</v>
      </c>
      <c r="F26" s="99">
        <v>0</v>
      </c>
      <c r="G26" s="99">
        <v>0</v>
      </c>
      <c r="H26" s="99">
        <v>0</v>
      </c>
      <c r="I26" s="99">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7" t="str">
        <f>HLOOKUP(INDICE!$F$2,Nombres!$C$3:$D$636,52,FALSE)</f>
        <v>Efectivo, saldos en efectivo en bancos centrales y otros depósitos a la vista</v>
      </c>
      <c r="B31" s="75">
        <v>1516.4960000000001</v>
      </c>
      <c r="C31" s="75">
        <v>2132.1419999999998</v>
      </c>
      <c r="D31" s="75">
        <v>1957.4590000000001</v>
      </c>
      <c r="E31" s="76">
        <v>2055.0549999999998</v>
      </c>
      <c r="F31" s="75">
        <v>1813.8790000000001</v>
      </c>
      <c r="G31" s="75">
        <v>0</v>
      </c>
      <c r="H31" s="75">
        <v>0</v>
      </c>
      <c r="I31" s="75">
        <v>0</v>
      </c>
    </row>
    <row r="32" spans="1:9">
      <c r="A32" s="17" t="str">
        <f>HLOOKUP(INDICE!$F$2,Nombres!$C$3:$D$636,53,FALSE)</f>
        <v>Activos financieros a valor razonable</v>
      </c>
      <c r="B32" s="83">
        <v>3188.8019999999997</v>
      </c>
      <c r="C32" s="83">
        <v>4185.1360000000004</v>
      </c>
      <c r="D32" s="83">
        <v>4227.9859999999999</v>
      </c>
      <c r="E32" s="95">
        <v>4656.7739999999994</v>
      </c>
      <c r="F32" s="75">
        <v>3968.6059999999998</v>
      </c>
      <c r="G32" s="75">
        <v>0</v>
      </c>
      <c r="H32" s="75">
        <v>0</v>
      </c>
      <c r="I32" s="75">
        <v>0</v>
      </c>
    </row>
    <row r="33" spans="1:9">
      <c r="A33" s="17" t="str">
        <f>HLOOKUP(INDICE!$F$2,Nombres!$C$3:$D$636,54,FALSE)</f>
        <v>Activos financieros a coste amortizado</v>
      </c>
      <c r="B33" s="75">
        <v>14441.204000000002</v>
      </c>
      <c r="C33" s="75">
        <v>16359.425999999998</v>
      </c>
      <c r="D33" s="75">
        <v>17434.864000000001</v>
      </c>
      <c r="E33" s="76">
        <v>18006.651000000002</v>
      </c>
      <c r="F33" s="75">
        <v>18338.873000000003</v>
      </c>
      <c r="G33" s="75">
        <v>0</v>
      </c>
      <c r="H33" s="75">
        <v>0</v>
      </c>
      <c r="I33" s="75">
        <v>0</v>
      </c>
    </row>
    <row r="34" spans="1:9">
      <c r="A34" s="17" t="str">
        <f>HLOOKUP(INDICE!$F$2,Nombres!$C$3:$D$636,55,FALSE)</f>
        <v xml:space="preserve">    de los que préstamos y anticipos a la clientela</v>
      </c>
      <c r="B34" s="75">
        <v>13706.14</v>
      </c>
      <c r="C34" s="75">
        <v>15534.097</v>
      </c>
      <c r="D34" s="75">
        <v>16514.748000000003</v>
      </c>
      <c r="E34" s="76">
        <v>17053.036999999997</v>
      </c>
      <c r="F34" s="75">
        <v>17339.941999999999</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86.423000000000016</v>
      </c>
      <c r="C36" s="75">
        <v>93.985000000000014</v>
      </c>
      <c r="D36" s="75">
        <v>96.484999999999985</v>
      </c>
      <c r="E36" s="76">
        <v>109.259</v>
      </c>
      <c r="F36" s="75">
        <v>107.92600000000002</v>
      </c>
      <c r="G36" s="75">
        <v>0</v>
      </c>
      <c r="H36" s="75">
        <v>0</v>
      </c>
      <c r="I36" s="75">
        <v>0</v>
      </c>
    </row>
    <row r="37" spans="1:9">
      <c r="A37" s="17" t="str">
        <f>HLOOKUP(INDICE!$F$2,Nombres!$C$3:$D$636,57,FALSE)</f>
        <v>Otros activos</v>
      </c>
      <c r="B37" s="83">
        <f>+B38-B36-B33-B32-B31</f>
        <v>567.10300000000552</v>
      </c>
      <c r="C37" s="83">
        <f t="shared" ref="C37:I37" si="5">+C38-C36-C33-C32-C31</f>
        <v>661.7499738400038</v>
      </c>
      <c r="D37" s="83">
        <f t="shared" si="5"/>
        <v>779.88500000000181</v>
      </c>
      <c r="E37" s="95">
        <f t="shared" si="5"/>
        <v>814.81093025000382</v>
      </c>
      <c r="F37" s="75">
        <f t="shared" si="5"/>
        <v>1093.692863590001</v>
      </c>
      <c r="G37" s="75">
        <f t="shared" si="5"/>
        <v>0</v>
      </c>
      <c r="H37" s="75">
        <f t="shared" si="5"/>
        <v>0</v>
      </c>
      <c r="I37" s="75">
        <f t="shared" si="5"/>
        <v>0</v>
      </c>
    </row>
    <row r="38" spans="1:9">
      <c r="A38" s="19" t="str">
        <f>HLOOKUP(INDICE!$F$2,Nombres!$C$3:$D$636,58,FALSE)</f>
        <v>Total activo / pasivo</v>
      </c>
      <c r="B38" s="19">
        <v>19800.028000000006</v>
      </c>
      <c r="C38" s="19">
        <v>23432.438973840002</v>
      </c>
      <c r="D38" s="19">
        <v>24496.679000000004</v>
      </c>
      <c r="E38" s="19">
        <v>25642.549930250003</v>
      </c>
      <c r="F38" s="94">
        <v>25322.976863590004</v>
      </c>
      <c r="G38" s="94">
        <v>0</v>
      </c>
      <c r="H38" s="94">
        <v>0</v>
      </c>
      <c r="I38" s="94">
        <v>0</v>
      </c>
    </row>
    <row r="39" spans="1:9">
      <c r="A39" s="17" t="str">
        <f>HLOOKUP(INDICE!$F$2,Nombres!$C$3:$D$636,59,FALSE)</f>
        <v>Pasivos financieros mantenidos para negociar y designados a valor razonable con cambios en resultados</v>
      </c>
      <c r="B39" s="83">
        <v>2021.2240000000002</v>
      </c>
      <c r="C39" s="83">
        <v>3505.1269999999995</v>
      </c>
      <c r="D39" s="83">
        <v>2813.7559999999999</v>
      </c>
      <c r="E39" s="95">
        <v>2923.3540000000003</v>
      </c>
      <c r="F39" s="75">
        <v>2197.5569999999998</v>
      </c>
      <c r="G39" s="75">
        <v>0</v>
      </c>
      <c r="H39" s="75">
        <v>0</v>
      </c>
      <c r="I39" s="75">
        <v>0</v>
      </c>
    </row>
    <row r="40" spans="1:9">
      <c r="A40" s="17" t="str">
        <f>HLOOKUP(INDICE!$F$2,Nombres!$C$3:$D$636,60,FALSE)</f>
        <v>Depósitos de bancos centrales y entidades de crédito</v>
      </c>
      <c r="B40" s="83">
        <v>1125.355</v>
      </c>
      <c r="C40" s="83">
        <v>1302.347</v>
      </c>
      <c r="D40" s="83">
        <v>1139.45699999</v>
      </c>
      <c r="E40" s="95">
        <v>1097.2380000000001</v>
      </c>
      <c r="F40" s="75">
        <v>956.36699999999996</v>
      </c>
      <c r="G40" s="75">
        <v>0</v>
      </c>
      <c r="H40" s="75">
        <v>0</v>
      </c>
      <c r="I40" s="75">
        <v>0</v>
      </c>
    </row>
    <row r="41" spans="1:9" ht="15.75" customHeight="1">
      <c r="A41" s="17" t="str">
        <f>HLOOKUP(INDICE!$F$2,Nombres!$C$3:$D$636,61,FALSE)</f>
        <v>Depósitos de la clientela</v>
      </c>
      <c r="B41" s="83">
        <v>13624.636000000002</v>
      </c>
      <c r="C41" s="83">
        <v>15157.057000000001</v>
      </c>
      <c r="D41" s="83">
        <v>16958.036000010001</v>
      </c>
      <c r="E41" s="95">
        <v>17875.188000000002</v>
      </c>
      <c r="F41" s="75">
        <v>18356.231999999996</v>
      </c>
      <c r="G41" s="75">
        <v>0</v>
      </c>
      <c r="H41" s="75">
        <v>0</v>
      </c>
      <c r="I41" s="75">
        <v>0</v>
      </c>
    </row>
    <row r="42" spans="1:9">
      <c r="A42" s="17" t="str">
        <f>HLOOKUP(INDICE!$F$2,Nombres!$C$3:$D$636,62,FALSE)</f>
        <v>Valores representativos de deuda emitidos</v>
      </c>
      <c r="B42" s="75">
        <v>817.26818937999997</v>
      </c>
      <c r="C42" s="75">
        <v>925.33357393000006</v>
      </c>
      <c r="D42" s="75">
        <v>1052.0208151100001</v>
      </c>
      <c r="E42" s="76">
        <v>1131.0000482800001</v>
      </c>
      <c r="F42" s="75">
        <v>1225.4865692999999</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3">
        <f>+B38-B39-B40-B41-B42-B45</f>
        <v>393.22904546000223</v>
      </c>
      <c r="C44" s="83">
        <f t="shared" ref="C44:I44" si="6">+C38-C39-C40-C41-C42-C45</f>
        <v>476.65283052999939</v>
      </c>
      <c r="D44" s="83">
        <f t="shared" si="6"/>
        <v>328.4740793900005</v>
      </c>
      <c r="E44" s="95">
        <f t="shared" si="6"/>
        <v>371.58601087000079</v>
      </c>
      <c r="F44" s="75">
        <f t="shared" si="6"/>
        <v>195.83210997000788</v>
      </c>
      <c r="G44" s="75">
        <f t="shared" si="6"/>
        <v>0</v>
      </c>
      <c r="H44" s="75">
        <f t="shared" si="6"/>
        <v>0</v>
      </c>
      <c r="I44" s="75">
        <f t="shared" si="6"/>
        <v>0</v>
      </c>
    </row>
    <row r="45" spans="1:9">
      <c r="A45" s="17" t="str">
        <f>HLOOKUP(INDICE!$F$2,Nombres!$C$3:$D$636,282,FALSE)</f>
        <v>Dotación de capital regulatorio</v>
      </c>
      <c r="B45" s="83">
        <v>1818.3157651599997</v>
      </c>
      <c r="C45" s="83">
        <v>2065.9215693800002</v>
      </c>
      <c r="D45" s="83">
        <v>2204.9351054999997</v>
      </c>
      <c r="E45" s="95">
        <v>2244.1838710999996</v>
      </c>
      <c r="F45" s="75">
        <v>2391.5021843200002</v>
      </c>
      <c r="G45" s="75">
        <v>0</v>
      </c>
      <c r="H45" s="75">
        <v>0</v>
      </c>
      <c r="I45" s="75">
        <v>0</v>
      </c>
    </row>
    <row r="46" spans="1:9">
      <c r="A46" s="91"/>
      <c r="B46" s="83"/>
      <c r="C46" s="83"/>
      <c r="D46" s="83"/>
      <c r="E46" s="83"/>
      <c r="F46" s="75"/>
      <c r="G46" s="75"/>
      <c r="H46" s="75"/>
      <c r="I46" s="75"/>
    </row>
    <row r="47" spans="1:9">
      <c r="A47" s="17"/>
      <c r="B47" s="83"/>
      <c r="C47" s="83"/>
      <c r="D47" s="83"/>
      <c r="E47" s="83"/>
      <c r="F47" s="75"/>
      <c r="G47" s="75"/>
      <c r="H47" s="75"/>
      <c r="I47" s="75"/>
    </row>
    <row r="48" spans="1:9" ht="17">
      <c r="A48" s="65" t="str">
        <f>HLOOKUP(INDICE!$F$2,Nombres!$C$3:$D$636,65,FALSE)</f>
        <v>Indicadores relevantes y de gestión</v>
      </c>
      <c r="B48" s="66"/>
      <c r="C48" s="66"/>
      <c r="D48" s="66"/>
      <c r="E48" s="66"/>
      <c r="F48" s="104"/>
      <c r="G48" s="104"/>
      <c r="H48" s="104"/>
      <c r="I48" s="104"/>
    </row>
    <row r="49" spans="1:9">
      <c r="A49" s="67" t="str">
        <f>HLOOKUP(INDICE!$F$2,Nombres!$C$3:$D$636,32,FALSE)</f>
        <v>(Millones de euros)</v>
      </c>
      <c r="B49" s="62"/>
      <c r="C49" s="62"/>
      <c r="D49" s="62"/>
      <c r="E49" s="62"/>
      <c r="F49" s="105"/>
      <c r="G49" s="75"/>
      <c r="H49" s="75"/>
      <c r="I49" s="75"/>
    </row>
    <row r="50" spans="1:9">
      <c r="A50" s="62"/>
      <c r="B50" s="84">
        <f t="shared" ref="B50:I50" si="7">+B$30</f>
        <v>45016</v>
      </c>
      <c r="C50" s="84">
        <f t="shared" si="7"/>
        <v>45107</v>
      </c>
      <c r="D50" s="84">
        <f t="shared" si="7"/>
        <v>45199</v>
      </c>
      <c r="E50" s="98">
        <f t="shared" si="7"/>
        <v>45291</v>
      </c>
      <c r="F50" s="84">
        <f t="shared" si="7"/>
        <v>45382</v>
      </c>
      <c r="G50" s="84">
        <f t="shared" si="7"/>
        <v>45473</v>
      </c>
      <c r="H50" s="84">
        <f t="shared" si="7"/>
        <v>45565</v>
      </c>
      <c r="I50" s="84">
        <f t="shared" si="7"/>
        <v>45657</v>
      </c>
    </row>
    <row r="51" spans="1:9">
      <c r="A51" s="17" t="str">
        <f>HLOOKUP(INDICE!$F$2,Nombres!$C$3:$D$636,66,FALSE)</f>
        <v>Préstamos y anticipos a la clientela bruto (*)</v>
      </c>
      <c r="B51" s="75">
        <v>14363.703000000001</v>
      </c>
      <c r="C51" s="75">
        <v>16266.401</v>
      </c>
      <c r="D51" s="75">
        <v>17291.771000000004</v>
      </c>
      <c r="E51" s="76">
        <v>17842.931999999997</v>
      </c>
      <c r="F51" s="75">
        <v>18161.083999999999</v>
      </c>
      <c r="G51" s="75">
        <v>0</v>
      </c>
      <c r="H51" s="75">
        <v>0</v>
      </c>
      <c r="I51" s="75">
        <v>0</v>
      </c>
    </row>
    <row r="52" spans="1:9">
      <c r="A52" s="17" t="str">
        <f>HLOOKUP(INDICE!$F$2,Nombres!$C$3:$D$636,67,FALSE)</f>
        <v>Depósitos de clientes en gestión (**)</v>
      </c>
      <c r="B52" s="75">
        <v>13624.635999999999</v>
      </c>
      <c r="C52" s="75">
        <v>15157.057000000001</v>
      </c>
      <c r="D52" s="75">
        <v>16958.036000010001</v>
      </c>
      <c r="E52" s="76">
        <v>17875.188000000002</v>
      </c>
      <c r="F52" s="75">
        <v>18356.232</v>
      </c>
      <c r="G52" s="75">
        <v>0</v>
      </c>
      <c r="H52" s="75">
        <v>0</v>
      </c>
      <c r="I52" s="75">
        <v>0</v>
      </c>
    </row>
    <row r="53" spans="1:9">
      <c r="A53" s="17" t="str">
        <f>HLOOKUP(INDICE!$F$2,Nombres!$C$3:$D$636,68,FALSE)</f>
        <v>Fondos de inversión y carteras gestionadas</v>
      </c>
      <c r="B53" s="75">
        <v>2417.3406822600004</v>
      </c>
      <c r="C53" s="75">
        <v>2188.0191006099999</v>
      </c>
      <c r="D53" s="75">
        <v>2189.27407808</v>
      </c>
      <c r="E53" s="76">
        <v>2505.81161711</v>
      </c>
      <c r="F53" s="75">
        <v>2597.7058906000002</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1" t="str">
        <f>HLOOKUP(INDICE!$F$2,Nombres!$C$3:$D$636,71,FALSE)</f>
        <v>(*) No incluye las adquisiciones temporales de activos.</v>
      </c>
      <c r="B56" s="83"/>
      <c r="C56" s="83"/>
      <c r="D56" s="83"/>
      <c r="E56" s="83"/>
      <c r="F56" s="83"/>
      <c r="G56" s="83"/>
      <c r="H56" s="83"/>
      <c r="I56" s="83"/>
    </row>
    <row r="57" spans="1:9">
      <c r="A57" s="91" t="str">
        <f>HLOOKUP(INDICE!$F$2,Nombres!$C$3:$D$636,72,FALSE)</f>
        <v>(**) No incluye las cesiones temporales de activos.</v>
      </c>
      <c r="B57" s="62"/>
      <c r="C57" s="62"/>
      <c r="D57" s="62"/>
      <c r="E57" s="62"/>
      <c r="F57" s="62"/>
      <c r="G57" s="62"/>
      <c r="H57" s="62"/>
      <c r="I57" s="62"/>
    </row>
    <row r="58" spans="1:9">
      <c r="A58" s="91"/>
      <c r="B58" s="62"/>
      <c r="C58" s="62"/>
      <c r="D58" s="62"/>
      <c r="E58" s="62"/>
      <c r="F58" s="62"/>
      <c r="G58" s="62"/>
      <c r="H58" s="62"/>
      <c r="I58" s="62"/>
    </row>
    <row r="59" spans="1:9" ht="17">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c r="A62" s="70"/>
      <c r="B62" s="299">
        <f>+B$6</f>
        <v>2023</v>
      </c>
      <c r="C62" s="299"/>
      <c r="D62" s="299"/>
      <c r="E62" s="300"/>
      <c r="F62" s="299">
        <f>+F$6</f>
        <v>2024</v>
      </c>
      <c r="G62" s="299"/>
      <c r="H62" s="299"/>
      <c r="I62" s="299"/>
    </row>
    <row r="63" spans="1:9">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205.49697915209069</v>
      </c>
      <c r="C64" s="25">
        <v>202.34447384055215</v>
      </c>
      <c r="D64" s="25">
        <v>212.49119925529135</v>
      </c>
      <c r="E64" s="73">
        <v>224.84927001815188</v>
      </c>
      <c r="F64" s="74">
        <v>241.08099999999996</v>
      </c>
      <c r="G64" s="74">
        <v>0</v>
      </c>
      <c r="H64" s="74">
        <v>0</v>
      </c>
      <c r="I64" s="74">
        <v>0</v>
      </c>
    </row>
    <row r="65" spans="1:9">
      <c r="A65" s="17" t="str">
        <f>HLOOKUP(INDICE!$F$2,Nombres!$C$3:$D$636,34,FALSE)</f>
        <v>Comisiones netas</v>
      </c>
      <c r="B65" s="75">
        <v>28.89820712675639</v>
      </c>
      <c r="C65" s="75">
        <v>35.268195897871863</v>
      </c>
      <c r="D65" s="75">
        <v>28.972213920079774</v>
      </c>
      <c r="E65" s="76">
        <v>32.366100506141521</v>
      </c>
      <c r="F65" s="75">
        <v>28.111220879999998</v>
      </c>
      <c r="G65" s="75">
        <v>0</v>
      </c>
      <c r="H65" s="75">
        <v>0</v>
      </c>
      <c r="I65" s="75">
        <v>0</v>
      </c>
    </row>
    <row r="66" spans="1:9">
      <c r="A66" s="17" t="str">
        <f>HLOOKUP(INDICE!$F$2,Nombres!$C$3:$D$636,35,FALSE)</f>
        <v>Resultados de operaciones financieras</v>
      </c>
      <c r="B66" s="75">
        <v>39.348432442013149</v>
      </c>
      <c r="C66" s="75">
        <v>30.065129562682344</v>
      </c>
      <c r="D66" s="75">
        <v>-2.9063449803058425</v>
      </c>
      <c r="E66" s="76">
        <v>35.189403083272012</v>
      </c>
      <c r="F66" s="75">
        <v>25.082216529999997</v>
      </c>
      <c r="G66" s="75">
        <v>0</v>
      </c>
      <c r="H66" s="75">
        <v>0</v>
      </c>
      <c r="I66" s="75">
        <v>0</v>
      </c>
    </row>
    <row r="67" spans="1:9">
      <c r="A67" s="17" t="str">
        <f>HLOOKUP(INDICE!$F$2,Nombres!$C$3:$D$636,36,FALSE)</f>
        <v>Otros ingresos y cargas de explotación</v>
      </c>
      <c r="B67" s="75">
        <v>2.0352298629387775</v>
      </c>
      <c r="C67" s="75">
        <v>-3.4530843009650507</v>
      </c>
      <c r="D67" s="75">
        <v>-9.8384782323245581</v>
      </c>
      <c r="E67" s="76">
        <v>-3.368513790641281</v>
      </c>
      <c r="F67" s="75">
        <v>-2.0599999999999925</v>
      </c>
      <c r="G67" s="75">
        <v>0</v>
      </c>
      <c r="H67" s="75">
        <v>0</v>
      </c>
      <c r="I67" s="75">
        <v>0</v>
      </c>
    </row>
    <row r="68" spans="1:9">
      <c r="A68" s="25" t="str">
        <f>HLOOKUP(INDICE!$F$2,Nombres!$C$3:$D$636,37,FALSE)</f>
        <v>Margen bruto</v>
      </c>
      <c r="B68" s="25">
        <f>+SUM(B64:B67)</f>
        <v>275.778848583799</v>
      </c>
      <c r="C68" s="25">
        <f t="shared" ref="C68:I68" si="9">+SUM(C64:C67)</f>
        <v>264.22471500014132</v>
      </c>
      <c r="D68" s="25">
        <f t="shared" si="9"/>
        <v>228.71858996274074</v>
      </c>
      <c r="E68" s="73">
        <f t="shared" si="9"/>
        <v>289.03625981692414</v>
      </c>
      <c r="F68" s="74">
        <f t="shared" si="9"/>
        <v>292.21443740999996</v>
      </c>
      <c r="G68" s="74">
        <f t="shared" si="9"/>
        <v>0</v>
      </c>
      <c r="H68" s="74">
        <f t="shared" si="9"/>
        <v>0</v>
      </c>
      <c r="I68" s="74">
        <f t="shared" si="9"/>
        <v>0</v>
      </c>
    </row>
    <row r="69" spans="1:9">
      <c r="A69" s="17" t="str">
        <f>HLOOKUP(INDICE!$F$2,Nombres!$C$3:$D$636,38,FALSE)</f>
        <v>Gastos de explotación</v>
      </c>
      <c r="B69" s="75">
        <v>-129.06862429117027</v>
      </c>
      <c r="C69" s="75">
        <v>-116.747373916303</v>
      </c>
      <c r="D69" s="75">
        <v>-126.67905181420521</v>
      </c>
      <c r="E69" s="76">
        <v>-130.18593149507285</v>
      </c>
      <c r="F69" s="75">
        <v>-146.28789684000003</v>
      </c>
      <c r="G69" s="75">
        <v>0</v>
      </c>
      <c r="H69" s="75">
        <v>0</v>
      </c>
      <c r="I69" s="75">
        <v>0</v>
      </c>
    </row>
    <row r="70" spans="1:9">
      <c r="A70" s="17" t="str">
        <f>HLOOKUP(INDICE!$F$2,Nombres!$C$3:$D$636,39,FALSE)</f>
        <v xml:space="preserve">  Gastos de administración</v>
      </c>
      <c r="B70" s="75">
        <v>-120.90248960217522</v>
      </c>
      <c r="C70" s="75">
        <v>-108.84215772422988</v>
      </c>
      <c r="D70" s="75">
        <v>-117.39838303501004</v>
      </c>
      <c r="E70" s="76">
        <v>-121.56914643811641</v>
      </c>
      <c r="F70" s="75">
        <v>-137.29789683999999</v>
      </c>
      <c r="G70" s="75">
        <v>0</v>
      </c>
      <c r="H70" s="75">
        <v>0</v>
      </c>
      <c r="I70" s="75">
        <v>0</v>
      </c>
    </row>
    <row r="71" spans="1:9">
      <c r="A71" s="77" t="str">
        <f>HLOOKUP(INDICE!$F$2,Nombres!$C$3:$D$636,40,FALSE)</f>
        <v xml:space="preserve">  Gastos de personal</v>
      </c>
      <c r="B71" s="75">
        <v>-55.748488074355222</v>
      </c>
      <c r="C71" s="75">
        <v>-47.346450466740208</v>
      </c>
      <c r="D71" s="75">
        <v>-54.828421223413891</v>
      </c>
      <c r="E71" s="76">
        <v>-54.735878109271638</v>
      </c>
      <c r="F71" s="75">
        <v>-62.347601510000004</v>
      </c>
      <c r="G71" s="75">
        <v>0</v>
      </c>
      <c r="H71" s="75">
        <v>0</v>
      </c>
      <c r="I71" s="75">
        <v>0</v>
      </c>
    </row>
    <row r="72" spans="1:9">
      <c r="A72" s="77" t="str">
        <f>HLOOKUP(INDICE!$F$2,Nombres!$C$3:$D$636,41,FALSE)</f>
        <v xml:space="preserve">  Otros gastos de administración</v>
      </c>
      <c r="B72" s="75">
        <v>-65.154001527819986</v>
      </c>
      <c r="C72" s="75">
        <v>-61.495707257489691</v>
      </c>
      <c r="D72" s="75">
        <v>-62.569961811596137</v>
      </c>
      <c r="E72" s="76">
        <v>-66.833268328844781</v>
      </c>
      <c r="F72" s="75">
        <v>-74.950295330000003</v>
      </c>
      <c r="G72" s="75">
        <v>0</v>
      </c>
      <c r="H72" s="75">
        <v>0</v>
      </c>
      <c r="I72" s="75">
        <v>0</v>
      </c>
    </row>
    <row r="73" spans="1:9">
      <c r="A73" s="17" t="str">
        <f>HLOOKUP(INDICE!$F$2,Nombres!$C$3:$D$636,42,FALSE)</f>
        <v xml:space="preserve">  Amortización</v>
      </c>
      <c r="B73" s="75">
        <v>-8.1661346889950508</v>
      </c>
      <c r="C73" s="75">
        <v>-7.9052161920731043</v>
      </c>
      <c r="D73" s="75">
        <v>-9.2806687791951639</v>
      </c>
      <c r="E73" s="76">
        <v>-8.6167850569564308</v>
      </c>
      <c r="F73" s="75">
        <v>-8.99</v>
      </c>
      <c r="G73" s="75">
        <v>0</v>
      </c>
      <c r="H73" s="75">
        <v>0</v>
      </c>
      <c r="I73" s="75">
        <v>0</v>
      </c>
    </row>
    <row r="74" spans="1:9">
      <c r="A74" s="25" t="str">
        <f>HLOOKUP(INDICE!$F$2,Nombres!$C$3:$D$636,43,FALSE)</f>
        <v>Margen neto</v>
      </c>
      <c r="B74" s="25">
        <f>+B68+B69</f>
        <v>146.71022429262874</v>
      </c>
      <c r="C74" s="25">
        <f t="shared" ref="C74:I74" si="10">+C68+C69</f>
        <v>147.47734108383833</v>
      </c>
      <c r="D74" s="25">
        <f t="shared" si="10"/>
        <v>102.03953814853553</v>
      </c>
      <c r="E74" s="73">
        <f t="shared" si="10"/>
        <v>158.85032832185129</v>
      </c>
      <c r="F74" s="74">
        <f t="shared" si="10"/>
        <v>145.92654056999993</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-72.540635362585931</v>
      </c>
      <c r="C75" s="75">
        <v>-85.3231610714206</v>
      </c>
      <c r="D75" s="75">
        <v>-96.624566079806272</v>
      </c>
      <c r="E75" s="76">
        <v>-117.49204966093338</v>
      </c>
      <c r="F75" s="75">
        <v>-127.024</v>
      </c>
      <c r="G75" s="75">
        <v>0</v>
      </c>
      <c r="H75" s="75">
        <v>0</v>
      </c>
      <c r="I75" s="75">
        <v>0</v>
      </c>
    </row>
    <row r="76" spans="1:9">
      <c r="A76" s="17" t="str">
        <f>HLOOKUP(INDICE!$F$2,Nombres!$C$3:$D$636,45,FALSE)</f>
        <v>Provisiones o reversión de provisiones y otros resultados</v>
      </c>
      <c r="B76" s="75">
        <v>-1.6882201694937575</v>
      </c>
      <c r="C76" s="75">
        <v>9.4018150957107594</v>
      </c>
      <c r="D76" s="75">
        <v>-0.27152146046718584</v>
      </c>
      <c r="E76" s="76">
        <v>-18.346631793528289</v>
      </c>
      <c r="F76" s="75">
        <v>-1.5809999999999995</v>
      </c>
      <c r="G76" s="75">
        <v>0</v>
      </c>
      <c r="H76" s="75">
        <v>0</v>
      </c>
      <c r="I76" s="75">
        <v>0</v>
      </c>
    </row>
    <row r="77" spans="1:9">
      <c r="A77" s="25" t="str">
        <f>HLOOKUP(INDICE!$F$2,Nombres!$C$3:$D$636,46,FALSE)</f>
        <v>Resultado antes de impuestos</v>
      </c>
      <c r="B77" s="25">
        <f>+B74+B75+B76</f>
        <v>72.481368760549046</v>
      </c>
      <c r="C77" s="25">
        <f t="shared" ref="C77:I77" si="11">+C74+C75+C76</f>
        <v>71.555995108128485</v>
      </c>
      <c r="D77" s="25">
        <f t="shared" si="11"/>
        <v>5.1434506082620697</v>
      </c>
      <c r="E77" s="73">
        <f t="shared" si="11"/>
        <v>23.011646867389629</v>
      </c>
      <c r="F77" s="74">
        <f t="shared" si="11"/>
        <v>17.321540569999929</v>
      </c>
      <c r="G77" s="74">
        <f t="shared" si="11"/>
        <v>0</v>
      </c>
      <c r="H77" s="74">
        <f t="shared" si="11"/>
        <v>0</v>
      </c>
      <c r="I77" s="74">
        <f t="shared" si="11"/>
        <v>0</v>
      </c>
    </row>
    <row r="78" spans="1:9">
      <c r="A78" s="17" t="str">
        <f>HLOOKUP(INDICE!$F$2,Nombres!$C$3:$D$636,47,FALSE)</f>
        <v>Impuesto sobre beneficios</v>
      </c>
      <c r="B78" s="75">
        <v>-26.16690578887745</v>
      </c>
      <c r="C78" s="75">
        <v>-11.960597237254005</v>
      </c>
      <c r="D78" s="75">
        <v>8.3448398850352081</v>
      </c>
      <c r="E78" s="76">
        <v>7.0284570064742473</v>
      </c>
      <c r="F78" s="75">
        <v>1.6473176100000027</v>
      </c>
      <c r="G78" s="75">
        <v>0</v>
      </c>
      <c r="H78" s="75">
        <v>0</v>
      </c>
      <c r="I78" s="75">
        <v>0</v>
      </c>
    </row>
    <row r="79" spans="1:9">
      <c r="A79" s="25" t="str">
        <f>HLOOKUP(INDICE!$F$2,Nombres!$C$3:$D$636,48,FALSE)</f>
        <v>Resultado del ejercicio</v>
      </c>
      <c r="B79" s="25">
        <f>+B77+B78</f>
        <v>46.314462971671595</v>
      </c>
      <c r="C79" s="25">
        <f t="shared" ref="C79:I79" si="12">+C77+C78</f>
        <v>59.595397870874478</v>
      </c>
      <c r="D79" s="25">
        <f t="shared" si="12"/>
        <v>13.488290493297278</v>
      </c>
      <c r="E79" s="73">
        <f t="shared" si="12"/>
        <v>30.040103873863877</v>
      </c>
      <c r="F79" s="74">
        <f t="shared" si="12"/>
        <v>18.968858179999931</v>
      </c>
      <c r="G79" s="74">
        <f t="shared" si="12"/>
        <v>0</v>
      </c>
      <c r="H79" s="74">
        <f t="shared" si="12"/>
        <v>0</v>
      </c>
      <c r="I79" s="74">
        <f t="shared" si="12"/>
        <v>0</v>
      </c>
    </row>
    <row r="80" spans="1:9">
      <c r="A80" s="17" t="str">
        <f>HLOOKUP(INDICE!$F$2,Nombres!$C$3:$D$636,49,FALSE)</f>
        <v>Minoritarios</v>
      </c>
      <c r="B80" s="75">
        <v>1.5584323964303357</v>
      </c>
      <c r="C80" s="75">
        <v>1.9179960079433864</v>
      </c>
      <c r="D80" s="75">
        <v>3.2424575626524037</v>
      </c>
      <c r="E80" s="76">
        <v>11.513194768946256</v>
      </c>
      <c r="F80" s="75">
        <v>0.74632300000000029</v>
      </c>
      <c r="G80" s="75">
        <v>0</v>
      </c>
      <c r="H80" s="75">
        <v>0</v>
      </c>
      <c r="I80" s="75">
        <v>0</v>
      </c>
    </row>
    <row r="81" spans="1:9">
      <c r="A81" s="19" t="str">
        <f>HLOOKUP(INDICE!$F$2,Nombres!$C$3:$D$636,50,FALSE)</f>
        <v>Resultado atribuido</v>
      </c>
      <c r="B81" s="19">
        <f>+B79+B80</f>
        <v>47.872895368101929</v>
      </c>
      <c r="C81" s="19">
        <f t="shared" ref="C81:I81" si="13">+C79+C80</f>
        <v>61.513393878817865</v>
      </c>
      <c r="D81" s="19">
        <f t="shared" si="13"/>
        <v>16.730748055949682</v>
      </c>
      <c r="E81" s="19">
        <f t="shared" si="13"/>
        <v>41.553298642810134</v>
      </c>
      <c r="F81" s="94">
        <f t="shared" si="13"/>
        <v>19.715181179999931</v>
      </c>
      <c r="G81" s="94">
        <f t="shared" si="13"/>
        <v>0</v>
      </c>
      <c r="H81" s="94">
        <f t="shared" si="13"/>
        <v>0</v>
      </c>
      <c r="I81" s="94">
        <f t="shared" si="13"/>
        <v>0</v>
      </c>
    </row>
    <row r="82" spans="1:9">
      <c r="A82" s="91"/>
      <c r="B82" s="99">
        <v>0</v>
      </c>
      <c r="C82" s="99">
        <v>0</v>
      </c>
      <c r="D82" s="99">
        <v>4.2632564145606011E-14</v>
      </c>
      <c r="E82" s="99">
        <v>0</v>
      </c>
      <c r="F82" s="99">
        <v>-4.9737991503207013E-14</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1837.1230184990011</v>
      </c>
      <c r="C87" s="75">
        <v>2337.6277933075658</v>
      </c>
      <c r="D87" s="75">
        <v>2039.6148314509085</v>
      </c>
      <c r="E87" s="76">
        <v>2089.4161857878225</v>
      </c>
      <c r="F87" s="75">
        <v>1813.8790000000001</v>
      </c>
      <c r="G87" s="75">
        <v>0</v>
      </c>
      <c r="H87" s="75">
        <v>0</v>
      </c>
      <c r="I87" s="75">
        <v>0</v>
      </c>
    </row>
    <row r="88" spans="1:9">
      <c r="A88" s="17" t="str">
        <f>HLOOKUP(INDICE!$F$2,Nombres!$C$3:$D$636,53,FALSE)</f>
        <v>Activos financieros a valor razonable</v>
      </c>
      <c r="B88" s="83">
        <v>3862.9983564979079</v>
      </c>
      <c r="C88" s="83">
        <v>4588.4796755432099</v>
      </c>
      <c r="D88" s="83">
        <v>4405.4373311353138</v>
      </c>
      <c r="E88" s="95">
        <v>4734.6367708678854</v>
      </c>
      <c r="F88" s="75">
        <v>3968.6059999999998</v>
      </c>
      <c r="G88" s="75">
        <v>0</v>
      </c>
      <c r="H88" s="75">
        <v>0</v>
      </c>
      <c r="I88" s="75">
        <v>0</v>
      </c>
    </row>
    <row r="89" spans="1:9">
      <c r="A89" s="17" t="str">
        <f>HLOOKUP(INDICE!$F$2,Nombres!$C$3:$D$636,54,FALSE)</f>
        <v>Activos financieros a coste amortizado</v>
      </c>
      <c r="B89" s="75">
        <v>17494.453188956544</v>
      </c>
      <c r="C89" s="75">
        <v>17936.070346233224</v>
      </c>
      <c r="D89" s="75">
        <v>18166.616618140921</v>
      </c>
      <c r="E89" s="76">
        <v>18307.728041941689</v>
      </c>
      <c r="F89" s="75">
        <v>18338.873000000003</v>
      </c>
      <c r="G89" s="75">
        <v>0</v>
      </c>
      <c r="H89" s="75">
        <v>0</v>
      </c>
      <c r="I89" s="75">
        <v>0</v>
      </c>
    </row>
    <row r="90" spans="1:9">
      <c r="A90" s="17" t="str">
        <f>HLOOKUP(INDICE!$F$2,Nombres!$C$3:$D$636,55,FALSE)</f>
        <v xml:space="preserve">    de los que préstamos y anticipos a la clientela</v>
      </c>
      <c r="B90" s="75">
        <v>16603.977385215589</v>
      </c>
      <c r="C90" s="75">
        <v>17031.200028485753</v>
      </c>
      <c r="D90" s="75">
        <v>17207.882749255146</v>
      </c>
      <c r="E90" s="76">
        <v>17338.169306728341</v>
      </c>
      <c r="F90" s="75">
        <v>17339.941999999999</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104.69508830075328</v>
      </c>
      <c r="C92" s="75">
        <v>103.04283117822897</v>
      </c>
      <c r="D92" s="75">
        <v>100.53453840542304</v>
      </c>
      <c r="E92" s="76">
        <v>111.08584589852427</v>
      </c>
      <c r="F92" s="75">
        <v>107.92600000000002</v>
      </c>
      <c r="G92" s="75">
        <v>0</v>
      </c>
      <c r="H92" s="75">
        <v>0</v>
      </c>
      <c r="I92" s="75">
        <v>0</v>
      </c>
    </row>
    <row r="93" spans="1:9">
      <c r="A93" s="17" t="str">
        <f>HLOOKUP(INDICE!$F$2,Nombres!$C$3:$D$636,57,FALSE)</f>
        <v>Otros activos</v>
      </c>
      <c r="B93" s="83">
        <f>+B94-B92-B89-B88-B87</f>
        <v>687.00344422922467</v>
      </c>
      <c r="C93" s="83">
        <f t="shared" ref="C93:I93" si="15">+C94-C92-C89-C88-C87</f>
        <v>725.52631629082362</v>
      </c>
      <c r="D93" s="83">
        <f t="shared" si="15"/>
        <v>812.61728231655957</v>
      </c>
      <c r="E93" s="95">
        <f t="shared" si="15"/>
        <v>828.43483314129571</v>
      </c>
      <c r="F93" s="75">
        <f t="shared" si="15"/>
        <v>1093.692863590001</v>
      </c>
      <c r="G93" s="75">
        <f t="shared" si="15"/>
        <v>0</v>
      </c>
      <c r="H93" s="75">
        <f t="shared" si="15"/>
        <v>0</v>
      </c>
      <c r="I93" s="75">
        <f t="shared" si="15"/>
        <v>0</v>
      </c>
    </row>
    <row r="94" spans="1:9">
      <c r="A94" s="19" t="str">
        <f>HLOOKUP(INDICE!$F$2,Nombres!$C$3:$D$636,58,FALSE)</f>
        <v>Total activo / pasivo</v>
      </c>
      <c r="B94" s="19">
        <v>23986.27309648343</v>
      </c>
      <c r="C94" s="19">
        <v>25690.746962553054</v>
      </c>
      <c r="D94" s="19">
        <v>25524.820601449126</v>
      </c>
      <c r="E94" s="19">
        <v>26071.301677637217</v>
      </c>
      <c r="F94" s="94">
        <v>25322.976863590004</v>
      </c>
      <c r="G94" s="94">
        <v>0</v>
      </c>
      <c r="H94" s="94">
        <v>0</v>
      </c>
      <c r="I94" s="94">
        <v>0</v>
      </c>
    </row>
    <row r="95" spans="1:9">
      <c r="A95" s="17" t="str">
        <f>HLOOKUP(INDICE!$F$2,Nombres!$C$3:$D$636,59,FALSE)</f>
        <v>Pasivos financieros mantenidos para negociar y designados a valor razonable con cambios en resultados</v>
      </c>
      <c r="B95" s="83">
        <v>2448.5637521909885</v>
      </c>
      <c r="C95" s="83">
        <v>3842.9346142389986</v>
      </c>
      <c r="D95" s="83">
        <v>2931.8511752654749</v>
      </c>
      <c r="E95" s="95">
        <v>2972.2334265445816</v>
      </c>
      <c r="F95" s="75">
        <v>2197.5569999999998</v>
      </c>
      <c r="G95" s="75">
        <v>0</v>
      </c>
      <c r="H95" s="75">
        <v>0</v>
      </c>
      <c r="I95" s="75">
        <v>0</v>
      </c>
    </row>
    <row r="96" spans="1:9">
      <c r="A96" s="17" t="str">
        <f>HLOOKUP(INDICE!$F$2,Nombres!$C$3:$D$636,60,FALSE)</f>
        <v>Depósitos de bancos centrales y entidades de crédito</v>
      </c>
      <c r="B96" s="83">
        <v>1363.2845549760393</v>
      </c>
      <c r="C96" s="83">
        <v>1427.8610635364475</v>
      </c>
      <c r="D96" s="83">
        <v>1187.2807537629965</v>
      </c>
      <c r="E96" s="95">
        <v>1115.5841750519862</v>
      </c>
      <c r="F96" s="75">
        <v>956.36699999999996</v>
      </c>
      <c r="G96" s="75">
        <v>0</v>
      </c>
      <c r="H96" s="75">
        <v>0</v>
      </c>
      <c r="I96" s="75">
        <v>0</v>
      </c>
    </row>
    <row r="97" spans="1:9">
      <c r="A97" s="17" t="str">
        <f>HLOOKUP(INDICE!$F$2,Nombres!$C$3:$D$636,61,FALSE)</f>
        <v>Depósitos de la clientela</v>
      </c>
      <c r="B97" s="83">
        <v>16505.241302496121</v>
      </c>
      <c r="C97" s="83">
        <v>16617.822690959132</v>
      </c>
      <c r="D97" s="83">
        <v>17669.775835866207</v>
      </c>
      <c r="E97" s="95">
        <v>18174.066937965294</v>
      </c>
      <c r="F97" s="75">
        <v>18356.231999999996</v>
      </c>
      <c r="G97" s="75">
        <v>0</v>
      </c>
      <c r="H97" s="75">
        <v>0</v>
      </c>
      <c r="I97" s="75">
        <v>0</v>
      </c>
    </row>
    <row r="98" spans="1:9">
      <c r="A98" s="17" t="str">
        <f>HLOOKUP(INDICE!$F$2,Nombres!$C$3:$D$636,62,FALSE)</f>
        <v>Valores representativos de deuda emitidos</v>
      </c>
      <c r="B98" s="75">
        <v>990.06011423505151</v>
      </c>
      <c r="C98" s="75">
        <v>1014.5128610099086</v>
      </c>
      <c r="D98" s="75">
        <v>1096.1748151524143</v>
      </c>
      <c r="E98" s="76">
        <v>1149.9107357238813</v>
      </c>
      <c r="F98" s="75">
        <v>1225.4865692999999</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476.36797654392194</v>
      </c>
      <c r="C100" s="83">
        <f t="shared" ref="C100:I100" si="16">+C94-C95-C96-C97-C98-C101</f>
        <v>522.59038300715793</v>
      </c>
      <c r="D100" s="83">
        <f t="shared" si="16"/>
        <v>342.2603508277989</v>
      </c>
      <c r="E100" s="95">
        <f t="shared" si="16"/>
        <v>377.79904942889289</v>
      </c>
      <c r="F100" s="75">
        <f t="shared" si="16"/>
        <v>195.83210997000788</v>
      </c>
      <c r="G100" s="75">
        <f t="shared" si="16"/>
        <v>0</v>
      </c>
      <c r="H100" s="75">
        <f t="shared" si="16"/>
        <v>0</v>
      </c>
      <c r="I100" s="75">
        <f t="shared" si="16"/>
        <v>0</v>
      </c>
    </row>
    <row r="101" spans="1:9">
      <c r="A101" s="17" t="str">
        <f>HLOOKUP(INDICE!$F$2,Nombres!$C$3:$D$636,282,FALSE)</f>
        <v>Dotación de capital regulatorio</v>
      </c>
      <c r="B101" s="83">
        <v>2202.7553960413088</v>
      </c>
      <c r="C101" s="83">
        <v>2265.0253498014072</v>
      </c>
      <c r="D101" s="83">
        <v>2297.4776705742361</v>
      </c>
      <c r="E101" s="95">
        <v>2281.70735292258</v>
      </c>
      <c r="F101" s="75">
        <v>2391.5021843200002</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17400.566445399894</v>
      </c>
      <c r="C107" s="75">
        <v>17834.080035328781</v>
      </c>
      <c r="D107" s="75">
        <v>18017.517911564286</v>
      </c>
      <c r="E107" s="76">
        <v>18141.27160718885</v>
      </c>
      <c r="F107" s="75">
        <v>18161.083999999999</v>
      </c>
      <c r="G107" s="75">
        <v>0</v>
      </c>
      <c r="H107" s="75">
        <v>0</v>
      </c>
      <c r="I107" s="75">
        <v>0</v>
      </c>
    </row>
    <row r="108" spans="1:9">
      <c r="A108" s="17" t="str">
        <f>HLOOKUP(INDICE!$F$2,Nombres!$C$3:$D$636,67,FALSE)</f>
        <v>Depósitos de clientes en gestión (**)</v>
      </c>
      <c r="B108" s="75">
        <v>16505.241302496121</v>
      </c>
      <c r="C108" s="75">
        <v>16617.822690959132</v>
      </c>
      <c r="D108" s="75">
        <v>17669.775835866207</v>
      </c>
      <c r="E108" s="76">
        <v>18174.06693796529</v>
      </c>
      <c r="F108" s="75">
        <v>18356.232</v>
      </c>
      <c r="G108" s="75">
        <v>0</v>
      </c>
      <c r="H108" s="75">
        <v>0</v>
      </c>
      <c r="I108" s="75">
        <v>0</v>
      </c>
    </row>
    <row r="109" spans="1:9">
      <c r="A109" s="17" t="str">
        <f>HLOOKUP(INDICE!$F$2,Nombres!$C$3:$D$636,68,FALSE)</f>
        <v>Fondos de inversión y carteras gestionadas</v>
      </c>
      <c r="B109" s="75">
        <v>2928.4298876712674</v>
      </c>
      <c r="C109" s="75">
        <v>2398.8900654242348</v>
      </c>
      <c r="D109" s="75">
        <v>2281.1593396147668</v>
      </c>
      <c r="E109" s="76">
        <v>2547.7095996578159</v>
      </c>
      <c r="F109" s="75">
        <v>2597.7058906000002</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HLOOKUP(INDICE!$F$2,Nombres!$C$3:$D$636,75,FALSE)</f>
        <v>(Millones de pesos colombianos)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874129.25833474821</v>
      </c>
      <c r="C120" s="25">
        <v>860719.34281559079</v>
      </c>
      <c r="D120" s="25">
        <v>903880.80240448331</v>
      </c>
      <c r="E120" s="73">
        <v>956448.73442450713</v>
      </c>
      <c r="F120" s="74">
        <v>1025494.1780561709</v>
      </c>
      <c r="G120" s="74">
        <v>0</v>
      </c>
      <c r="H120" s="74">
        <v>0</v>
      </c>
      <c r="I120" s="74">
        <v>0</v>
      </c>
    </row>
    <row r="121" spans="1:9">
      <c r="A121" s="17" t="str">
        <f>HLOOKUP(INDICE!$F$2,Nombres!$C$3:$D$636,34,FALSE)</f>
        <v>Comisiones netas</v>
      </c>
      <c r="B121" s="75">
        <v>122925.25402147009</v>
      </c>
      <c r="C121" s="75">
        <v>150021.48474501155</v>
      </c>
      <c r="D121" s="75">
        <v>123240.05915206822</v>
      </c>
      <c r="E121" s="76">
        <v>137676.7461368962</v>
      </c>
      <c r="F121" s="75">
        <v>119577.62474226952</v>
      </c>
      <c r="G121" s="75">
        <v>0</v>
      </c>
      <c r="H121" s="75">
        <v>0</v>
      </c>
      <c r="I121" s="75">
        <v>0</v>
      </c>
    </row>
    <row r="122" spans="1:9">
      <c r="A122" s="17" t="str">
        <f>HLOOKUP(INDICE!$F$2,Nombres!$C$3:$D$636,35,FALSE)</f>
        <v>Resultados de operaciones financieras</v>
      </c>
      <c r="B122" s="75">
        <v>167377.72111830069</v>
      </c>
      <c r="C122" s="75">
        <v>127889.03036338506</v>
      </c>
      <c r="D122" s="75">
        <v>-12362.815222794154</v>
      </c>
      <c r="E122" s="76">
        <v>149686.32115831319</v>
      </c>
      <c r="F122" s="75">
        <v>106693.04932474671</v>
      </c>
      <c r="G122" s="75">
        <v>0</v>
      </c>
      <c r="H122" s="75">
        <v>0</v>
      </c>
      <c r="I122" s="75">
        <v>0</v>
      </c>
    </row>
    <row r="123" spans="1:9">
      <c r="A123" s="17" t="str">
        <f>HLOOKUP(INDICE!$F$2,Nombres!$C$3:$D$636,36,FALSE)</f>
        <v>Otros ingresos y cargas de explotación</v>
      </c>
      <c r="B123" s="75">
        <v>8657.3241999567363</v>
      </c>
      <c r="C123" s="75">
        <v>-14688.498251528832</v>
      </c>
      <c r="D123" s="75">
        <v>-41850.258411825089</v>
      </c>
      <c r="E123" s="76">
        <v>-14328.757890520492</v>
      </c>
      <c r="F123" s="75">
        <v>-8762.6897465818947</v>
      </c>
      <c r="G123" s="75">
        <v>0</v>
      </c>
      <c r="H123" s="75">
        <v>0</v>
      </c>
      <c r="I123" s="75">
        <v>0</v>
      </c>
    </row>
    <row r="124" spans="1:9">
      <c r="A124" s="25" t="str">
        <f>HLOOKUP(INDICE!$F$2,Nombres!$C$3:$D$636,37,FALSE)</f>
        <v>Margen bruto</v>
      </c>
      <c r="B124" s="25">
        <f>+SUM(B120:B123)</f>
        <v>1173089.5576744759</v>
      </c>
      <c r="C124" s="25">
        <f t="shared" ref="C124:I124" si="19">+SUM(C120:C123)</f>
        <v>1123941.3596724584</v>
      </c>
      <c r="D124" s="25">
        <f t="shared" si="19"/>
        <v>972907.78792193229</v>
      </c>
      <c r="E124" s="73">
        <f t="shared" si="19"/>
        <v>1229483.0438291961</v>
      </c>
      <c r="F124" s="74">
        <f t="shared" si="19"/>
        <v>1243002.1623766052</v>
      </c>
      <c r="G124" s="74">
        <f t="shared" si="19"/>
        <v>0</v>
      </c>
      <c r="H124" s="74">
        <f t="shared" si="19"/>
        <v>0</v>
      </c>
      <c r="I124" s="74">
        <f t="shared" si="19"/>
        <v>0</v>
      </c>
    </row>
    <row r="125" spans="1:9">
      <c r="A125" s="17" t="str">
        <f>HLOOKUP(INDICE!$F$2,Nombres!$C$3:$D$636,38,FALSE)</f>
        <v>Gastos de explotación</v>
      </c>
      <c r="B125" s="75">
        <v>-549023.45178721857</v>
      </c>
      <c r="C125" s="75">
        <v>-496612.14386250102</v>
      </c>
      <c r="D125" s="75">
        <v>-538858.84875682229</v>
      </c>
      <c r="E125" s="76">
        <v>-553776.17818499496</v>
      </c>
      <c r="F125" s="75">
        <v>-622269.63771305815</v>
      </c>
      <c r="G125" s="75">
        <v>0</v>
      </c>
      <c r="H125" s="75">
        <v>0</v>
      </c>
      <c r="I125" s="75">
        <v>0</v>
      </c>
    </row>
    <row r="126" spans="1:9">
      <c r="A126" s="17" t="str">
        <f>HLOOKUP(INDICE!$F$2,Nombres!$C$3:$D$636,39,FALSE)</f>
        <v xml:space="preserve">  Gastos de administración</v>
      </c>
      <c r="B126" s="75">
        <v>-514286.89610349823</v>
      </c>
      <c r="C126" s="75">
        <v>-462985.46576988348</v>
      </c>
      <c r="D126" s="75">
        <v>-499381.36276028038</v>
      </c>
      <c r="E126" s="76">
        <v>-517122.67621067836</v>
      </c>
      <c r="F126" s="75">
        <v>-584028.57906171284</v>
      </c>
      <c r="G126" s="75">
        <v>0</v>
      </c>
      <c r="H126" s="75">
        <v>0</v>
      </c>
      <c r="I126" s="75">
        <v>0</v>
      </c>
    </row>
    <row r="127" spans="1:9">
      <c r="A127" s="77" t="str">
        <f>HLOOKUP(INDICE!$F$2,Nombres!$C$3:$D$636,40,FALSE)</f>
        <v xml:space="preserve">  Gastos de personal</v>
      </c>
      <c r="B127" s="75">
        <v>-237139.17710514384</v>
      </c>
      <c r="C127" s="75">
        <v>-201399.15341842355</v>
      </c>
      <c r="D127" s="75">
        <v>-233225.45848334112</v>
      </c>
      <c r="E127" s="76">
        <v>-232831.80479527765</v>
      </c>
      <c r="F127" s="75">
        <v>-265210.04294934543</v>
      </c>
      <c r="G127" s="75">
        <v>0</v>
      </c>
      <c r="H127" s="75">
        <v>0</v>
      </c>
      <c r="I127" s="75">
        <v>0</v>
      </c>
    </row>
    <row r="128" spans="1:9">
      <c r="A128" s="77" t="str">
        <f>HLOOKUP(INDICE!$F$2,Nombres!$C$3:$D$636,41,FALSE)</f>
        <v xml:space="preserve">  Otros gastos de administración</v>
      </c>
      <c r="B128" s="75">
        <v>-277147.71899835445</v>
      </c>
      <c r="C128" s="75">
        <v>-261586.31235145996</v>
      </c>
      <c r="D128" s="75">
        <v>-266155.90427693928</v>
      </c>
      <c r="E128" s="76">
        <v>-284290.87141540064</v>
      </c>
      <c r="F128" s="75">
        <v>-318818.53611236741</v>
      </c>
      <c r="G128" s="75">
        <v>0</v>
      </c>
      <c r="H128" s="75">
        <v>0</v>
      </c>
      <c r="I128" s="75">
        <v>0</v>
      </c>
    </row>
    <row r="129" spans="1:9">
      <c r="A129" s="17" t="str">
        <f>HLOOKUP(INDICE!$F$2,Nombres!$C$3:$D$636,42,FALSE)</f>
        <v xml:space="preserve">  Amortización</v>
      </c>
      <c r="B129" s="75">
        <v>-34736.555683720275</v>
      </c>
      <c r="C129" s="75">
        <v>-33626.6780926176</v>
      </c>
      <c r="D129" s="75">
        <v>-39477.48599654188</v>
      </c>
      <c r="E129" s="76">
        <v>-36653.501974316678</v>
      </c>
      <c r="F129" s="75">
        <v>-38241.058651345309</v>
      </c>
      <c r="G129" s="75">
        <v>0</v>
      </c>
      <c r="H129" s="75">
        <v>0</v>
      </c>
      <c r="I129" s="75">
        <v>0</v>
      </c>
    </row>
    <row r="130" spans="1:9">
      <c r="A130" s="25" t="str">
        <f>HLOOKUP(INDICE!$F$2,Nombres!$C$3:$D$636,43,FALSE)</f>
        <v>Margen neto</v>
      </c>
      <c r="B130" s="25">
        <f>+B124+B125</f>
        <v>624066.10588725738</v>
      </c>
      <c r="C130" s="25">
        <f t="shared" ref="C130:I130" si="20">+C124+C125</f>
        <v>627329.21580995736</v>
      </c>
      <c r="D130" s="25">
        <f t="shared" si="20"/>
        <v>434048.93916511</v>
      </c>
      <c r="E130" s="73">
        <f t="shared" si="20"/>
        <v>675706.86564420117</v>
      </c>
      <c r="F130" s="74">
        <f t="shared" si="20"/>
        <v>620732.52466354705</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-308568.48626323725</v>
      </c>
      <c r="C131" s="75">
        <v>-362941.93624587078</v>
      </c>
      <c r="D131" s="75">
        <v>-411015.09439584683</v>
      </c>
      <c r="E131" s="76">
        <v>-499779.79556735582</v>
      </c>
      <c r="F131" s="75">
        <v>-540326.16619894188</v>
      </c>
      <c r="G131" s="75">
        <v>0</v>
      </c>
      <c r="H131" s="75">
        <v>0</v>
      </c>
      <c r="I131" s="75">
        <v>0</v>
      </c>
    </row>
    <row r="132" spans="1:9">
      <c r="A132" s="17" t="str">
        <f>HLOOKUP(INDICE!$F$2,Nombres!$C$3:$D$636,45,FALSE)</f>
        <v>Provisiones o reversión de provisiones y otros resultados</v>
      </c>
      <c r="B132" s="75">
        <v>-7181.2376549493774</v>
      </c>
      <c r="C132" s="75">
        <v>39992.810067205646</v>
      </c>
      <c r="D132" s="75">
        <v>-1154.9797658314392</v>
      </c>
      <c r="E132" s="76">
        <v>-78041.671020128153</v>
      </c>
      <c r="F132" s="75">
        <v>-6725.1516938572759</v>
      </c>
      <c r="G132" s="75">
        <v>0</v>
      </c>
      <c r="H132" s="75">
        <v>0</v>
      </c>
      <c r="I132" s="75">
        <v>0</v>
      </c>
    </row>
    <row r="133" spans="1:9">
      <c r="A133" s="25" t="str">
        <f>HLOOKUP(INDICE!$F$2,Nombres!$C$3:$D$636,46,FALSE)</f>
        <v>Resultado antes de impuestos</v>
      </c>
      <c r="B133" s="25">
        <f>+B130+B131+B132</f>
        <v>308316.38196907076</v>
      </c>
      <c r="C133" s="25">
        <f t="shared" ref="C133:I133" si="21">+C130+C131+C132</f>
        <v>304380.08963129221</v>
      </c>
      <c r="D133" s="25">
        <f t="shared" si="21"/>
        <v>21878.865003431736</v>
      </c>
      <c r="E133" s="73">
        <f t="shared" si="21"/>
        <v>97885.3990567172</v>
      </c>
      <c r="F133" s="74">
        <f t="shared" si="21"/>
        <v>73681.2067707479</v>
      </c>
      <c r="G133" s="74">
        <f t="shared" si="21"/>
        <v>0</v>
      </c>
      <c r="H133" s="74">
        <f t="shared" si="21"/>
        <v>0</v>
      </c>
      <c r="I133" s="74">
        <f t="shared" si="21"/>
        <v>0</v>
      </c>
    </row>
    <row r="134" spans="1:9">
      <c r="A134" s="17" t="str">
        <f>HLOOKUP(INDICE!$F$2,Nombres!$C$3:$D$636,47,FALSE)</f>
        <v>Impuesto sobre beneficios</v>
      </c>
      <c r="B134" s="75">
        <v>-111307.02769707335</v>
      </c>
      <c r="C134" s="75">
        <v>-50877.185812563883</v>
      </c>
      <c r="D134" s="75">
        <v>35496.719853138697</v>
      </c>
      <c r="E134" s="76">
        <v>29897.178711128116</v>
      </c>
      <c r="F134" s="75">
        <v>7007.2490924809827</v>
      </c>
      <c r="G134" s="75">
        <v>0</v>
      </c>
      <c r="H134" s="75">
        <v>0</v>
      </c>
      <c r="I134" s="75">
        <v>0</v>
      </c>
    </row>
    <row r="135" spans="1:9">
      <c r="A135" s="25" t="str">
        <f>HLOOKUP(INDICE!$F$2,Nombres!$C$3:$D$636,48,FALSE)</f>
        <v>Resultado del ejercicio</v>
      </c>
      <c r="B135" s="25">
        <f>+B133+B134</f>
        <v>197009.35427199741</v>
      </c>
      <c r="C135" s="25">
        <f t="shared" ref="C135:I135" si="22">+C133+C134</f>
        <v>253502.90381872834</v>
      </c>
      <c r="D135" s="25">
        <f t="shared" si="22"/>
        <v>57375.584856570436</v>
      </c>
      <c r="E135" s="73">
        <f t="shared" si="22"/>
        <v>127782.57776784532</v>
      </c>
      <c r="F135" s="74">
        <f t="shared" si="22"/>
        <v>80688.455863228883</v>
      </c>
      <c r="G135" s="74">
        <f t="shared" si="22"/>
        <v>0</v>
      </c>
      <c r="H135" s="74">
        <f t="shared" si="22"/>
        <v>0</v>
      </c>
      <c r="I135" s="74">
        <f t="shared" si="22"/>
        <v>0</v>
      </c>
    </row>
    <row r="136" spans="1:9">
      <c r="A136" s="17" t="str">
        <f>HLOOKUP(INDICE!$F$2,Nombres!$C$3:$D$636,49,FALSE)</f>
        <v>Minoritarios</v>
      </c>
      <c r="B136" s="75">
        <v>6629.1551363792078</v>
      </c>
      <c r="C136" s="75">
        <v>8158.64269552938</v>
      </c>
      <c r="D136" s="75">
        <v>13792.548367952037</v>
      </c>
      <c r="E136" s="76">
        <v>48974.055219536822</v>
      </c>
      <c r="F136" s="75">
        <v>3174.6586891933248</v>
      </c>
      <c r="G136" s="75">
        <v>0</v>
      </c>
      <c r="H136" s="75">
        <v>0</v>
      </c>
      <c r="I136" s="75">
        <v>0</v>
      </c>
    </row>
    <row r="137" spans="1:9">
      <c r="A137" s="19" t="str">
        <f>HLOOKUP(INDICE!$F$2,Nombres!$C$3:$D$636,50,FALSE)</f>
        <v>Resultado atribuido</v>
      </c>
      <c r="B137" s="19">
        <f>+B135+B136</f>
        <v>203638.50940837662</v>
      </c>
      <c r="C137" s="19">
        <f t="shared" ref="C137:I137" si="23">+C135+C136</f>
        <v>261661.54651425773</v>
      </c>
      <c r="D137" s="19">
        <f t="shared" si="23"/>
        <v>71168.133224522477</v>
      </c>
      <c r="E137" s="19">
        <f t="shared" si="23"/>
        <v>176756.63298738212</v>
      </c>
      <c r="F137" s="94">
        <f t="shared" si="23"/>
        <v>83863.114552422208</v>
      </c>
      <c r="G137" s="94">
        <f t="shared" si="23"/>
        <v>0</v>
      </c>
      <c r="H137" s="94">
        <f t="shared" si="23"/>
        <v>0</v>
      </c>
      <c r="I137" s="94">
        <f t="shared" si="23"/>
        <v>0</v>
      </c>
    </row>
    <row r="138" spans="1:9">
      <c r="A138" s="91"/>
      <c r="B138" s="99">
        <v>3.4924596548080444E-10</v>
      </c>
      <c r="C138" s="99">
        <v>-2.9103830456733704E-10</v>
      </c>
      <c r="D138" s="99">
        <v>0</v>
      </c>
      <c r="E138" s="99">
        <v>3.4924596548080444E-10</v>
      </c>
      <c r="F138" s="99">
        <v>0</v>
      </c>
      <c r="G138" s="99">
        <v>0</v>
      </c>
      <c r="H138" s="99">
        <v>0</v>
      </c>
      <c r="I138" s="99">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4"/>
      <c r="G140" s="104"/>
      <c r="H140" s="104"/>
      <c r="I140" s="104"/>
    </row>
    <row r="141" spans="1:9">
      <c r="A141" s="67" t="str">
        <f>HLOOKUP(INDICE!$F$2,Nombres!$C$3:$D$636,75,FALSE)</f>
        <v>(Millones de pesos colombianos)</v>
      </c>
      <c r="B141" s="62"/>
      <c r="C141" s="82"/>
      <c r="D141" s="82"/>
      <c r="E141" s="82"/>
      <c r="F141" s="105"/>
      <c r="G141" s="75"/>
      <c r="H141" s="75"/>
      <c r="I141" s="75"/>
    </row>
    <row r="142" spans="1:9">
      <c r="A142" s="62"/>
      <c r="B142" s="84">
        <f t="shared" ref="B142:I142" si="24">+B$30</f>
        <v>45016</v>
      </c>
      <c r="C142" s="84">
        <f t="shared" si="24"/>
        <v>45107</v>
      </c>
      <c r="D142" s="84">
        <f t="shared" si="24"/>
        <v>45199</v>
      </c>
      <c r="E142" s="98">
        <f t="shared" si="24"/>
        <v>45291</v>
      </c>
      <c r="F142" s="84">
        <f t="shared" si="24"/>
        <v>45382</v>
      </c>
      <c r="G142" s="84">
        <f t="shared" si="24"/>
        <v>45473</v>
      </c>
      <c r="H142" s="84">
        <f t="shared" si="24"/>
        <v>45565</v>
      </c>
      <c r="I142" s="84">
        <f t="shared" si="24"/>
        <v>45657</v>
      </c>
    </row>
    <row r="143" spans="1:9">
      <c r="A143" s="17" t="str">
        <f>HLOOKUP(INDICE!$F$2,Nombres!$C$3:$D$636,52,FALSE)</f>
        <v>Efectivo, saldos en efectivo en bancos centrales y otros depósitos a la vista</v>
      </c>
      <c r="B143" s="75">
        <v>7631244.6453455631</v>
      </c>
      <c r="C143" s="75">
        <v>9710296.6980754863</v>
      </c>
      <c r="D143" s="75">
        <v>8472377.5187326148</v>
      </c>
      <c r="E143" s="76">
        <v>8679247.888755545</v>
      </c>
      <c r="F143" s="75">
        <v>7534691.0722202621</v>
      </c>
      <c r="G143" s="75">
        <v>0</v>
      </c>
      <c r="H143" s="75">
        <v>0</v>
      </c>
      <c r="I143" s="75">
        <v>0</v>
      </c>
    </row>
    <row r="144" spans="1:9">
      <c r="A144" s="17" t="str">
        <f>HLOOKUP(INDICE!$F$2,Nombres!$C$3:$D$636,53,FALSE)</f>
        <v>Activos financieros a valor razonable</v>
      </c>
      <c r="B144" s="83">
        <v>16046549.537596684</v>
      </c>
      <c r="C144" s="83">
        <v>19060134.025687244</v>
      </c>
      <c r="D144" s="83">
        <v>18299792.504423454</v>
      </c>
      <c r="E144" s="95">
        <v>19667257.522505101</v>
      </c>
      <c r="F144" s="75">
        <v>16485234.239637688</v>
      </c>
      <c r="G144" s="75">
        <v>0</v>
      </c>
      <c r="H144" s="75">
        <v>0</v>
      </c>
      <c r="I144" s="75">
        <v>0</v>
      </c>
    </row>
    <row r="145" spans="1:9">
      <c r="A145" s="17" t="str">
        <f>HLOOKUP(INDICE!$F$2,Nombres!$C$3:$D$636,54,FALSE)</f>
        <v>Activos financieros a coste amortizado</v>
      </c>
      <c r="B145" s="75">
        <v>72670393.260083035</v>
      </c>
      <c r="C145" s="75">
        <v>74504831.418456301</v>
      </c>
      <c r="D145" s="75">
        <v>75462500.004220068</v>
      </c>
      <c r="E145" s="76">
        <v>76048664.232980594</v>
      </c>
      <c r="F145" s="75">
        <v>76178037.602111936</v>
      </c>
      <c r="G145" s="75">
        <v>0</v>
      </c>
      <c r="H145" s="75">
        <v>0</v>
      </c>
      <c r="I145" s="75">
        <v>0</v>
      </c>
    </row>
    <row r="146" spans="1:9">
      <c r="A146" s="17" t="str">
        <f>HLOOKUP(INDICE!$F$2,Nombres!$C$3:$D$636,55,FALSE)</f>
        <v xml:space="preserve">    de los que préstamos y anticipos a la clientela</v>
      </c>
      <c r="B146" s="75">
        <v>68971436.445171386</v>
      </c>
      <c r="C146" s="75">
        <v>70746081.080286562</v>
      </c>
      <c r="D146" s="75">
        <v>71480005.293972641</v>
      </c>
      <c r="E146" s="76">
        <v>72021203.99654521</v>
      </c>
      <c r="F146" s="75">
        <v>72028567.605786905</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434894.02938398754</v>
      </c>
      <c r="C148" s="75">
        <v>428030.70112995501</v>
      </c>
      <c r="D148" s="75">
        <v>417611.47737700579</v>
      </c>
      <c r="E148" s="76">
        <v>461440.66464281606</v>
      </c>
      <c r="F148" s="75">
        <v>448314.94750225556</v>
      </c>
      <c r="G148" s="75">
        <v>0</v>
      </c>
      <c r="H148" s="75">
        <v>0</v>
      </c>
      <c r="I148" s="75">
        <v>0</v>
      </c>
    </row>
    <row r="149" spans="1:9">
      <c r="A149" s="17" t="str">
        <f>HLOOKUP(INDICE!$F$2,Nombres!$C$3:$D$636,57,FALSE)</f>
        <v>Otros activos</v>
      </c>
      <c r="B149" s="83">
        <f>+B150-B148-B145-B144-B143</f>
        <v>2853750.8388478551</v>
      </c>
      <c r="C149" s="83">
        <f t="shared" ref="C149:I149" si="25">+C150-C148-C145-C144-C143</f>
        <v>3013771.4026224073</v>
      </c>
      <c r="D149" s="83">
        <f t="shared" si="25"/>
        <v>3375539.4831752852</v>
      </c>
      <c r="E149" s="95">
        <f t="shared" si="25"/>
        <v>3441244.1740524359</v>
      </c>
      <c r="F149" s="75">
        <f t="shared" si="25"/>
        <v>4543102.2990191914</v>
      </c>
      <c r="G149" s="75">
        <f t="shared" si="25"/>
        <v>0</v>
      </c>
      <c r="H149" s="75">
        <f t="shared" si="25"/>
        <v>0</v>
      </c>
      <c r="I149" s="75">
        <f t="shared" si="25"/>
        <v>0</v>
      </c>
    </row>
    <row r="150" spans="1:9">
      <c r="A150" s="19" t="str">
        <f>HLOOKUP(INDICE!$F$2,Nombres!$C$3:$D$636,58,FALSE)</f>
        <v>Total activo / pasivo</v>
      </c>
      <c r="B150" s="19">
        <v>99636832.311257124</v>
      </c>
      <c r="C150" s="19">
        <v>106717064.2459714</v>
      </c>
      <c r="D150" s="19">
        <v>106027820.98792844</v>
      </c>
      <c r="E150" s="19">
        <v>108297854.48293649</v>
      </c>
      <c r="F150" s="94">
        <v>105189380.16049133</v>
      </c>
      <c r="G150" s="94">
        <v>0</v>
      </c>
      <c r="H150" s="94">
        <v>0</v>
      </c>
      <c r="I150" s="94">
        <v>0</v>
      </c>
    </row>
    <row r="151" spans="1:9">
      <c r="A151" s="17" t="str">
        <f>HLOOKUP(INDICE!$F$2,Nombres!$C$3:$D$636,59,FALSE)</f>
        <v>Pasivos financieros mantenidos para negociar y designados a valor razonable con cambios en resultados</v>
      </c>
      <c r="B151" s="83">
        <v>10171114.745468462</v>
      </c>
      <c r="C151" s="83">
        <v>15963206.547422845</v>
      </c>
      <c r="D151" s="83">
        <v>12178647.459588682</v>
      </c>
      <c r="E151" s="95">
        <v>12346391.718267921</v>
      </c>
      <c r="F151" s="75">
        <v>9128455.1552750468</v>
      </c>
      <c r="G151" s="75">
        <v>0</v>
      </c>
      <c r="H151" s="75">
        <v>0</v>
      </c>
      <c r="I151" s="75">
        <v>0</v>
      </c>
    </row>
    <row r="152" spans="1:9">
      <c r="A152" s="17" t="str">
        <f>HLOOKUP(INDICE!$F$2,Nombres!$C$3:$D$636,60,FALSE)</f>
        <v>Depósitos de bancos centrales y entidades de crédito</v>
      </c>
      <c r="B152" s="83">
        <v>5662962.063772575</v>
      </c>
      <c r="C152" s="83">
        <v>5931207.1024577711</v>
      </c>
      <c r="D152" s="83">
        <v>4931858.0211783666</v>
      </c>
      <c r="E152" s="95">
        <v>4634036.848143898</v>
      </c>
      <c r="F152" s="75">
        <v>3972662.9486675104</v>
      </c>
      <c r="G152" s="75">
        <v>0</v>
      </c>
      <c r="H152" s="75">
        <v>0</v>
      </c>
      <c r="I152" s="75">
        <v>0</v>
      </c>
    </row>
    <row r="153" spans="1:9">
      <c r="A153" s="17" t="str">
        <f>HLOOKUP(INDICE!$F$2,Nombres!$C$3:$D$636,61,FALSE)</f>
        <v>Depósitos de la clientela</v>
      </c>
      <c r="B153" s="83">
        <v>68561295.591800034</v>
      </c>
      <c r="C153" s="83">
        <v>69028948.606444582</v>
      </c>
      <c r="D153" s="83">
        <v>73398667.848646164</v>
      </c>
      <c r="E153" s="95">
        <v>75493447.966165602</v>
      </c>
      <c r="F153" s="75">
        <v>76250145.334944561</v>
      </c>
      <c r="G153" s="75">
        <v>0</v>
      </c>
      <c r="H153" s="75">
        <v>0</v>
      </c>
      <c r="I153" s="75">
        <v>0</v>
      </c>
    </row>
    <row r="154" spans="1:9">
      <c r="A154" s="17" t="str">
        <f>HLOOKUP(INDICE!$F$2,Nombres!$C$3:$D$636,62,FALSE)</f>
        <v>Valores representativos de deuda emitidos</v>
      </c>
      <c r="B154" s="75">
        <v>4112621.1305650575</v>
      </c>
      <c r="C154" s="75">
        <v>4214195.6527993297</v>
      </c>
      <c r="D154" s="75">
        <v>4553412.1037409846</v>
      </c>
      <c r="E154" s="76">
        <v>4776626.3098635366</v>
      </c>
      <c r="F154" s="75">
        <v>5090561.5605178447</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3">
        <f>+B150-B151-B152-B153-B154-B157</f>
        <v>1978789.9523381144</v>
      </c>
      <c r="C156" s="83">
        <f t="shared" ref="C156:I156" si="26">+C150-C151-C152-C153-C154-C157</f>
        <v>2170793.6931141578</v>
      </c>
      <c r="D156" s="83">
        <f t="shared" si="26"/>
        <v>1421718.874168152</v>
      </c>
      <c r="E156" s="95">
        <f t="shared" si="26"/>
        <v>1569343.4483917169</v>
      </c>
      <c r="F156" s="75">
        <f t="shared" si="26"/>
        <v>813469.063065961</v>
      </c>
      <c r="G156" s="75">
        <f t="shared" si="26"/>
        <v>0</v>
      </c>
      <c r="H156" s="75">
        <f t="shared" si="26"/>
        <v>0</v>
      </c>
      <c r="I156" s="75">
        <f t="shared" si="26"/>
        <v>0</v>
      </c>
    </row>
    <row r="157" spans="1:9">
      <c r="A157" s="17" t="str">
        <f>HLOOKUP(INDICE!$F$2,Nombres!$C$3:$D$636,282,FALSE)</f>
        <v>Dotación de capital regulatorio</v>
      </c>
      <c r="B157" s="83">
        <v>9150048.8273128755</v>
      </c>
      <c r="C157" s="83">
        <v>9408712.6437327079</v>
      </c>
      <c r="D157" s="83">
        <v>9543516.6806060933</v>
      </c>
      <c r="E157" s="95">
        <v>9478008.1921038218</v>
      </c>
      <c r="F157" s="75">
        <v>9934086.0980204083</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65" t="str">
        <f>HLOOKUP(INDICE!$F$2,Nombres!$C$3:$D$636,65,FALSE)</f>
        <v>Indicadores relevantes y de gestión</v>
      </c>
      <c r="B160" s="66"/>
      <c r="C160" s="66"/>
      <c r="D160" s="66"/>
      <c r="E160" s="66"/>
      <c r="F160" s="104"/>
      <c r="G160" s="104"/>
      <c r="H160" s="104"/>
      <c r="I160" s="104"/>
    </row>
    <row r="161" spans="1:15">
      <c r="A161" s="67" t="str">
        <f>HLOOKUP(INDICE!$F$2,Nombres!$C$3:$D$636,75,FALSE)</f>
        <v>(Millones de pesos colombianos)</v>
      </c>
      <c r="B161" s="62"/>
      <c r="C161" s="62"/>
      <c r="D161" s="62"/>
      <c r="E161" s="62"/>
      <c r="F161" s="105"/>
      <c r="G161" s="75"/>
      <c r="H161" s="75"/>
      <c r="I161" s="75"/>
    </row>
    <row r="162" spans="1:15" ht="15.75" customHeight="1">
      <c r="A162" s="62"/>
      <c r="B162" s="84">
        <f t="shared" ref="B162:I162" si="27">+B$30</f>
        <v>45016</v>
      </c>
      <c r="C162" s="84">
        <f t="shared" si="27"/>
        <v>45107</v>
      </c>
      <c r="D162" s="84">
        <f t="shared" si="27"/>
        <v>45199</v>
      </c>
      <c r="E162" s="98">
        <f t="shared" si="27"/>
        <v>45291</v>
      </c>
      <c r="F162" s="84">
        <f t="shared" si="27"/>
        <v>45382</v>
      </c>
      <c r="G162" s="84">
        <f t="shared" si="27"/>
        <v>45473</v>
      </c>
      <c r="H162" s="84">
        <f t="shared" si="27"/>
        <v>45565</v>
      </c>
      <c r="I162" s="84">
        <f t="shared" si="27"/>
        <v>45657</v>
      </c>
    </row>
    <row r="163" spans="1:15" ht="15.75" customHeight="1">
      <c r="A163" s="17" t="str">
        <f>HLOOKUP(INDICE!$F$2,Nombres!$C$3:$D$636,66,FALSE)</f>
        <v>Préstamos y anticipos a la clientela bruto (*)</v>
      </c>
      <c r="B163" s="75">
        <v>72280396.127707556</v>
      </c>
      <c r="C163" s="75">
        <v>74081172.792371139</v>
      </c>
      <c r="D163" s="75">
        <v>74843157.317457259</v>
      </c>
      <c r="E163" s="76">
        <v>75357219.096427485</v>
      </c>
      <c r="F163" s="75">
        <v>75439518.003484383</v>
      </c>
      <c r="G163" s="75">
        <v>0</v>
      </c>
      <c r="H163" s="75">
        <v>0</v>
      </c>
      <c r="I163" s="75">
        <v>0</v>
      </c>
    </row>
    <row r="164" spans="1:15" ht="15.75" customHeight="1">
      <c r="A164" s="17" t="str">
        <f>HLOOKUP(INDICE!$F$2,Nombres!$C$3:$D$636,67,FALSE)</f>
        <v>Depósitos de clientes en gestión (**)</v>
      </c>
      <c r="B164" s="75">
        <v>68561295.591800034</v>
      </c>
      <c r="C164" s="75">
        <v>69028948.606444567</v>
      </c>
      <c r="D164" s="75">
        <v>73398667.848646149</v>
      </c>
      <c r="E164" s="76">
        <v>75493447.966165617</v>
      </c>
      <c r="F164" s="75">
        <v>76250145.334944546</v>
      </c>
      <c r="G164" s="75">
        <v>0</v>
      </c>
      <c r="H164" s="75">
        <v>0</v>
      </c>
      <c r="I164" s="75">
        <v>0</v>
      </c>
    </row>
    <row r="165" spans="1:15" ht="15.75" customHeight="1">
      <c r="A165" s="17" t="str">
        <f>HLOOKUP(INDICE!$F$2,Nombres!$C$3:$D$636,68,FALSE)</f>
        <v>Fondos de inversión y carteras gestionadas</v>
      </c>
      <c r="B165" s="75">
        <v>12164435.737036308</v>
      </c>
      <c r="C165" s="75">
        <v>9964774.6951091345</v>
      </c>
      <c r="D165" s="75">
        <v>9475731.7938557379</v>
      </c>
      <c r="E165" s="76">
        <v>10582957.724937331</v>
      </c>
      <c r="F165" s="75">
        <v>10790637.844176929</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1" t="str">
        <f>HLOOKUP(INDICE!$F$2,Nombres!$C$3:$D$636,71,FALSE)</f>
        <v>(*) No incluye las adquisiciones temporales de activos.</v>
      </c>
      <c r="B168" s="83"/>
      <c r="C168" s="83"/>
      <c r="D168" s="83"/>
      <c r="E168" s="83"/>
      <c r="F168" s="75"/>
      <c r="G168" s="75"/>
      <c r="H168" s="75"/>
      <c r="I168" s="75"/>
    </row>
    <row r="169" spans="1:15">
      <c r="A169" s="91"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row r="1006" spans="1:1">
      <c r="A1006" s="63" t="s">
        <v>550</v>
      </c>
    </row>
  </sheetData>
  <mergeCells count="6">
    <mergeCell ref="B6:E6"/>
    <mergeCell ref="F6:I6"/>
    <mergeCell ref="B62:E62"/>
    <mergeCell ref="F62:I62"/>
    <mergeCell ref="B118:E118"/>
    <mergeCell ref="F118:I118"/>
  </mergeCells>
  <conditionalFormatting sqref="B26:I26">
    <cfRule type="cellIs" dxfId="36" priority="3" operator="notBetween">
      <formula>0.5</formula>
      <formula>-0.5</formula>
    </cfRule>
  </conditionalFormatting>
  <conditionalFormatting sqref="B82:I82">
    <cfRule type="cellIs" dxfId="35" priority="2" operator="notBetween">
      <formula>0.5</formula>
      <formula>-0.5</formula>
    </cfRule>
  </conditionalFormatting>
  <conditionalFormatting sqref="B138:I138">
    <cfRule type="cellIs" dxfId="34" priority="1" operator="notBetween">
      <formula>0.5</formula>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80"/>
  <sheetViews>
    <sheetView showGridLines="0" workbookViewId="0">
      <selection activeCell="A41" sqref="A41"/>
    </sheetView>
  </sheetViews>
  <sheetFormatPr baseColWidth="10" defaultColWidth="11.453125" defaultRowHeight="14.5"/>
  <cols>
    <col min="1" max="1" width="62" style="63" customWidth="1"/>
    <col min="2" max="6" width="11.453125" style="63"/>
    <col min="7" max="9" width="0" style="63" hidden="1" customWidth="1"/>
    <col min="10" max="16384" width="11.453125" style="63"/>
  </cols>
  <sheetData>
    <row r="1" spans="1:15" ht="17">
      <c r="A1" s="115" t="str">
        <f>HLOOKUP(INDICE!$F$2,Nombres!$C$3:$D$636,17,FALSE)</f>
        <v>Perú</v>
      </c>
      <c r="B1" s="62"/>
      <c r="C1" s="62"/>
      <c r="D1" s="62"/>
      <c r="E1" s="62"/>
      <c r="F1" s="62"/>
      <c r="G1" s="62"/>
      <c r="H1" s="62"/>
      <c r="I1" s="62"/>
    </row>
    <row r="2" spans="1:15" ht="19.5">
      <c r="A2" s="64"/>
      <c r="B2" s="62"/>
      <c r="C2" s="62"/>
      <c r="D2" s="62"/>
      <c r="E2" s="62"/>
      <c r="F2" s="62"/>
      <c r="G2" s="62"/>
      <c r="H2" s="62"/>
      <c r="I2" s="62"/>
    </row>
    <row r="3" spans="1:15" ht="17">
      <c r="A3" s="116" t="str">
        <f>HLOOKUP(INDICE!$F$2,Nombres!$C$3:$D$636,31,FALSE)</f>
        <v xml:space="preserve">Cuenta de resultados  </v>
      </c>
      <c r="B3" s="66"/>
      <c r="C3" s="66"/>
      <c r="D3" s="66"/>
      <c r="E3" s="66"/>
      <c r="F3" s="66"/>
      <c r="G3" s="66"/>
      <c r="H3" s="66"/>
      <c r="I3" s="66"/>
    </row>
    <row r="4" spans="1:15">
      <c r="A4" s="117" t="str">
        <f>HLOOKUP(INDICE!$F$2,Nombres!$C$3:$D$636,32,FALSE)</f>
        <v>(Millones de euros)</v>
      </c>
      <c r="B4" s="62"/>
      <c r="C4" s="68"/>
      <c r="D4" s="68"/>
      <c r="E4" s="68"/>
      <c r="F4" s="62"/>
      <c r="G4" s="62"/>
      <c r="H4" s="62"/>
      <c r="I4" s="62"/>
    </row>
    <row r="5" spans="1:15">
      <c r="A5" s="69"/>
      <c r="B5" s="62"/>
      <c r="C5" s="68"/>
      <c r="D5" s="68"/>
      <c r="E5" s="68"/>
      <c r="F5" s="62"/>
      <c r="G5" s="62"/>
      <c r="H5" s="62"/>
      <c r="I5" s="62"/>
    </row>
    <row r="6" spans="1:15">
      <c r="A6" s="70"/>
      <c r="B6" s="299">
        <f>+España!B6</f>
        <v>2023</v>
      </c>
      <c r="C6" s="299"/>
      <c r="D6" s="299"/>
      <c r="E6" s="300"/>
      <c r="F6" s="299">
        <f>+España!F6</f>
        <v>2024</v>
      </c>
      <c r="G6" s="299"/>
      <c r="H6" s="299"/>
      <c r="I6" s="299"/>
    </row>
    <row r="7" spans="1:15">
      <c r="A7" s="70"/>
      <c r="B7" s="118" t="str">
        <f>+España!B7</f>
        <v>1er Trim.</v>
      </c>
      <c r="C7" s="118" t="str">
        <f>+España!C7</f>
        <v>2º Trim.</v>
      </c>
      <c r="D7" s="118" t="str">
        <f>+España!D7</f>
        <v>3er Trim.</v>
      </c>
      <c r="E7" s="119" t="str">
        <f>+España!E7</f>
        <v>4º Trim.</v>
      </c>
      <c r="F7" s="118" t="str">
        <f>+España!F7</f>
        <v>1er Trim.</v>
      </c>
      <c r="G7" s="118" t="str">
        <f>+España!G7</f>
        <v>2º Trim.</v>
      </c>
      <c r="H7" s="118" t="str">
        <f>+España!H7</f>
        <v>3er Trim.</v>
      </c>
      <c r="I7" s="118" t="str">
        <f>+España!I7</f>
        <v>4º Trim.</v>
      </c>
    </row>
    <row r="8" spans="1:15">
      <c r="A8" s="25" t="str">
        <f>HLOOKUP(INDICE!$F$2,Nombres!$C$3:$D$636,33,FALSE)</f>
        <v>Margen de intereses</v>
      </c>
      <c r="B8" s="25">
        <v>303.923</v>
      </c>
      <c r="C8" s="25">
        <v>319.69500000999994</v>
      </c>
      <c r="D8" s="25">
        <v>338.06599999999997</v>
      </c>
      <c r="E8" s="73">
        <v>342.32299999000003</v>
      </c>
      <c r="F8" s="74">
        <v>351.649</v>
      </c>
      <c r="G8" s="74">
        <v>0</v>
      </c>
      <c r="H8" s="120">
        <v>0</v>
      </c>
      <c r="I8" s="120">
        <v>0</v>
      </c>
      <c r="J8" s="121"/>
      <c r="K8" s="121"/>
      <c r="L8" s="121"/>
      <c r="M8" s="121"/>
      <c r="N8" s="121"/>
      <c r="O8" s="121"/>
    </row>
    <row r="9" spans="1:15">
      <c r="A9" s="122" t="str">
        <f>HLOOKUP(INDICE!$F$2,Nombres!$C$3:$D$636,34,FALSE)</f>
        <v>Comisiones netas</v>
      </c>
      <c r="B9" s="75">
        <v>73.366342670000009</v>
      </c>
      <c r="C9" s="75">
        <v>74.373547830000007</v>
      </c>
      <c r="D9" s="75">
        <v>68.66602949</v>
      </c>
      <c r="E9" s="76">
        <v>71.568800400000001</v>
      </c>
      <c r="F9" s="75">
        <v>79.286608010000009</v>
      </c>
      <c r="G9" s="75">
        <v>0</v>
      </c>
      <c r="H9" s="75">
        <v>0</v>
      </c>
      <c r="I9" s="75">
        <v>0</v>
      </c>
    </row>
    <row r="10" spans="1:15">
      <c r="A10" s="122" t="str">
        <f>HLOOKUP(INDICE!$F$2,Nombres!$C$3:$D$636,35,FALSE)</f>
        <v>Resultados de operaciones financieras</v>
      </c>
      <c r="B10" s="75">
        <v>47.375910410000003</v>
      </c>
      <c r="C10" s="75">
        <v>45.67422670000002</v>
      </c>
      <c r="D10" s="75">
        <v>50.020894789999986</v>
      </c>
      <c r="E10" s="76">
        <v>49.878085870000014</v>
      </c>
      <c r="F10" s="75">
        <v>37.96866103</v>
      </c>
      <c r="G10" s="75">
        <v>0</v>
      </c>
      <c r="H10" s="75">
        <v>0</v>
      </c>
      <c r="I10" s="75">
        <v>0</v>
      </c>
    </row>
    <row r="11" spans="1:15">
      <c r="A11" s="122" t="str">
        <f>HLOOKUP(INDICE!$F$2,Nombres!$C$3:$D$636,36,FALSE)</f>
        <v>Otros ingresos y cargas de explotación</v>
      </c>
      <c r="B11" s="75">
        <v>-12.957000000000001</v>
      </c>
      <c r="C11" s="75">
        <v>-9.0870000000000015</v>
      </c>
      <c r="D11" s="75">
        <v>-10.337</v>
      </c>
      <c r="E11" s="76">
        <v>-10.305</v>
      </c>
      <c r="F11" s="75">
        <v>-10.165000000000001</v>
      </c>
      <c r="G11" s="75">
        <v>0</v>
      </c>
      <c r="H11" s="75">
        <v>0</v>
      </c>
      <c r="I11" s="75">
        <v>0</v>
      </c>
    </row>
    <row r="12" spans="1:15">
      <c r="A12" s="25" t="str">
        <f>HLOOKUP(INDICE!$F$2,Nombres!$C$3:$D$636,37,FALSE)</f>
        <v>Margen bruto</v>
      </c>
      <c r="B12" s="25">
        <f t="shared" ref="B12:I12" si="0">+SUM(B8:B11)</f>
        <v>411.70825308000002</v>
      </c>
      <c r="C12" s="25">
        <f t="shared" si="0"/>
        <v>430.65577453999998</v>
      </c>
      <c r="D12" s="25">
        <f t="shared" si="0"/>
        <v>446.41592427999996</v>
      </c>
      <c r="E12" s="73">
        <f t="shared" si="0"/>
        <v>453.46488626000001</v>
      </c>
      <c r="F12" s="74">
        <f t="shared" si="0"/>
        <v>458.73926904000001</v>
      </c>
      <c r="G12" s="74">
        <f t="shared" si="0"/>
        <v>0</v>
      </c>
      <c r="H12" s="74">
        <f t="shared" si="0"/>
        <v>0</v>
      </c>
      <c r="I12" s="74">
        <f t="shared" si="0"/>
        <v>0</v>
      </c>
    </row>
    <row r="13" spans="1:15">
      <c r="A13" s="122" t="str">
        <f>HLOOKUP(INDICE!$F$2,Nombres!$C$3:$D$636,38,FALSE)</f>
        <v>Gastos de explotación</v>
      </c>
      <c r="B13" s="75">
        <v>-155.31225181000002</v>
      </c>
      <c r="C13" s="75">
        <v>-156.58131678999999</v>
      </c>
      <c r="D13" s="75">
        <v>-164.89973783000002</v>
      </c>
      <c r="E13" s="76">
        <v>-163.44546179000002</v>
      </c>
      <c r="F13" s="75">
        <v>-173.91662314999999</v>
      </c>
      <c r="G13" s="75">
        <v>0</v>
      </c>
      <c r="H13" s="75">
        <v>0</v>
      </c>
      <c r="I13" s="75">
        <v>0</v>
      </c>
    </row>
    <row r="14" spans="1:15">
      <c r="A14" s="122" t="str">
        <f>HLOOKUP(INDICE!$F$2,Nombres!$C$3:$D$636,39,FALSE)</f>
        <v xml:space="preserve">  Gastos de administración</v>
      </c>
      <c r="B14" s="75">
        <v>-135.97925180999999</v>
      </c>
      <c r="C14" s="75">
        <v>-137.03231678999998</v>
      </c>
      <c r="D14" s="75">
        <v>-145.80673783000003</v>
      </c>
      <c r="E14" s="76">
        <v>-143.60946179000001</v>
      </c>
      <c r="F14" s="75">
        <v>-150.90962315000002</v>
      </c>
      <c r="G14" s="75">
        <v>0</v>
      </c>
      <c r="H14" s="75">
        <v>0</v>
      </c>
      <c r="I14" s="75">
        <v>0</v>
      </c>
    </row>
    <row r="15" spans="1:15">
      <c r="A15" s="123" t="str">
        <f>HLOOKUP(INDICE!$F$2,Nombres!$C$3:$D$636,40,FALSE)</f>
        <v xml:space="preserve">  Gastos de personal</v>
      </c>
      <c r="B15" s="75">
        <v>-68.283000000000001</v>
      </c>
      <c r="C15" s="75">
        <v>-69.954982489999992</v>
      </c>
      <c r="D15" s="75">
        <v>-71.472921240000005</v>
      </c>
      <c r="E15" s="76">
        <v>-69.842000000000013</v>
      </c>
      <c r="F15" s="75">
        <v>-72.933999999999997</v>
      </c>
      <c r="G15" s="75">
        <v>0</v>
      </c>
      <c r="H15" s="75">
        <v>0</v>
      </c>
      <c r="I15" s="75">
        <v>0</v>
      </c>
    </row>
    <row r="16" spans="1:15">
      <c r="A16" s="123" t="str">
        <f>HLOOKUP(INDICE!$F$2,Nombres!$C$3:$D$636,41,FALSE)</f>
        <v xml:space="preserve">  Otros gastos de administración</v>
      </c>
      <c r="B16" s="75">
        <v>-67.696251809999993</v>
      </c>
      <c r="C16" s="75">
        <v>-67.077334299999976</v>
      </c>
      <c r="D16" s="75">
        <v>-74.333816590000012</v>
      </c>
      <c r="E16" s="76">
        <v>-73.767461790000013</v>
      </c>
      <c r="F16" s="75">
        <v>-77.975623150000004</v>
      </c>
      <c r="G16" s="75">
        <v>0</v>
      </c>
      <c r="H16" s="75">
        <v>0</v>
      </c>
      <c r="I16" s="75">
        <v>0</v>
      </c>
    </row>
    <row r="17" spans="1:9">
      <c r="A17" s="122" t="str">
        <f>HLOOKUP(INDICE!$F$2,Nombres!$C$3:$D$636,42,FALSE)</f>
        <v xml:space="preserve">  Amortización</v>
      </c>
      <c r="B17" s="75">
        <v>-19.332999999999998</v>
      </c>
      <c r="C17" s="75">
        <v>-19.548999999999999</v>
      </c>
      <c r="D17" s="75">
        <v>-19.093000000000004</v>
      </c>
      <c r="E17" s="76">
        <v>-19.835999999999999</v>
      </c>
      <c r="F17" s="75">
        <v>-23.007000000000001</v>
      </c>
      <c r="G17" s="75">
        <v>0</v>
      </c>
      <c r="H17" s="75">
        <v>0</v>
      </c>
      <c r="I17" s="75">
        <v>0</v>
      </c>
    </row>
    <row r="18" spans="1:9">
      <c r="A18" s="25" t="str">
        <f>HLOOKUP(INDICE!$F$2,Nombres!$C$3:$D$636,43,FALSE)</f>
        <v>Margen neto</v>
      </c>
      <c r="B18" s="25">
        <f t="shared" ref="B18:I18" si="1">+B12+B13</f>
        <v>256.39600127</v>
      </c>
      <c r="C18" s="25">
        <f t="shared" si="1"/>
        <v>274.07445774999997</v>
      </c>
      <c r="D18" s="25">
        <f t="shared" si="1"/>
        <v>281.51618644999996</v>
      </c>
      <c r="E18" s="73">
        <f t="shared" si="1"/>
        <v>290.01942446999999</v>
      </c>
      <c r="F18" s="74">
        <f t="shared" si="1"/>
        <v>284.82264588999999</v>
      </c>
      <c r="G18" s="74">
        <f t="shared" si="1"/>
        <v>0</v>
      </c>
      <c r="H18" s="74">
        <f t="shared" si="1"/>
        <v>0</v>
      </c>
      <c r="I18" s="74">
        <f t="shared" si="1"/>
        <v>0</v>
      </c>
    </row>
    <row r="19" spans="1:9">
      <c r="A19" s="122" t="str">
        <f>HLOOKUP(INDICE!$F$2,Nombres!$C$3:$D$636,44,FALSE)</f>
        <v>Deterioro de activos financieros no valorados a valor razonable con cambios en resultados</v>
      </c>
      <c r="B19" s="75">
        <v>-92.021000000000015</v>
      </c>
      <c r="C19" s="75">
        <v>-115.18900000000001</v>
      </c>
      <c r="D19" s="75">
        <v>-168.41</v>
      </c>
      <c r="E19" s="76">
        <v>-173.137</v>
      </c>
      <c r="F19" s="75">
        <v>-155.85</v>
      </c>
      <c r="G19" s="75">
        <v>0</v>
      </c>
      <c r="H19" s="75">
        <v>0</v>
      </c>
      <c r="I19" s="75">
        <v>0</v>
      </c>
    </row>
    <row r="20" spans="1:9">
      <c r="A20" s="122" t="str">
        <f>HLOOKUP(INDICE!$F$2,Nombres!$C$3:$D$636,45,FALSE)</f>
        <v>Provisiones o reversión de provisiones y otros resultados</v>
      </c>
      <c r="B20" s="75">
        <v>2.0870000000000002</v>
      </c>
      <c r="C20" s="75">
        <v>-1.1689999999999992</v>
      </c>
      <c r="D20" s="75">
        <v>6.1670000000000016</v>
      </c>
      <c r="E20" s="76">
        <v>-19.729000000000006</v>
      </c>
      <c r="F20" s="75">
        <v>-7.9880000000000013</v>
      </c>
      <c r="G20" s="75">
        <v>0</v>
      </c>
      <c r="H20" s="75">
        <v>0</v>
      </c>
      <c r="I20" s="75">
        <v>0</v>
      </c>
    </row>
    <row r="21" spans="1:9">
      <c r="A21" s="124" t="str">
        <f>HLOOKUP(INDICE!$F$2,Nombres!$C$3:$D$636,46,FALSE)</f>
        <v>Resultado antes de impuestos</v>
      </c>
      <c r="B21" s="25">
        <f t="shared" ref="B21:I21" si="2">+B18+B19+B20</f>
        <v>166.46200126999997</v>
      </c>
      <c r="C21" s="25">
        <f t="shared" si="2"/>
        <v>157.71645774999993</v>
      </c>
      <c r="D21" s="25">
        <f t="shared" si="2"/>
        <v>119.27318644999997</v>
      </c>
      <c r="E21" s="73">
        <f t="shared" si="2"/>
        <v>97.153424469999976</v>
      </c>
      <c r="F21" s="74">
        <f t="shared" si="2"/>
        <v>120.98464589</v>
      </c>
      <c r="G21" s="74">
        <f t="shared" si="2"/>
        <v>0</v>
      </c>
      <c r="H21" s="74">
        <f t="shared" si="2"/>
        <v>0</v>
      </c>
      <c r="I21" s="74">
        <f t="shared" si="2"/>
        <v>0</v>
      </c>
    </row>
    <row r="22" spans="1:9">
      <c r="A22" s="17" t="str">
        <f>HLOOKUP(INDICE!$F$2,Nombres!$C$3:$D$636,47,FALSE)</f>
        <v>Impuesto sobre beneficios</v>
      </c>
      <c r="B22" s="75">
        <v>-45.871734939999996</v>
      </c>
      <c r="C22" s="75">
        <v>-40.699801360000002</v>
      </c>
      <c r="D22" s="75">
        <v>-25.61514742</v>
      </c>
      <c r="E22" s="76">
        <v>5.2786286499999981</v>
      </c>
      <c r="F22" s="75">
        <v>-29.057025230000001</v>
      </c>
      <c r="G22" s="75">
        <v>0</v>
      </c>
      <c r="H22" s="75">
        <v>0</v>
      </c>
      <c r="I22" s="75">
        <v>0</v>
      </c>
    </row>
    <row r="23" spans="1:9">
      <c r="A23" s="124" t="str">
        <f>HLOOKUP(INDICE!$F$2,Nombres!$C$3:$D$636,48,FALSE)</f>
        <v>Resultado del ejercicio</v>
      </c>
      <c r="B23" s="25">
        <f t="shared" ref="B23:I23" si="3">+B21+B22</f>
        <v>120.59026632999998</v>
      </c>
      <c r="C23" s="25">
        <f t="shared" si="3"/>
        <v>117.01665638999992</v>
      </c>
      <c r="D23" s="25">
        <f t="shared" si="3"/>
        <v>93.658039029999969</v>
      </c>
      <c r="E23" s="73">
        <f t="shared" si="3"/>
        <v>102.43205311999998</v>
      </c>
      <c r="F23" s="74">
        <f t="shared" si="3"/>
        <v>91.927620660000002</v>
      </c>
      <c r="G23" s="74">
        <f t="shared" si="3"/>
        <v>0</v>
      </c>
      <c r="H23" s="74">
        <f t="shared" si="3"/>
        <v>0</v>
      </c>
      <c r="I23" s="74">
        <f t="shared" si="3"/>
        <v>0</v>
      </c>
    </row>
    <row r="24" spans="1:9">
      <c r="A24" s="122" t="str">
        <f>HLOOKUP(INDICE!$F$2,Nombres!$C$3:$D$636,49,FALSE)</f>
        <v>Minoritarios</v>
      </c>
      <c r="B24" s="75">
        <v>-64.550760429999997</v>
      </c>
      <c r="C24" s="75">
        <v>-64.245845629999991</v>
      </c>
      <c r="D24" s="75">
        <v>-51.035411039999985</v>
      </c>
      <c r="E24" s="76">
        <v>-55.437458209999988</v>
      </c>
      <c r="F24" s="75">
        <v>-49.519100860000002</v>
      </c>
      <c r="G24" s="75">
        <v>0</v>
      </c>
      <c r="H24" s="75">
        <v>0</v>
      </c>
      <c r="I24" s="75">
        <v>0</v>
      </c>
    </row>
    <row r="25" spans="1:9">
      <c r="A25" s="125" t="str">
        <f>HLOOKUP(INDICE!$F$2,Nombres!$C$3:$D$636,50,FALSE)</f>
        <v>Resultado atribuido</v>
      </c>
      <c r="B25" s="19">
        <f t="shared" ref="B25:I25" si="4">+B23+B24</f>
        <v>56.03950589999998</v>
      </c>
      <c r="C25" s="19">
        <f t="shared" si="4"/>
        <v>52.770810759999932</v>
      </c>
      <c r="D25" s="19">
        <f t="shared" si="4"/>
        <v>42.622627989999984</v>
      </c>
      <c r="E25" s="19">
        <f t="shared" si="4"/>
        <v>46.994594909999989</v>
      </c>
      <c r="F25" s="94">
        <f t="shared" si="4"/>
        <v>42.408519800000001</v>
      </c>
      <c r="G25" s="94">
        <f t="shared" si="4"/>
        <v>0</v>
      </c>
      <c r="H25" s="94">
        <f t="shared" si="4"/>
        <v>0</v>
      </c>
      <c r="I25" s="94">
        <f t="shared" si="4"/>
        <v>0</v>
      </c>
    </row>
    <row r="26" spans="1:9">
      <c r="A26" s="126"/>
      <c r="B26" s="99">
        <v>0</v>
      </c>
      <c r="C26" s="99">
        <v>-1.2079226507921703E-13</v>
      </c>
      <c r="D26" s="99">
        <v>0</v>
      </c>
      <c r="E26" s="99">
        <v>-5.6843418860808015E-14</v>
      </c>
      <c r="F26" s="99">
        <v>0</v>
      </c>
      <c r="G26" s="99">
        <v>0</v>
      </c>
      <c r="H26" s="99">
        <v>0</v>
      </c>
      <c r="I26" s="99">
        <v>0</v>
      </c>
    </row>
    <row r="27" spans="1:9">
      <c r="A27" s="124"/>
      <c r="B27" s="25"/>
      <c r="C27" s="25"/>
      <c r="D27" s="25"/>
      <c r="E27" s="25"/>
      <c r="F27" s="25"/>
      <c r="G27" s="25"/>
      <c r="H27" s="25"/>
      <c r="I27" s="25"/>
    </row>
    <row r="28" spans="1:9" ht="17">
      <c r="A28" s="116" t="str">
        <f>HLOOKUP(INDICE!$F$2,Nombres!$C$3:$D$636,51,FALSE)</f>
        <v>Balances</v>
      </c>
      <c r="B28" s="66"/>
      <c r="C28" s="66"/>
      <c r="D28" s="66"/>
      <c r="E28" s="66"/>
      <c r="F28" s="66"/>
      <c r="G28" s="66"/>
      <c r="H28" s="66"/>
      <c r="I28" s="66"/>
    </row>
    <row r="29" spans="1:9">
      <c r="A29" s="11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22" t="str">
        <f>HLOOKUP(INDICE!$F$2,Nombres!$C$3:$D$636,52,FALSE)</f>
        <v>Efectivo, saldos en efectivo en bancos centrales y otros depósitos a la vista</v>
      </c>
      <c r="B31" s="75">
        <v>3306.83</v>
      </c>
      <c r="C31" s="75">
        <v>3590.5790000000006</v>
      </c>
      <c r="D31" s="75">
        <v>2720.0259999999998</v>
      </c>
      <c r="E31" s="76">
        <v>2078.8620000000001</v>
      </c>
      <c r="F31" s="75">
        <v>3283.3849999999998</v>
      </c>
      <c r="G31" s="75">
        <v>0</v>
      </c>
      <c r="H31" s="75">
        <v>0</v>
      </c>
      <c r="I31" s="75">
        <v>0</v>
      </c>
    </row>
    <row r="32" spans="1:9">
      <c r="A32" s="122" t="str">
        <f>HLOOKUP(INDICE!$F$2,Nombres!$C$3:$D$636,53,FALSE)</f>
        <v>Activos financieros a valor razonable</v>
      </c>
      <c r="B32" s="83">
        <v>3207.4750000000004</v>
      </c>
      <c r="C32" s="83">
        <v>3033.7829999999999</v>
      </c>
      <c r="D32" s="83">
        <v>3031.0940000000001</v>
      </c>
      <c r="E32" s="95">
        <v>3976.6839999999997</v>
      </c>
      <c r="F32" s="75">
        <v>3915.8040000000001</v>
      </c>
      <c r="G32" s="75">
        <v>0</v>
      </c>
      <c r="H32" s="75">
        <v>0</v>
      </c>
      <c r="I32" s="75">
        <v>0</v>
      </c>
    </row>
    <row r="33" spans="1:9">
      <c r="A33" s="17" t="str">
        <f>HLOOKUP(INDICE!$F$2,Nombres!$C$3:$D$636,54,FALSE)</f>
        <v>Activos financieros a coste amortizado</v>
      </c>
      <c r="B33" s="75">
        <v>17628.758999999995</v>
      </c>
      <c r="C33" s="75">
        <v>17872.498</v>
      </c>
      <c r="D33" s="75">
        <v>17869.274000000001</v>
      </c>
      <c r="E33" s="76">
        <v>17748.75</v>
      </c>
      <c r="F33" s="75">
        <v>18718.406999999999</v>
      </c>
      <c r="G33" s="75">
        <v>0</v>
      </c>
      <c r="H33" s="75">
        <v>0</v>
      </c>
      <c r="I33" s="75">
        <v>0</v>
      </c>
    </row>
    <row r="34" spans="1:9">
      <c r="A34" s="122" t="str">
        <f>HLOOKUP(INDICE!$F$2,Nombres!$C$3:$D$636,55,FALSE)</f>
        <v xml:space="preserve">    de los que préstamos y anticipos a la clientela</v>
      </c>
      <c r="B34" s="75">
        <v>17099.629999999997</v>
      </c>
      <c r="C34" s="75">
        <v>17526.069</v>
      </c>
      <c r="D34" s="75">
        <v>17364.415000000001</v>
      </c>
      <c r="E34" s="76">
        <v>17288.597999999998</v>
      </c>
      <c r="F34" s="75">
        <v>18012.972000000002</v>
      </c>
      <c r="G34" s="75">
        <v>0</v>
      </c>
      <c r="H34" s="75">
        <v>0</v>
      </c>
      <c r="I34" s="75">
        <v>0</v>
      </c>
    </row>
    <row r="35" spans="1:9" hidden="1">
      <c r="A35" s="122"/>
      <c r="B35" s="75"/>
      <c r="C35" s="75"/>
      <c r="D35" s="75"/>
      <c r="E35" s="76"/>
      <c r="F35" s="75"/>
      <c r="G35" s="75"/>
      <c r="H35" s="75"/>
      <c r="I35" s="75"/>
    </row>
    <row r="36" spans="1:9">
      <c r="A36" s="17" t="str">
        <f>HLOOKUP(INDICE!$F$2,Nombres!$C$3:$D$636,56,FALSE)</f>
        <v>Activos tangibles</v>
      </c>
      <c r="B36" s="75">
        <v>306.85700000000003</v>
      </c>
      <c r="C36" s="75">
        <v>320.76499999999999</v>
      </c>
      <c r="D36" s="75">
        <v>321.63200000000001</v>
      </c>
      <c r="E36" s="76">
        <v>346.73400000000004</v>
      </c>
      <c r="F36" s="75">
        <v>342.89600000000002</v>
      </c>
      <c r="G36" s="75">
        <v>0</v>
      </c>
      <c r="H36" s="75">
        <v>0</v>
      </c>
      <c r="I36" s="75">
        <v>0</v>
      </c>
    </row>
    <row r="37" spans="1:9">
      <c r="A37" s="122" t="str">
        <f>HLOOKUP(INDICE!$F$2,Nombres!$C$3:$D$636,57,FALSE)</f>
        <v>Otros activos</v>
      </c>
      <c r="B37" s="83">
        <f t="shared" ref="B37:I37" si="5">+B38-B36-B33-B32-B31</f>
        <v>539.43091798000387</v>
      </c>
      <c r="C37" s="83">
        <f t="shared" si="5"/>
        <v>555.81439926999974</v>
      </c>
      <c r="D37" s="83">
        <f t="shared" si="5"/>
        <v>605.75664163999954</v>
      </c>
      <c r="E37" s="95">
        <f t="shared" si="5"/>
        <v>669.52406756000209</v>
      </c>
      <c r="F37" s="75">
        <f t="shared" si="5"/>
        <v>821.13154502000043</v>
      </c>
      <c r="G37" s="75">
        <f t="shared" si="5"/>
        <v>0</v>
      </c>
      <c r="H37" s="75">
        <f t="shared" si="5"/>
        <v>0</v>
      </c>
      <c r="I37" s="75">
        <f t="shared" si="5"/>
        <v>0</v>
      </c>
    </row>
    <row r="38" spans="1:9">
      <c r="A38" s="125" t="str">
        <f>HLOOKUP(INDICE!$F$2,Nombres!$C$3:$D$636,58,FALSE)</f>
        <v>Total activo / pasivo</v>
      </c>
      <c r="B38" s="19">
        <v>24989.351917979999</v>
      </c>
      <c r="C38" s="19">
        <v>25373.439399269999</v>
      </c>
      <c r="D38" s="19">
        <v>24547.782641640002</v>
      </c>
      <c r="E38" s="19">
        <v>24820.554067560002</v>
      </c>
      <c r="F38" s="94">
        <v>27081.62354502</v>
      </c>
      <c r="G38" s="94">
        <v>0</v>
      </c>
      <c r="H38" s="94">
        <v>0</v>
      </c>
      <c r="I38" s="94">
        <v>0</v>
      </c>
    </row>
    <row r="39" spans="1:9">
      <c r="A39" s="122" t="str">
        <f>HLOOKUP(INDICE!$F$2,Nombres!$C$3:$D$636,59,FALSE)</f>
        <v>Pasivos financieros mantenidos para negociar y designados a valor razonable con cambios en resultados</v>
      </c>
      <c r="B39" s="83">
        <v>366.334</v>
      </c>
      <c r="C39" s="83">
        <v>363.96100000000001</v>
      </c>
      <c r="D39" s="83">
        <v>330.72999999999996</v>
      </c>
      <c r="E39" s="95">
        <v>351.536</v>
      </c>
      <c r="F39" s="75">
        <v>378.36400000000003</v>
      </c>
      <c r="G39" s="75">
        <v>0</v>
      </c>
      <c r="H39" s="75">
        <v>0</v>
      </c>
      <c r="I39" s="75">
        <v>0</v>
      </c>
    </row>
    <row r="40" spans="1:9">
      <c r="A40" s="122" t="str">
        <f>HLOOKUP(INDICE!$F$2,Nombres!$C$3:$D$636,60,FALSE)</f>
        <v>Depósitos de bancos centrales y entidades de crédito</v>
      </c>
      <c r="B40" s="83">
        <v>3043.3910000000001</v>
      </c>
      <c r="C40" s="83">
        <v>3286.7799999999997</v>
      </c>
      <c r="D40" s="83">
        <v>2852.2060000000001</v>
      </c>
      <c r="E40" s="95">
        <v>2857.3320000000003</v>
      </c>
      <c r="F40" s="75">
        <v>3054.9120000000003</v>
      </c>
      <c r="G40" s="75">
        <v>0</v>
      </c>
      <c r="H40" s="75">
        <v>0</v>
      </c>
      <c r="I40" s="75">
        <v>0</v>
      </c>
    </row>
    <row r="41" spans="1:9" ht="15.75" customHeight="1">
      <c r="A41" s="122" t="str">
        <f>HLOOKUP(INDICE!$F$2,Nombres!$C$3:$D$636,61,FALSE)</f>
        <v>Depósitos de la clientela</v>
      </c>
      <c r="B41" s="83">
        <v>16431.887999999999</v>
      </c>
      <c r="C41" s="83">
        <v>16847.688000000002</v>
      </c>
      <c r="D41" s="83">
        <v>16758.216999999997</v>
      </c>
      <c r="E41" s="95">
        <v>16938.621999999999</v>
      </c>
      <c r="F41" s="75">
        <v>17226.482000000004</v>
      </c>
      <c r="G41" s="75">
        <v>0</v>
      </c>
      <c r="H41" s="75">
        <v>0</v>
      </c>
      <c r="I41" s="75">
        <v>0</v>
      </c>
    </row>
    <row r="42" spans="1:9">
      <c r="A42" s="17" t="str">
        <f>HLOOKUP(INDICE!$F$2,Nombres!$C$3:$D$636,62,FALSE)</f>
        <v>Valores representativos de deuda emitidos</v>
      </c>
      <c r="B42" s="75">
        <v>937.72618742999998</v>
      </c>
      <c r="C42" s="75">
        <v>1023.74412112</v>
      </c>
      <c r="D42" s="75">
        <v>878.70133697000006</v>
      </c>
      <c r="E42" s="76">
        <v>813.78500324000004</v>
      </c>
      <c r="F42" s="75">
        <v>918.24040793999995</v>
      </c>
      <c r="G42" s="75">
        <v>0</v>
      </c>
      <c r="H42" s="75">
        <v>0</v>
      </c>
      <c r="I42" s="75">
        <v>0</v>
      </c>
    </row>
    <row r="43" spans="1:9" hidden="1">
      <c r="A43" s="17"/>
      <c r="B43" s="75"/>
      <c r="C43" s="75"/>
      <c r="D43" s="75"/>
      <c r="E43" s="76"/>
      <c r="F43" s="75"/>
      <c r="G43" s="75"/>
      <c r="H43" s="75"/>
      <c r="I43" s="75"/>
    </row>
    <row r="44" spans="1:9">
      <c r="A44" s="122" t="str">
        <f>HLOOKUP(INDICE!$F$2,Nombres!$C$3:$D$636,63,FALSE)</f>
        <v>Otros pasivos</v>
      </c>
      <c r="B44" s="83">
        <f t="shared" ref="B44:I44" si="6">+B38-B39-B40-B41-B42-B45</f>
        <v>1919.8087302300009</v>
      </c>
      <c r="C44" s="83">
        <f t="shared" si="6"/>
        <v>1423.727490419998</v>
      </c>
      <c r="D44" s="83">
        <f t="shared" si="6"/>
        <v>1365.9142259800069</v>
      </c>
      <c r="E44" s="95">
        <f t="shared" si="6"/>
        <v>1484.1762140800042</v>
      </c>
      <c r="F44" s="75">
        <f t="shared" si="6"/>
        <v>3085.8675766099946</v>
      </c>
      <c r="G44" s="75">
        <f t="shared" si="6"/>
        <v>0</v>
      </c>
      <c r="H44" s="75">
        <f t="shared" si="6"/>
        <v>0</v>
      </c>
      <c r="I44" s="75">
        <f t="shared" si="6"/>
        <v>0</v>
      </c>
    </row>
    <row r="45" spans="1:9">
      <c r="A45" s="17" t="str">
        <f>HLOOKUP(INDICE!$F$2,Nombres!$C$3:$D$636,282,FALSE)</f>
        <v>Dotación de capital regulatorio</v>
      </c>
      <c r="B45" s="83">
        <v>2290.20400032</v>
      </c>
      <c r="C45" s="83">
        <v>2427.5387877300004</v>
      </c>
      <c r="D45" s="83">
        <v>2362.0140786900006</v>
      </c>
      <c r="E45" s="95">
        <v>2375.10285024</v>
      </c>
      <c r="F45" s="75">
        <v>2417.75756047</v>
      </c>
      <c r="G45" s="75">
        <v>0</v>
      </c>
      <c r="H45" s="75">
        <v>0</v>
      </c>
      <c r="I45" s="75">
        <v>0</v>
      </c>
    </row>
    <row r="46" spans="1:9">
      <c r="A46" s="91"/>
      <c r="B46" s="83"/>
      <c r="C46" s="83"/>
      <c r="D46" s="83"/>
      <c r="E46" s="83"/>
      <c r="F46" s="75"/>
      <c r="G46" s="75"/>
      <c r="H46" s="75"/>
      <c r="I46" s="75"/>
    </row>
    <row r="47" spans="1:9">
      <c r="A47" s="17"/>
      <c r="B47" s="83"/>
      <c r="C47" s="83"/>
      <c r="D47" s="83"/>
      <c r="E47" s="83"/>
      <c r="F47" s="75"/>
      <c r="G47" s="75"/>
      <c r="H47" s="75"/>
      <c r="I47" s="75"/>
    </row>
    <row r="48" spans="1:9" ht="17">
      <c r="A48" s="116" t="str">
        <f>HLOOKUP(INDICE!$F$2,Nombres!$C$3:$D$636,65,FALSE)</f>
        <v>Indicadores relevantes y de gestión</v>
      </c>
      <c r="B48" s="66"/>
      <c r="C48" s="66"/>
      <c r="D48" s="66"/>
      <c r="E48" s="66"/>
      <c r="F48" s="104"/>
      <c r="G48" s="104"/>
      <c r="H48" s="104"/>
      <c r="I48" s="104"/>
    </row>
    <row r="49" spans="1:11">
      <c r="A49" s="117" t="str">
        <f>HLOOKUP(INDICE!$F$2,Nombres!$C$3:$D$636,32,FALSE)</f>
        <v>(Millones de euros)</v>
      </c>
      <c r="B49" s="62"/>
      <c r="C49" s="62"/>
      <c r="D49" s="62"/>
      <c r="E49" s="62"/>
      <c r="F49" s="105"/>
      <c r="G49" s="75"/>
      <c r="H49" s="75"/>
      <c r="I49" s="75"/>
    </row>
    <row r="50" spans="1:11">
      <c r="A50" s="62"/>
      <c r="B50" s="84">
        <f t="shared" ref="B50:I50" si="7">+B$30</f>
        <v>45016</v>
      </c>
      <c r="C50" s="84">
        <f t="shared" si="7"/>
        <v>45107</v>
      </c>
      <c r="D50" s="84">
        <f t="shared" si="7"/>
        <v>45199</v>
      </c>
      <c r="E50" s="98">
        <f t="shared" si="7"/>
        <v>45291</v>
      </c>
      <c r="F50" s="84">
        <f t="shared" si="7"/>
        <v>45382</v>
      </c>
      <c r="G50" s="84">
        <f t="shared" si="7"/>
        <v>45473</v>
      </c>
      <c r="H50" s="84">
        <f t="shared" si="7"/>
        <v>45565</v>
      </c>
      <c r="I50" s="84">
        <f t="shared" si="7"/>
        <v>45657</v>
      </c>
    </row>
    <row r="51" spans="1:11">
      <c r="A51" s="122" t="str">
        <f>HLOOKUP(INDICE!$F$2,Nombres!$C$3:$D$636,66,FALSE)</f>
        <v>Préstamos y anticipos a la clientela bruto (*)</v>
      </c>
      <c r="B51" s="75">
        <v>17990.935999999998</v>
      </c>
      <c r="C51" s="75">
        <v>18397.748000000003</v>
      </c>
      <c r="D51" s="75">
        <v>18329.148000000001</v>
      </c>
      <c r="E51" s="76">
        <v>18255.028999999999</v>
      </c>
      <c r="F51" s="75">
        <v>19007.905999999999</v>
      </c>
      <c r="G51" s="75">
        <v>0</v>
      </c>
      <c r="H51" s="75">
        <v>0</v>
      </c>
      <c r="I51" s="75">
        <v>0</v>
      </c>
      <c r="K51" s="85"/>
    </row>
    <row r="52" spans="1:11">
      <c r="A52" s="122" t="str">
        <f>HLOOKUP(INDICE!$F$2,Nombres!$C$3:$D$636,67,FALSE)</f>
        <v>Depósitos de clientes en gestión (**)</v>
      </c>
      <c r="B52" s="75">
        <v>16431.887999999999</v>
      </c>
      <c r="C52" s="75">
        <v>16847.687999999998</v>
      </c>
      <c r="D52" s="75">
        <v>16758.217000000001</v>
      </c>
      <c r="E52" s="76">
        <v>16938.622000000003</v>
      </c>
      <c r="F52" s="75">
        <v>17226.481999999996</v>
      </c>
      <c r="G52" s="75">
        <v>0</v>
      </c>
      <c r="H52" s="75">
        <v>0</v>
      </c>
      <c r="I52" s="75">
        <v>0</v>
      </c>
    </row>
    <row r="53" spans="1:11">
      <c r="A53" s="17" t="str">
        <f>HLOOKUP(INDICE!$F$2,Nombres!$C$3:$D$636,68,FALSE)</f>
        <v>Fondos de inversión y carteras gestionadas</v>
      </c>
      <c r="B53" s="75">
        <v>1447.2633504800001</v>
      </c>
      <c r="C53" s="75">
        <v>1468.0727990799999</v>
      </c>
      <c r="D53" s="75">
        <v>1754.57628241</v>
      </c>
      <c r="E53" s="76">
        <v>1572.4242738</v>
      </c>
      <c r="F53" s="75">
        <v>1823.79947253</v>
      </c>
      <c r="G53" s="75">
        <v>0</v>
      </c>
      <c r="H53" s="75">
        <v>0</v>
      </c>
      <c r="I53" s="75">
        <v>0</v>
      </c>
    </row>
    <row r="54" spans="1:11">
      <c r="A54" s="122" t="str">
        <f>HLOOKUP(INDICE!$F$2,Nombres!$C$3:$D$636,69,FALSE)</f>
        <v>Fondos de pensiones</v>
      </c>
      <c r="B54" s="75">
        <v>0</v>
      </c>
      <c r="C54" s="75">
        <v>0</v>
      </c>
      <c r="D54" s="75">
        <v>0</v>
      </c>
      <c r="E54" s="76">
        <v>0</v>
      </c>
      <c r="F54" s="75">
        <v>0</v>
      </c>
      <c r="G54" s="75">
        <v>0</v>
      </c>
      <c r="H54" s="75">
        <v>0</v>
      </c>
      <c r="I54" s="75">
        <v>0</v>
      </c>
    </row>
    <row r="55" spans="1:11">
      <c r="A55" s="122" t="str">
        <f>HLOOKUP(INDICE!$F$2,Nombres!$C$3:$D$636,70,FALSE)</f>
        <v>Otros recursos fuera de balance</v>
      </c>
      <c r="B55" s="75">
        <v>0</v>
      </c>
      <c r="C55" s="75">
        <v>0</v>
      </c>
      <c r="D55" s="75">
        <v>0</v>
      </c>
      <c r="E55" s="76">
        <v>0</v>
      </c>
      <c r="F55" s="75">
        <v>0</v>
      </c>
      <c r="G55" s="75">
        <v>0</v>
      </c>
      <c r="H55" s="75">
        <v>0</v>
      </c>
      <c r="I55" s="75">
        <v>0</v>
      </c>
    </row>
    <row r="56" spans="1:11">
      <c r="A56" s="126" t="str">
        <f>HLOOKUP(INDICE!$F$2,Nombres!$C$3:$D$636,71,FALSE)</f>
        <v>(*) No incluye las adquisiciones temporales de activos.</v>
      </c>
      <c r="B56" s="83"/>
      <c r="C56" s="83"/>
      <c r="D56" s="83"/>
      <c r="E56" s="83"/>
      <c r="F56" s="83"/>
      <c r="G56" s="83"/>
      <c r="H56" s="83"/>
      <c r="I56" s="83"/>
    </row>
    <row r="57" spans="1:11">
      <c r="A57" s="126" t="str">
        <f>HLOOKUP(INDICE!$F$2,Nombres!$C$3:$D$636,72,FALSE)</f>
        <v>(**) No incluye las cesiones temporales de activos.</v>
      </c>
      <c r="B57" s="62"/>
      <c r="C57" s="62"/>
      <c r="D57" s="62"/>
      <c r="E57" s="62"/>
      <c r="F57" s="62"/>
      <c r="G57" s="62"/>
      <c r="H57" s="62"/>
      <c r="I57" s="62"/>
    </row>
    <row r="58" spans="1:11">
      <c r="A58" s="91"/>
      <c r="B58" s="62"/>
      <c r="C58" s="62"/>
      <c r="D58" s="62"/>
      <c r="E58" s="62"/>
      <c r="F58" s="62"/>
      <c r="G58" s="62"/>
      <c r="H58" s="62"/>
      <c r="I58" s="62"/>
    </row>
    <row r="59" spans="1:11" ht="17">
      <c r="A59" s="116" t="str">
        <f>HLOOKUP(INDICE!$F$2,Nombres!$C$3:$D$636,31,FALSE)</f>
        <v xml:space="preserve">Cuenta de resultados  </v>
      </c>
      <c r="B59" s="66"/>
      <c r="C59" s="66"/>
      <c r="D59" s="66"/>
      <c r="E59" s="66"/>
      <c r="F59" s="66"/>
      <c r="G59" s="66"/>
      <c r="H59" s="66"/>
      <c r="I59" s="66"/>
    </row>
    <row r="60" spans="1:11">
      <c r="A60" s="117" t="str">
        <f>HLOOKUP(INDICE!$F$2,Nombres!$C$3:$D$636,73,FALSE)</f>
        <v>(Millones de euros constantes)</v>
      </c>
      <c r="B60" s="62"/>
      <c r="C60" s="68"/>
      <c r="D60" s="68"/>
      <c r="E60" s="68"/>
      <c r="F60" s="62"/>
      <c r="G60" s="62"/>
      <c r="H60" s="62"/>
      <c r="I60" s="62"/>
    </row>
    <row r="61" spans="1:11">
      <c r="A61" s="69"/>
      <c r="B61" s="62"/>
      <c r="C61" s="68"/>
      <c r="D61" s="68"/>
      <c r="E61" s="68"/>
      <c r="F61" s="62"/>
      <c r="G61" s="62"/>
      <c r="H61" s="62"/>
      <c r="I61" s="62"/>
    </row>
    <row r="62" spans="1:11">
      <c r="A62" s="70"/>
      <c r="B62" s="299">
        <f>+B$6</f>
        <v>2023</v>
      </c>
      <c r="C62" s="299"/>
      <c r="D62" s="299"/>
      <c r="E62" s="300"/>
      <c r="F62" s="299">
        <f>+F$6</f>
        <v>2024</v>
      </c>
      <c r="G62" s="299"/>
      <c r="H62" s="299"/>
      <c r="I62" s="299"/>
    </row>
    <row r="63" spans="1:11">
      <c r="A63" s="70"/>
      <c r="B63" s="118" t="str">
        <f t="shared" ref="B63:I63" si="8">+B$7</f>
        <v>1er Trim.</v>
      </c>
      <c r="C63" s="118" t="str">
        <f t="shared" si="8"/>
        <v>2º Trim.</v>
      </c>
      <c r="D63" s="118" t="str">
        <f t="shared" si="8"/>
        <v>3er Trim.</v>
      </c>
      <c r="E63" s="119" t="str">
        <f t="shared" si="8"/>
        <v>4º Trim.</v>
      </c>
      <c r="F63" s="118" t="str">
        <f t="shared" si="8"/>
        <v>1er Trim.</v>
      </c>
      <c r="G63" s="118" t="str">
        <f t="shared" si="8"/>
        <v>2º Trim.</v>
      </c>
      <c r="H63" s="118" t="str">
        <f t="shared" si="8"/>
        <v>3er Trim.</v>
      </c>
      <c r="I63" s="118" t="str">
        <f t="shared" si="8"/>
        <v>4º Trim.</v>
      </c>
    </row>
    <row r="64" spans="1:11">
      <c r="A64" s="25" t="str">
        <f>HLOOKUP(INDICE!$F$2,Nombres!$C$3:$D$636,33,FALSE)</f>
        <v>Margen de intereses</v>
      </c>
      <c r="B64" s="25">
        <v>304.76326262773586</v>
      </c>
      <c r="C64" s="25">
        <v>315.42023649652225</v>
      </c>
      <c r="D64" s="25">
        <v>330.72435390941098</v>
      </c>
      <c r="E64" s="73">
        <v>340.79083338076481</v>
      </c>
      <c r="F64" s="74">
        <v>351.64899999999994</v>
      </c>
      <c r="G64" s="74">
        <v>0</v>
      </c>
      <c r="H64" s="74">
        <v>0</v>
      </c>
      <c r="I64" s="74">
        <v>0</v>
      </c>
    </row>
    <row r="65" spans="1:9">
      <c r="A65" s="122" t="str">
        <f>HLOOKUP(INDICE!$F$2,Nombres!$C$3:$D$636,34,FALSE)</f>
        <v>Comisiones netas</v>
      </c>
      <c r="B65" s="75">
        <v>73.569180217271054</v>
      </c>
      <c r="C65" s="75">
        <v>73.357050662940026</v>
      </c>
      <c r="D65" s="75">
        <v>67.054753267728415</v>
      </c>
      <c r="E65" s="76">
        <v>71.275588898314766</v>
      </c>
      <c r="F65" s="75">
        <v>79.286608010000009</v>
      </c>
      <c r="G65" s="75">
        <v>0</v>
      </c>
      <c r="H65" s="75">
        <v>0</v>
      </c>
      <c r="I65" s="75">
        <v>0</v>
      </c>
    </row>
    <row r="66" spans="1:9">
      <c r="A66" s="122" t="str">
        <f>HLOOKUP(INDICE!$F$2,Nombres!$C$3:$D$636,35,FALSE)</f>
        <v>Resultados de operaciones financieras</v>
      </c>
      <c r="B66" s="75">
        <v>47.506891635417247</v>
      </c>
      <c r="C66" s="75">
        <v>45.030783072410955</v>
      </c>
      <c r="D66" s="75">
        <v>48.930175203292194</v>
      </c>
      <c r="E66" s="76">
        <v>49.660051985367076</v>
      </c>
      <c r="F66" s="75">
        <v>37.96866103</v>
      </c>
      <c r="G66" s="75">
        <v>0</v>
      </c>
      <c r="H66" s="75">
        <v>0</v>
      </c>
      <c r="I66" s="75">
        <v>0</v>
      </c>
    </row>
    <row r="67" spans="1:9">
      <c r="A67" s="122" t="str">
        <f>HLOOKUP(INDICE!$F$2,Nombres!$C$3:$D$636,36,FALSE)</f>
        <v>Otros ingresos y cargas de explotación</v>
      </c>
      <c r="B67" s="75">
        <v>-12.992822503948611</v>
      </c>
      <c r="C67" s="75">
        <v>-8.9297728260064559</v>
      </c>
      <c r="D67" s="75">
        <v>-10.095559478446713</v>
      </c>
      <c r="E67" s="76">
        <v>-10.264938862327384</v>
      </c>
      <c r="F67" s="75">
        <v>-10.165000000000001</v>
      </c>
      <c r="G67" s="75">
        <v>0</v>
      </c>
      <c r="H67" s="75">
        <v>0</v>
      </c>
      <c r="I67" s="75">
        <v>0</v>
      </c>
    </row>
    <row r="68" spans="1:9">
      <c r="A68" s="25" t="str">
        <f>HLOOKUP(INDICE!$F$2,Nombres!$C$3:$D$636,37,FALSE)</f>
        <v>Margen bruto</v>
      </c>
      <c r="B68" s="25">
        <f t="shared" ref="B68:I68" si="9">+SUM(B64:B67)</f>
        <v>412.84651197647548</v>
      </c>
      <c r="C68" s="25">
        <f t="shared" si="9"/>
        <v>424.87829740586676</v>
      </c>
      <c r="D68" s="25">
        <f t="shared" si="9"/>
        <v>436.61372290198489</v>
      </c>
      <c r="E68" s="73">
        <f t="shared" si="9"/>
        <v>451.4615354021193</v>
      </c>
      <c r="F68" s="74">
        <f t="shared" si="9"/>
        <v>458.73926903999995</v>
      </c>
      <c r="G68" s="74">
        <f t="shared" si="9"/>
        <v>0</v>
      </c>
      <c r="H68" s="74">
        <f t="shared" si="9"/>
        <v>0</v>
      </c>
      <c r="I68" s="74">
        <f t="shared" si="9"/>
        <v>0</v>
      </c>
    </row>
    <row r="69" spans="1:9">
      <c r="A69" s="122" t="str">
        <f>HLOOKUP(INDICE!$F$2,Nombres!$C$3:$D$636,38,FALSE)</f>
        <v>Gastos de explotación</v>
      </c>
      <c r="B69" s="75">
        <v>-155.7416470213708</v>
      </c>
      <c r="C69" s="75">
        <v>-154.43420538442581</v>
      </c>
      <c r="D69" s="75">
        <v>-161.2747481589015</v>
      </c>
      <c r="E69" s="76">
        <v>-162.74505628481978</v>
      </c>
      <c r="F69" s="75">
        <v>-173.91662315000002</v>
      </c>
      <c r="G69" s="75">
        <v>0</v>
      </c>
      <c r="H69" s="75">
        <v>0</v>
      </c>
      <c r="I69" s="75">
        <v>0</v>
      </c>
    </row>
    <row r="70" spans="1:9">
      <c r="A70" s="122" t="str">
        <f>HLOOKUP(INDICE!$F$2,Nombres!$C$3:$D$636,39,FALSE)</f>
        <v xml:space="preserve">  Gastos de administración</v>
      </c>
      <c r="B70" s="75">
        <v>-136.35519664946077</v>
      </c>
      <c r="C70" s="75">
        <v>-135.15279367961145</v>
      </c>
      <c r="D70" s="75">
        <v>-142.61724891209997</v>
      </c>
      <c r="E70" s="76">
        <v>-142.99386319675625</v>
      </c>
      <c r="F70" s="75">
        <v>-150.90962315000002</v>
      </c>
      <c r="G70" s="75">
        <v>0</v>
      </c>
      <c r="H70" s="75">
        <v>0</v>
      </c>
      <c r="I70" s="75">
        <v>0</v>
      </c>
    </row>
    <row r="71" spans="1:9">
      <c r="A71" s="123" t="str">
        <f>HLOOKUP(INDICE!$F$2,Nombres!$C$3:$D$636,40,FALSE)</f>
        <v xml:space="preserve">  Gastos de personal</v>
      </c>
      <c r="B71" s="75">
        <v>-68.471783517567573</v>
      </c>
      <c r="C71" s="75">
        <v>-69.004869964454045</v>
      </c>
      <c r="D71" s="75">
        <v>-69.884335389136851</v>
      </c>
      <c r="E71" s="76">
        <v>-69.55325969605147</v>
      </c>
      <c r="F71" s="75">
        <v>-72.933999999999997</v>
      </c>
      <c r="G71" s="75">
        <v>0</v>
      </c>
      <c r="H71" s="75">
        <v>0</v>
      </c>
      <c r="I71" s="75">
        <v>0</v>
      </c>
    </row>
    <row r="72" spans="1:9">
      <c r="A72" s="123" t="str">
        <f>HLOOKUP(INDICE!$F$2,Nombres!$C$3:$D$636,41,FALSE)</f>
        <v xml:space="preserve">  Otros gastos de administración</v>
      </c>
      <c r="B72" s="75">
        <v>-67.883413131893178</v>
      </c>
      <c r="C72" s="75">
        <v>-66.147923715157418</v>
      </c>
      <c r="D72" s="75">
        <v>-72.732913522963088</v>
      </c>
      <c r="E72" s="76">
        <v>-73.440603500704825</v>
      </c>
      <c r="F72" s="75">
        <v>-77.975623150000004</v>
      </c>
      <c r="G72" s="75">
        <v>0</v>
      </c>
      <c r="H72" s="75">
        <v>0</v>
      </c>
      <c r="I72" s="75">
        <v>0</v>
      </c>
    </row>
    <row r="73" spans="1:9">
      <c r="A73" s="122" t="str">
        <f>HLOOKUP(INDICE!$F$2,Nombres!$C$3:$D$636,42,FALSE)</f>
        <v xml:space="preserve">  Amortización</v>
      </c>
      <c r="B73" s="75">
        <v>-19.386450371910048</v>
      </c>
      <c r="C73" s="75">
        <v>-19.281411704814364</v>
      </c>
      <c r="D73" s="75">
        <v>-18.657499246801528</v>
      </c>
      <c r="E73" s="76">
        <v>-19.751193088063509</v>
      </c>
      <c r="F73" s="75">
        <v>-23.006999999999998</v>
      </c>
      <c r="G73" s="75">
        <v>0</v>
      </c>
      <c r="H73" s="75">
        <v>0</v>
      </c>
      <c r="I73" s="75">
        <v>0</v>
      </c>
    </row>
    <row r="74" spans="1:9">
      <c r="A74" s="25" t="str">
        <f>HLOOKUP(INDICE!$F$2,Nombres!$C$3:$D$636,43,FALSE)</f>
        <v>Margen neto</v>
      </c>
      <c r="B74" s="25">
        <f t="shared" ref="B74:I74" si="10">+B68+B69</f>
        <v>257.10486495510469</v>
      </c>
      <c r="C74" s="25">
        <f t="shared" si="10"/>
        <v>270.44409202144095</v>
      </c>
      <c r="D74" s="25">
        <f t="shared" si="10"/>
        <v>275.33897474308338</v>
      </c>
      <c r="E74" s="73">
        <f t="shared" si="10"/>
        <v>288.71647911729951</v>
      </c>
      <c r="F74" s="74">
        <f t="shared" si="10"/>
        <v>284.82264588999993</v>
      </c>
      <c r="G74" s="74">
        <f t="shared" si="10"/>
        <v>0</v>
      </c>
      <c r="H74" s="74">
        <f t="shared" si="10"/>
        <v>0</v>
      </c>
      <c r="I74" s="74">
        <f t="shared" si="10"/>
        <v>0</v>
      </c>
    </row>
    <row r="75" spans="1:9">
      <c r="A75" s="122" t="str">
        <f>HLOOKUP(INDICE!$F$2,Nombres!$C$3:$D$636,44,FALSE)</f>
        <v>Deterioro de activos financieros no valorados a valor razonable con cambios en resultados</v>
      </c>
      <c r="B75" s="75">
        <v>-92.275412490225762</v>
      </c>
      <c r="C75" s="75">
        <v>-113.79340343791749</v>
      </c>
      <c r="D75" s="75">
        <v>-165.3421753671187</v>
      </c>
      <c r="E75" s="76">
        <v>-172.16637911818336</v>
      </c>
      <c r="F75" s="75">
        <v>-155.85</v>
      </c>
      <c r="G75" s="75">
        <v>0</v>
      </c>
      <c r="H75" s="75">
        <v>0</v>
      </c>
      <c r="I75" s="75">
        <v>0</v>
      </c>
    </row>
    <row r="76" spans="1:9">
      <c r="A76" s="122" t="str">
        <f>HLOOKUP(INDICE!$F$2,Nombres!$C$3:$D$636,45,FALSE)</f>
        <v>Provisiones o reversión de provisiones y otros resultados</v>
      </c>
      <c r="B76" s="75">
        <v>2.0927699749742041</v>
      </c>
      <c r="C76" s="75">
        <v>-1.1798257492030748</v>
      </c>
      <c r="D76" s="75">
        <v>6.0926648294626986</v>
      </c>
      <c r="E76" s="76">
        <v>-19.530264360783647</v>
      </c>
      <c r="F76" s="75">
        <v>-7.9879999999999995</v>
      </c>
      <c r="G76" s="75">
        <v>0</v>
      </c>
      <c r="H76" s="75">
        <v>0</v>
      </c>
      <c r="I76" s="75">
        <v>0</v>
      </c>
    </row>
    <row r="77" spans="1:9">
      <c r="A77" s="124" t="str">
        <f>HLOOKUP(INDICE!$F$2,Nombres!$C$3:$D$636,46,FALSE)</f>
        <v>Resultado antes de impuestos</v>
      </c>
      <c r="B77" s="25">
        <f t="shared" ref="B77:I77" si="11">+B74+B75+B76</f>
        <v>166.92222243985313</v>
      </c>
      <c r="C77" s="25">
        <f t="shared" si="11"/>
        <v>155.47086283432037</v>
      </c>
      <c r="D77" s="25">
        <f t="shared" si="11"/>
        <v>116.08946420542739</v>
      </c>
      <c r="E77" s="73">
        <f t="shared" si="11"/>
        <v>97.019835638332509</v>
      </c>
      <c r="F77" s="74">
        <f t="shared" si="11"/>
        <v>120.98464588999994</v>
      </c>
      <c r="G77" s="74">
        <f t="shared" si="11"/>
        <v>0</v>
      </c>
      <c r="H77" s="74">
        <f t="shared" si="11"/>
        <v>0</v>
      </c>
      <c r="I77" s="74">
        <f t="shared" si="11"/>
        <v>0</v>
      </c>
    </row>
    <row r="78" spans="1:9">
      <c r="A78" s="17" t="str">
        <f>HLOOKUP(INDICE!$F$2,Nombres!$C$3:$D$636,47,FALSE)</f>
        <v>Impuesto sobre beneficios</v>
      </c>
      <c r="B78" s="75">
        <v>-45.998557538287997</v>
      </c>
      <c r="C78" s="75">
        <v>-40.096196471756244</v>
      </c>
      <c r="D78" s="75">
        <v>-24.834822185507704</v>
      </c>
      <c r="E78" s="76">
        <v>5.0306091646687214</v>
      </c>
      <c r="F78" s="75">
        <v>-29.057025230000001</v>
      </c>
      <c r="G78" s="75">
        <v>0</v>
      </c>
      <c r="H78" s="75">
        <v>0</v>
      </c>
      <c r="I78" s="75">
        <v>0</v>
      </c>
    </row>
    <row r="79" spans="1:9">
      <c r="A79" s="124" t="str">
        <f>HLOOKUP(INDICE!$F$2,Nombres!$C$3:$D$636,48,FALSE)</f>
        <v>Resultado del ejercicio</v>
      </c>
      <c r="B79" s="25">
        <f t="shared" ref="B79:I79" si="12">+B77+B78</f>
        <v>120.92366490156513</v>
      </c>
      <c r="C79" s="25">
        <f t="shared" si="12"/>
        <v>115.37466636256413</v>
      </c>
      <c r="D79" s="25">
        <f t="shared" si="12"/>
        <v>91.254642019919686</v>
      </c>
      <c r="E79" s="73">
        <f t="shared" si="12"/>
        <v>102.05044480300123</v>
      </c>
      <c r="F79" s="74">
        <f t="shared" si="12"/>
        <v>91.927620659999945</v>
      </c>
      <c r="G79" s="74">
        <f t="shared" si="12"/>
        <v>0</v>
      </c>
      <c r="H79" s="74">
        <f t="shared" si="12"/>
        <v>0</v>
      </c>
      <c r="I79" s="74">
        <f t="shared" si="12"/>
        <v>0</v>
      </c>
    </row>
    <row r="80" spans="1:9">
      <c r="A80" s="122" t="str">
        <f>HLOOKUP(INDICE!$F$2,Nombres!$C$3:$D$636,49,FALSE)</f>
        <v>Minoritarios</v>
      </c>
      <c r="B80" s="75">
        <v>-64.729225342432628</v>
      </c>
      <c r="C80" s="75">
        <v>-63.35804895102676</v>
      </c>
      <c r="D80" s="75">
        <v>-49.729635715958381</v>
      </c>
      <c r="E80" s="76">
        <v>-55.231894338519069</v>
      </c>
      <c r="F80" s="75">
        <v>-49.519100859999995</v>
      </c>
      <c r="G80" s="75">
        <v>0</v>
      </c>
      <c r="H80" s="75">
        <v>0</v>
      </c>
      <c r="I80" s="75">
        <v>0</v>
      </c>
    </row>
    <row r="81" spans="1:9">
      <c r="A81" s="125" t="str">
        <f>HLOOKUP(INDICE!$F$2,Nombres!$C$3:$D$636,50,FALSE)</f>
        <v>Resultado atribuido</v>
      </c>
      <c r="B81" s="19">
        <f t="shared" ref="B81:I81" si="13">+B79+B80</f>
        <v>56.194439559132505</v>
      </c>
      <c r="C81" s="19">
        <f t="shared" si="13"/>
        <v>52.016617411537368</v>
      </c>
      <c r="D81" s="19">
        <f t="shared" si="13"/>
        <v>41.525006303961305</v>
      </c>
      <c r="E81" s="19">
        <f t="shared" si="13"/>
        <v>46.818550464482158</v>
      </c>
      <c r="F81" s="94">
        <f t="shared" si="13"/>
        <v>42.408519799999951</v>
      </c>
      <c r="G81" s="94">
        <f t="shared" si="13"/>
        <v>0</v>
      </c>
      <c r="H81" s="94">
        <f t="shared" si="13"/>
        <v>0</v>
      </c>
      <c r="I81" s="94">
        <f t="shared" si="13"/>
        <v>0</v>
      </c>
    </row>
    <row r="82" spans="1:9">
      <c r="A82" s="126"/>
      <c r="B82" s="99">
        <v>-8.5265128291212022E-14</v>
      </c>
      <c r="C82" s="99">
        <v>0</v>
      </c>
      <c r="D82" s="99">
        <v>0</v>
      </c>
      <c r="E82" s="99">
        <v>0</v>
      </c>
      <c r="F82" s="99">
        <v>0</v>
      </c>
      <c r="G82" s="99">
        <v>0</v>
      </c>
      <c r="H82" s="99">
        <v>0</v>
      </c>
      <c r="I82" s="99">
        <v>0</v>
      </c>
    </row>
    <row r="83" spans="1:9">
      <c r="A83" s="124"/>
      <c r="B83" s="25"/>
      <c r="C83" s="25"/>
      <c r="D83" s="25"/>
      <c r="E83" s="25"/>
      <c r="F83" s="74"/>
      <c r="G83" s="74"/>
      <c r="H83" s="74"/>
      <c r="I83" s="74"/>
    </row>
    <row r="84" spans="1:9" ht="17">
      <c r="A84" s="116" t="str">
        <f>HLOOKUP(INDICE!$F$2,Nombres!$C$3:$D$636,51,FALSE)</f>
        <v>Balances</v>
      </c>
      <c r="B84" s="66"/>
      <c r="C84" s="66"/>
      <c r="D84" s="66"/>
      <c r="E84" s="66"/>
      <c r="F84" s="104"/>
      <c r="G84" s="104"/>
      <c r="H84" s="104"/>
      <c r="I84" s="104"/>
    </row>
    <row r="85" spans="1:9">
      <c r="A85" s="11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22" t="str">
        <f>HLOOKUP(INDICE!$F$2,Nombres!$C$3:$D$636,52,FALSE)</f>
        <v>Efectivo, saldos en efectivo en bancos centrales y otros depósitos a la vista</v>
      </c>
      <c r="B87" s="75">
        <v>3369.2252258382969</v>
      </c>
      <c r="C87" s="75">
        <v>3524.1956000916944</v>
      </c>
      <c r="D87" s="75">
        <v>2707.8516201110442</v>
      </c>
      <c r="E87" s="76">
        <v>2125.3344383337526</v>
      </c>
      <c r="F87" s="75">
        <v>3283.3849999999998</v>
      </c>
      <c r="G87" s="75">
        <v>0</v>
      </c>
      <c r="H87" s="75">
        <v>0</v>
      </c>
      <c r="I87" s="75">
        <v>0</v>
      </c>
    </row>
    <row r="88" spans="1:9">
      <c r="A88" s="122" t="str">
        <f>HLOOKUP(INDICE!$F$2,Nombres!$C$3:$D$636,53,FALSE)</f>
        <v>Activos financieros a valor razonable</v>
      </c>
      <c r="B88" s="83">
        <v>3267.9955368874994</v>
      </c>
      <c r="C88" s="83">
        <v>2977.6937647752575</v>
      </c>
      <c r="D88" s="83">
        <v>3017.5273319478802</v>
      </c>
      <c r="E88" s="95">
        <v>4065.5817728982593</v>
      </c>
      <c r="F88" s="75">
        <v>3915.8040000000001</v>
      </c>
      <c r="G88" s="75">
        <v>0</v>
      </c>
      <c r="H88" s="75">
        <v>0</v>
      </c>
      <c r="I88" s="75">
        <v>0</v>
      </c>
    </row>
    <row r="89" spans="1:9">
      <c r="A89" s="17" t="str">
        <f>HLOOKUP(INDICE!$F$2,Nombres!$C$3:$D$636,54,FALSE)</f>
        <v>Activos financieros a coste amortizado</v>
      </c>
      <c r="B89" s="75">
        <v>17961.388859730891</v>
      </c>
      <c r="C89" s="75">
        <v>17542.067397555547</v>
      </c>
      <c r="D89" s="75">
        <v>17789.294128478239</v>
      </c>
      <c r="E89" s="76">
        <v>18145.51885232218</v>
      </c>
      <c r="F89" s="75">
        <v>18718.406999999999</v>
      </c>
      <c r="G89" s="75">
        <v>0</v>
      </c>
      <c r="H89" s="75">
        <v>0</v>
      </c>
      <c r="I89" s="75">
        <v>0</v>
      </c>
    </row>
    <row r="90" spans="1:9">
      <c r="A90" s="122" t="str">
        <f>HLOOKUP(INDICE!$F$2,Nombres!$C$3:$D$636,55,FALSE)</f>
        <v xml:space="preserve">    de los que préstamos y anticipos a la clientela</v>
      </c>
      <c r="B90" s="75">
        <v>17422.275940553736</v>
      </c>
      <c r="C90" s="75">
        <v>17202.04325171607</v>
      </c>
      <c r="D90" s="75">
        <v>17286.694792634524</v>
      </c>
      <c r="E90" s="76">
        <v>17675.080269834187</v>
      </c>
      <c r="F90" s="75">
        <v>18012.972000000002</v>
      </c>
      <c r="G90" s="75">
        <v>0</v>
      </c>
      <c r="H90" s="75">
        <v>0</v>
      </c>
      <c r="I90" s="75">
        <v>0</v>
      </c>
    </row>
    <row r="91" spans="1:9" hidden="1">
      <c r="A91" s="122"/>
      <c r="B91" s="75"/>
      <c r="C91" s="75"/>
      <c r="D91" s="75"/>
      <c r="E91" s="76"/>
      <c r="F91" s="75"/>
      <c r="G91" s="75"/>
      <c r="H91" s="75"/>
      <c r="I91" s="75"/>
    </row>
    <row r="92" spans="1:9">
      <c r="A92" s="17" t="str">
        <f>HLOOKUP(INDICE!$F$2,Nombres!$C$3:$D$636,56,FALSE)</f>
        <v>Activos tangibles</v>
      </c>
      <c r="B92" s="75">
        <v>312.64695951260336</v>
      </c>
      <c r="C92" s="75">
        <v>314.83462741340946</v>
      </c>
      <c r="D92" s="75">
        <v>320.19242914573437</v>
      </c>
      <c r="E92" s="76">
        <v>354.48515155946643</v>
      </c>
      <c r="F92" s="75">
        <v>342.89600000000002</v>
      </c>
      <c r="G92" s="75">
        <v>0</v>
      </c>
      <c r="H92" s="75">
        <v>0</v>
      </c>
      <c r="I92" s="75">
        <v>0</v>
      </c>
    </row>
    <row r="93" spans="1:9">
      <c r="A93" s="122" t="str">
        <f>HLOOKUP(INDICE!$F$2,Nombres!$C$3:$D$636,57,FALSE)</f>
        <v>Otros activos</v>
      </c>
      <c r="B93" s="83">
        <f t="shared" ref="B93:I93" si="15">+B94-B92-B89-B88-B87</f>
        <v>549.60921984357583</v>
      </c>
      <c r="C93" s="83">
        <f t="shared" si="15"/>
        <v>545.53838263270427</v>
      </c>
      <c r="D93" s="83">
        <f t="shared" si="15"/>
        <v>603.04537657283709</v>
      </c>
      <c r="E93" s="95">
        <f t="shared" si="15"/>
        <v>684.49111007780448</v>
      </c>
      <c r="F93" s="75">
        <f t="shared" si="15"/>
        <v>821.13154502000043</v>
      </c>
      <c r="G93" s="75">
        <f t="shared" si="15"/>
        <v>0</v>
      </c>
      <c r="H93" s="75">
        <f t="shared" si="15"/>
        <v>0</v>
      </c>
      <c r="I93" s="75">
        <f t="shared" si="15"/>
        <v>0</v>
      </c>
    </row>
    <row r="94" spans="1:9">
      <c r="A94" s="125" t="str">
        <f>HLOOKUP(INDICE!$F$2,Nombres!$C$3:$D$636,58,FALSE)</f>
        <v>Total activo / pasivo</v>
      </c>
      <c r="B94" s="19">
        <v>25460.865801812866</v>
      </c>
      <c r="C94" s="19">
        <v>24904.329772468613</v>
      </c>
      <c r="D94" s="19">
        <v>24437.910886255733</v>
      </c>
      <c r="E94" s="19">
        <v>25375.411325191464</v>
      </c>
      <c r="F94" s="94">
        <v>27081.62354502</v>
      </c>
      <c r="G94" s="94">
        <v>0</v>
      </c>
      <c r="H94" s="94">
        <v>0</v>
      </c>
      <c r="I94" s="94">
        <v>0</v>
      </c>
    </row>
    <row r="95" spans="1:9">
      <c r="A95" s="122" t="str">
        <f>HLOOKUP(INDICE!$F$2,Nombres!$C$3:$D$636,59,FALSE)</f>
        <v>Pasivos financieros mantenidos para negociar y designados a valor razonable con cambios en resultados</v>
      </c>
      <c r="B95" s="83">
        <v>373.24620675457965</v>
      </c>
      <c r="C95" s="83">
        <v>357.2320104375849</v>
      </c>
      <c r="D95" s="83">
        <v>329.24970802460177</v>
      </c>
      <c r="E95" s="95">
        <v>359.39449906443724</v>
      </c>
      <c r="F95" s="75">
        <v>378.36400000000003</v>
      </c>
      <c r="G95" s="75">
        <v>0</v>
      </c>
      <c r="H95" s="75">
        <v>0</v>
      </c>
      <c r="I95" s="75">
        <v>0</v>
      </c>
    </row>
    <row r="96" spans="1:9">
      <c r="A96" s="122" t="str">
        <f>HLOOKUP(INDICE!$F$2,Nombres!$C$3:$D$636,60,FALSE)</f>
        <v>Depósitos de bancos centrales y entidades de crédito</v>
      </c>
      <c r="B96" s="83">
        <v>3100.8155028499314</v>
      </c>
      <c r="C96" s="83">
        <v>3226.0133016066147</v>
      </c>
      <c r="D96" s="83">
        <v>2839.4400046140886</v>
      </c>
      <c r="E96" s="95">
        <v>2921.2069398320127</v>
      </c>
      <c r="F96" s="75">
        <v>3054.9120000000003</v>
      </c>
      <c r="G96" s="75">
        <v>0</v>
      </c>
      <c r="H96" s="75">
        <v>0</v>
      </c>
      <c r="I96" s="75">
        <v>0</v>
      </c>
    </row>
    <row r="97" spans="1:9">
      <c r="A97" s="122" t="str">
        <f>HLOOKUP(INDICE!$F$2,Nombres!$C$3:$D$636,61,FALSE)</f>
        <v>Depósitos de la clientela</v>
      </c>
      <c r="B97" s="83">
        <v>16741.93458924396</v>
      </c>
      <c r="C97" s="83">
        <v>16536.204306134925</v>
      </c>
      <c r="D97" s="83">
        <v>16683.210033147636</v>
      </c>
      <c r="E97" s="95">
        <v>17317.280644178281</v>
      </c>
      <c r="F97" s="75">
        <v>17226.482000000004</v>
      </c>
      <c r="G97" s="75">
        <v>0</v>
      </c>
      <c r="H97" s="75">
        <v>0</v>
      </c>
      <c r="I97" s="75">
        <v>0</v>
      </c>
    </row>
    <row r="98" spans="1:9">
      <c r="A98" s="17" t="str">
        <f>HLOOKUP(INDICE!$F$2,Nombres!$C$3:$D$636,62,FALSE)</f>
        <v>Valores representativos de deuda emitidos</v>
      </c>
      <c r="B98" s="75">
        <v>955.41976019883884</v>
      </c>
      <c r="C98" s="75">
        <v>1004.8169187395245</v>
      </c>
      <c r="D98" s="75">
        <v>874.76841725334793</v>
      </c>
      <c r="E98" s="76">
        <v>831.97696277363116</v>
      </c>
      <c r="F98" s="75">
        <v>918.24040793999995</v>
      </c>
      <c r="G98" s="75">
        <v>0</v>
      </c>
      <c r="H98" s="75">
        <v>0</v>
      </c>
      <c r="I98" s="75">
        <v>0</v>
      </c>
    </row>
    <row r="99" spans="1:9" hidden="1">
      <c r="A99" s="17"/>
      <c r="B99" s="75"/>
      <c r="C99" s="75"/>
      <c r="D99" s="75"/>
      <c r="E99" s="76"/>
      <c r="F99" s="75"/>
      <c r="G99" s="75"/>
      <c r="H99" s="75"/>
      <c r="I99" s="75"/>
    </row>
    <row r="100" spans="1:9">
      <c r="A100" s="122" t="str">
        <f>HLOOKUP(INDICE!$F$2,Nombres!$C$3:$D$636,63,FALSE)</f>
        <v>Otros pasivos</v>
      </c>
      <c r="B100" s="83">
        <f t="shared" ref="B100:I100" si="16">+B94-B95-B96-B97-B98-B101</f>
        <v>1956.032817736475</v>
      </c>
      <c r="C100" s="83">
        <f t="shared" si="16"/>
        <v>1397.4053091347582</v>
      </c>
      <c r="D100" s="83">
        <f t="shared" si="16"/>
        <v>1359.8006231384079</v>
      </c>
      <c r="E100" s="95">
        <f t="shared" si="16"/>
        <v>1517.3546009018546</v>
      </c>
      <c r="F100" s="75">
        <f t="shared" si="16"/>
        <v>3085.8675766099946</v>
      </c>
      <c r="G100" s="75">
        <f t="shared" si="16"/>
        <v>0</v>
      </c>
      <c r="H100" s="75">
        <f t="shared" si="16"/>
        <v>0</v>
      </c>
      <c r="I100" s="75">
        <f t="shared" si="16"/>
        <v>0</v>
      </c>
    </row>
    <row r="101" spans="1:9">
      <c r="A101" s="17" t="str">
        <f>HLOOKUP(INDICE!$F$2,Nombres!$C$3:$D$636,282,FALSE)</f>
        <v>Dotación de capital regulatorio</v>
      </c>
      <c r="B101" s="83">
        <v>2333.4169250290829</v>
      </c>
      <c r="C101" s="83">
        <v>2382.6579264152083</v>
      </c>
      <c r="D101" s="83">
        <v>2351.442100077651</v>
      </c>
      <c r="E101" s="95">
        <v>2428.1976784412464</v>
      </c>
      <c r="F101" s="75">
        <v>2417.75756047</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116" t="str">
        <f>HLOOKUP(INDICE!$F$2,Nombres!$C$3:$D$636,65,FALSE)</f>
        <v>Indicadores relevantes y de gestión</v>
      </c>
      <c r="B104" s="66"/>
      <c r="C104" s="66"/>
      <c r="D104" s="66"/>
      <c r="E104" s="66"/>
      <c r="F104" s="104"/>
      <c r="G104" s="104"/>
      <c r="H104" s="104"/>
      <c r="I104" s="104"/>
    </row>
    <row r="105" spans="1:9">
      <c r="A105" s="11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22" t="str">
        <f>HLOOKUP(INDICE!$F$2,Nombres!$C$3:$D$636,66,FALSE)</f>
        <v>Préstamos y anticipos a la clientela bruto (*)</v>
      </c>
      <c r="B107" s="75">
        <v>18330.399629748837</v>
      </c>
      <c r="C107" s="75">
        <v>18057.606462132087</v>
      </c>
      <c r="D107" s="75">
        <v>18247.109809632369</v>
      </c>
      <c r="E107" s="76">
        <v>18663.115592319919</v>
      </c>
      <c r="F107" s="75">
        <v>19007.905999999999</v>
      </c>
      <c r="G107" s="75">
        <v>0</v>
      </c>
      <c r="H107" s="75">
        <v>0</v>
      </c>
      <c r="I107" s="75">
        <v>0</v>
      </c>
    </row>
    <row r="108" spans="1:9">
      <c r="A108" s="122" t="str">
        <f>HLOOKUP(INDICE!$F$2,Nombres!$C$3:$D$636,67,FALSE)</f>
        <v>Depósitos de clientes en gestión (**)</v>
      </c>
      <c r="B108" s="75">
        <v>16741.93458924396</v>
      </c>
      <c r="C108" s="75">
        <v>16536.204306134925</v>
      </c>
      <c r="D108" s="75">
        <v>16683.210033147639</v>
      </c>
      <c r="E108" s="76">
        <v>17317.280644178281</v>
      </c>
      <c r="F108" s="75">
        <v>17226.481999999996</v>
      </c>
      <c r="G108" s="75">
        <v>0</v>
      </c>
      <c r="H108" s="75">
        <v>0</v>
      </c>
      <c r="I108" s="75">
        <v>0</v>
      </c>
    </row>
    <row r="109" spans="1:9">
      <c r="A109" s="17" t="str">
        <f>HLOOKUP(INDICE!$F$2,Nombres!$C$3:$D$636,68,FALSE)</f>
        <v>Fondos de inversión y carteras gestionadas</v>
      </c>
      <c r="B109" s="75">
        <v>1474.571172049506</v>
      </c>
      <c r="C109" s="75">
        <v>1440.9307521522392</v>
      </c>
      <c r="D109" s="75">
        <v>1746.7230934308461</v>
      </c>
      <c r="E109" s="76">
        <v>1607.5754238516465</v>
      </c>
      <c r="F109" s="75">
        <v>1823.79947253</v>
      </c>
      <c r="G109" s="75">
        <v>0</v>
      </c>
      <c r="H109" s="75">
        <v>0</v>
      </c>
      <c r="I109" s="75">
        <v>0</v>
      </c>
    </row>
    <row r="110" spans="1:9">
      <c r="A110" s="122" t="str">
        <f>HLOOKUP(INDICE!$F$2,Nombres!$C$3:$D$636,69,FALSE)</f>
        <v>Fondos de pensiones</v>
      </c>
      <c r="B110" s="75">
        <v>0</v>
      </c>
      <c r="C110" s="75">
        <v>0</v>
      </c>
      <c r="D110" s="75">
        <v>0</v>
      </c>
      <c r="E110" s="76">
        <v>0</v>
      </c>
      <c r="F110" s="75">
        <v>0</v>
      </c>
      <c r="G110" s="75">
        <v>0</v>
      </c>
      <c r="H110" s="75">
        <v>0</v>
      </c>
      <c r="I110" s="75">
        <v>0</v>
      </c>
    </row>
    <row r="111" spans="1:9">
      <c r="A111" s="122" t="str">
        <f>HLOOKUP(INDICE!$F$2,Nombres!$C$3:$D$636,70,FALSE)</f>
        <v>Otros recursos fuera de balance</v>
      </c>
      <c r="B111" s="75">
        <v>0</v>
      </c>
      <c r="C111" s="75">
        <v>0</v>
      </c>
      <c r="D111" s="75">
        <v>0</v>
      </c>
      <c r="E111" s="76">
        <v>0</v>
      </c>
      <c r="F111" s="75">
        <v>0</v>
      </c>
      <c r="G111" s="75">
        <v>0</v>
      </c>
      <c r="H111" s="75">
        <v>0</v>
      </c>
      <c r="I111" s="75">
        <v>0</v>
      </c>
    </row>
    <row r="112" spans="1:9">
      <c r="A112" s="126" t="str">
        <f>HLOOKUP(INDICE!$F$2,Nombres!$C$3:$D$636,71,FALSE)</f>
        <v>(*) No incluye las adquisiciones temporales de activos.</v>
      </c>
      <c r="B112" s="83"/>
      <c r="C112" s="83"/>
      <c r="D112" s="83"/>
      <c r="E112" s="83"/>
      <c r="F112" s="83"/>
      <c r="G112" s="83"/>
      <c r="H112" s="83"/>
      <c r="I112" s="83"/>
    </row>
    <row r="113" spans="1:9">
      <c r="A113" s="126"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116" t="str">
        <f>HLOOKUP(INDICE!$F$2,Nombres!$C$3:$D$636,31,FALSE)</f>
        <v xml:space="preserve">Cuenta de resultados  </v>
      </c>
      <c r="B115" s="66"/>
      <c r="C115" s="66"/>
      <c r="D115" s="66"/>
      <c r="E115" s="66"/>
      <c r="F115" s="66"/>
      <c r="G115" s="66"/>
      <c r="H115" s="66"/>
      <c r="I115" s="66"/>
    </row>
    <row r="116" spans="1:9">
      <c r="A116" s="117" t="str">
        <f>HLOOKUP(INDICE!$F$2,Nombres!$C$3:$D$636,79,FALSE)</f>
        <v>(Millones de soles peruanos)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118" t="str">
        <f t="shared" ref="B119:I119" si="18">+B$7</f>
        <v>1er Trim.</v>
      </c>
      <c r="C119" s="118" t="str">
        <f t="shared" si="18"/>
        <v>2º Trim.</v>
      </c>
      <c r="D119" s="118" t="str">
        <f t="shared" si="18"/>
        <v>3er Trim.</v>
      </c>
      <c r="E119" s="119" t="str">
        <f t="shared" si="18"/>
        <v>4º Trim.</v>
      </c>
      <c r="F119" s="118" t="str">
        <f t="shared" si="18"/>
        <v>1er Trim.</v>
      </c>
      <c r="G119" s="118" t="str">
        <f t="shared" si="18"/>
        <v>2º Trim.</v>
      </c>
      <c r="H119" s="118" t="str">
        <f t="shared" si="18"/>
        <v>3er Trim.</v>
      </c>
      <c r="I119" s="118" t="str">
        <f t="shared" si="18"/>
        <v>4º Trim.</v>
      </c>
    </row>
    <row r="120" spans="1:9">
      <c r="A120" s="25" t="str">
        <f>HLOOKUP(INDICE!$F$2,Nombres!$C$3:$D$636,33,FALSE)</f>
        <v>Margen de intereses</v>
      </c>
      <c r="B120" s="25">
        <v>1243.0961290642495</v>
      </c>
      <c r="C120" s="25">
        <v>1286.5647638649243</v>
      </c>
      <c r="D120" s="25">
        <v>1348.9885906433674</v>
      </c>
      <c r="E120" s="73">
        <v>1390.048663160801</v>
      </c>
      <c r="F120" s="74">
        <v>1434.337941260548</v>
      </c>
      <c r="G120" s="74">
        <v>0</v>
      </c>
      <c r="H120" s="74">
        <v>0</v>
      </c>
      <c r="I120" s="74">
        <v>0</v>
      </c>
    </row>
    <row r="121" spans="1:9">
      <c r="A121" s="122" t="str">
        <f>HLOOKUP(INDICE!$F$2,Nombres!$C$3:$D$636,34,FALSE)</f>
        <v>Comisiones netas</v>
      </c>
      <c r="B121" s="75">
        <v>300.08066706592876</v>
      </c>
      <c r="C121" s="75">
        <v>299.21541373593288</v>
      </c>
      <c r="D121" s="75">
        <v>273.50902961125331</v>
      </c>
      <c r="E121" s="76">
        <v>290.7253580773496</v>
      </c>
      <c r="F121" s="75">
        <v>323.40143183286591</v>
      </c>
      <c r="G121" s="75">
        <v>0</v>
      </c>
      <c r="H121" s="75">
        <v>0</v>
      </c>
      <c r="I121" s="75">
        <v>0</v>
      </c>
    </row>
    <row r="122" spans="1:9">
      <c r="A122" s="122" t="str">
        <f>HLOOKUP(INDICE!$F$2,Nombres!$C$3:$D$636,35,FALSE)</f>
        <v>Resultados de operaciones financieras</v>
      </c>
      <c r="B122" s="75">
        <v>193.77543272988777</v>
      </c>
      <c r="C122" s="75">
        <v>183.67565579720761</v>
      </c>
      <c r="D122" s="75">
        <v>199.58085126534701</v>
      </c>
      <c r="E122" s="76">
        <v>202.5579391028644</v>
      </c>
      <c r="F122" s="75">
        <v>154.87002975748482</v>
      </c>
      <c r="G122" s="75">
        <v>0</v>
      </c>
      <c r="H122" s="75">
        <v>0</v>
      </c>
      <c r="I122" s="75">
        <v>0</v>
      </c>
    </row>
    <row r="123" spans="1:9">
      <c r="A123" s="122" t="str">
        <f>HLOOKUP(INDICE!$F$2,Nombres!$C$3:$D$636,36,FALSE)</f>
        <v>Otros ingresos y cargas de explotación</v>
      </c>
      <c r="B123" s="75">
        <v>-52.996306776010627</v>
      </c>
      <c r="C123" s="75">
        <v>-36.423570012081612</v>
      </c>
      <c r="D123" s="75">
        <v>-41.178686696645428</v>
      </c>
      <c r="E123" s="76">
        <v>-41.869566741142577</v>
      </c>
      <c r="F123" s="75">
        <v>-41.461927015044743</v>
      </c>
      <c r="G123" s="75">
        <v>0</v>
      </c>
      <c r="H123" s="75">
        <v>0</v>
      </c>
      <c r="I123" s="75">
        <v>0</v>
      </c>
    </row>
    <row r="124" spans="1:9">
      <c r="A124" s="25" t="str">
        <f>HLOOKUP(INDICE!$F$2,Nombres!$C$3:$D$636,37,FALSE)</f>
        <v>Margen bruto</v>
      </c>
      <c r="B124" s="25">
        <f t="shared" ref="B124:I124" si="19">+SUM(B120:B123)</f>
        <v>1683.9559220840554</v>
      </c>
      <c r="C124" s="25">
        <f t="shared" si="19"/>
        <v>1733.0322633859832</v>
      </c>
      <c r="D124" s="25">
        <f t="shared" si="19"/>
        <v>1780.8997848233223</v>
      </c>
      <c r="E124" s="73">
        <f t="shared" si="19"/>
        <v>1841.4623935998723</v>
      </c>
      <c r="F124" s="74">
        <f t="shared" si="19"/>
        <v>1871.147475835854</v>
      </c>
      <c r="G124" s="74">
        <f t="shared" si="19"/>
        <v>0</v>
      </c>
      <c r="H124" s="74">
        <f t="shared" si="19"/>
        <v>0</v>
      </c>
      <c r="I124" s="74">
        <f t="shared" si="19"/>
        <v>0</v>
      </c>
    </row>
    <row r="125" spans="1:9">
      <c r="A125" s="122" t="str">
        <f>HLOOKUP(INDICE!$F$2,Nombres!$C$3:$D$636,38,FALSE)</f>
        <v>Gastos de explotación</v>
      </c>
      <c r="B125" s="75">
        <v>-635.25320236133166</v>
      </c>
      <c r="C125" s="75">
        <v>-629.9202904353657</v>
      </c>
      <c r="D125" s="75">
        <v>-657.82211879331953</v>
      </c>
      <c r="E125" s="76">
        <v>-663.81934537536097</v>
      </c>
      <c r="F125" s="75">
        <v>-709.38694891769217</v>
      </c>
      <c r="G125" s="75">
        <v>0</v>
      </c>
      <c r="H125" s="75">
        <v>0</v>
      </c>
      <c r="I125" s="75">
        <v>0</v>
      </c>
    </row>
    <row r="126" spans="1:9">
      <c r="A126" s="122" t="str">
        <f>HLOOKUP(INDICE!$F$2,Nombres!$C$3:$D$636,39,FALSE)</f>
        <v xml:space="preserve">  Gastos de administración</v>
      </c>
      <c r="B126" s="75">
        <v>-556.17798441731577</v>
      </c>
      <c r="C126" s="75">
        <v>-551.27351376521892</v>
      </c>
      <c r="D126" s="75">
        <v>-581.72021303295196</v>
      </c>
      <c r="E126" s="76">
        <v>-583.25638164910958</v>
      </c>
      <c r="F126" s="75">
        <v>-615.5439036805908</v>
      </c>
      <c r="G126" s="75">
        <v>0</v>
      </c>
      <c r="H126" s="75">
        <v>0</v>
      </c>
      <c r="I126" s="75">
        <v>0</v>
      </c>
    </row>
    <row r="127" spans="1:9">
      <c r="A127" s="123" t="str">
        <f>HLOOKUP(INDICE!$F$2,Nombres!$C$3:$D$636,40,FALSE)</f>
        <v xml:space="preserve">  Gastos de personal</v>
      </c>
      <c r="B127" s="75">
        <v>-279.28894154405606</v>
      </c>
      <c r="C127" s="75">
        <v>-281.46334305448568</v>
      </c>
      <c r="D127" s="75">
        <v>-285.05058666003941</v>
      </c>
      <c r="E127" s="76">
        <v>-283.70016499519306</v>
      </c>
      <c r="F127" s="75">
        <v>-297.48983619432101</v>
      </c>
      <c r="G127" s="75">
        <v>0</v>
      </c>
      <c r="H127" s="75">
        <v>0</v>
      </c>
      <c r="I127" s="75">
        <v>0</v>
      </c>
    </row>
    <row r="128" spans="1:9">
      <c r="A128" s="123" t="str">
        <f>HLOOKUP(INDICE!$F$2,Nombres!$C$3:$D$636,41,FALSE)</f>
        <v xml:space="preserve">  Otros gastos de administración</v>
      </c>
      <c r="B128" s="75">
        <v>-276.88904287325965</v>
      </c>
      <c r="C128" s="75">
        <v>-269.81017071073325</v>
      </c>
      <c r="D128" s="75">
        <v>-296.6696263729126</v>
      </c>
      <c r="E128" s="76">
        <v>-299.55621665391641</v>
      </c>
      <c r="F128" s="75">
        <v>-318.0540674862699</v>
      </c>
      <c r="G128" s="75">
        <v>0</v>
      </c>
      <c r="H128" s="75">
        <v>0</v>
      </c>
      <c r="I128" s="75">
        <v>0</v>
      </c>
    </row>
    <row r="129" spans="1:9">
      <c r="A129" s="122" t="str">
        <f>HLOOKUP(INDICE!$F$2,Nombres!$C$3:$D$636,42,FALSE)</f>
        <v xml:space="preserve">  Amortización</v>
      </c>
      <c r="B129" s="75">
        <v>-79.075217944015876</v>
      </c>
      <c r="C129" s="75">
        <v>-78.646776670146835</v>
      </c>
      <c r="D129" s="75">
        <v>-76.101905760367629</v>
      </c>
      <c r="E129" s="76">
        <v>-80.562963726251382</v>
      </c>
      <c r="F129" s="75">
        <v>-93.843045237101265</v>
      </c>
      <c r="G129" s="75">
        <v>0</v>
      </c>
      <c r="H129" s="75">
        <v>0</v>
      </c>
      <c r="I129" s="75">
        <v>0</v>
      </c>
    </row>
    <row r="130" spans="1:9">
      <c r="A130" s="25" t="str">
        <f>HLOOKUP(INDICE!$F$2,Nombres!$C$3:$D$636,43,FALSE)</f>
        <v>Margen neto</v>
      </c>
      <c r="B130" s="25">
        <f t="shared" ref="B130:I130" si="20">+B124+B125</f>
        <v>1048.7027197227237</v>
      </c>
      <c r="C130" s="25">
        <f t="shared" si="20"/>
        <v>1103.1119729506177</v>
      </c>
      <c r="D130" s="25">
        <f t="shared" si="20"/>
        <v>1123.0776660300028</v>
      </c>
      <c r="E130" s="73">
        <f t="shared" si="20"/>
        <v>1177.6430482245114</v>
      </c>
      <c r="F130" s="74">
        <f t="shared" si="20"/>
        <v>1161.7605269181618</v>
      </c>
      <c r="G130" s="74">
        <f t="shared" si="20"/>
        <v>0</v>
      </c>
      <c r="H130" s="74">
        <f t="shared" si="20"/>
        <v>0</v>
      </c>
      <c r="I130" s="74">
        <f t="shared" si="20"/>
        <v>0</v>
      </c>
    </row>
    <row r="131" spans="1:9">
      <c r="A131" s="122" t="str">
        <f>HLOOKUP(INDICE!$F$2,Nombres!$C$3:$D$636,44,FALSE)</f>
        <v>Deterioro de activos financieros no valorados a valor razonable con cambios en resultados</v>
      </c>
      <c r="B131" s="75">
        <v>-376.38134952807542</v>
      </c>
      <c r="C131" s="75">
        <v>-464.15088914279158</v>
      </c>
      <c r="D131" s="75">
        <v>-674.41271102608994</v>
      </c>
      <c r="E131" s="76">
        <v>-702.24789428850363</v>
      </c>
      <c r="F131" s="75">
        <v>-635.69516235068602</v>
      </c>
      <c r="G131" s="75">
        <v>0</v>
      </c>
      <c r="H131" s="75">
        <v>0</v>
      </c>
      <c r="I131" s="75">
        <v>0</v>
      </c>
    </row>
    <row r="132" spans="1:9">
      <c r="A132" s="122" t="str">
        <f>HLOOKUP(INDICE!$F$2,Nombres!$C$3:$D$636,45,FALSE)</f>
        <v>Provisiones o reversión de provisiones y otros resultados</v>
      </c>
      <c r="B132" s="75">
        <v>8.5361806160017153</v>
      </c>
      <c r="C132" s="75">
        <v>-4.8123806299978735</v>
      </c>
      <c r="D132" s="75">
        <v>24.851315738938773</v>
      </c>
      <c r="E132" s="76">
        <v>-79.661819528907145</v>
      </c>
      <c r="F132" s="75">
        <v>-32.582181308035153</v>
      </c>
      <c r="G132" s="75">
        <v>0</v>
      </c>
      <c r="H132" s="75">
        <v>0</v>
      </c>
      <c r="I132" s="75">
        <v>0</v>
      </c>
    </row>
    <row r="133" spans="1:9">
      <c r="A133" s="124" t="str">
        <f>HLOOKUP(INDICE!$F$2,Nombres!$C$3:$D$636,46,FALSE)</f>
        <v>Resultado antes de impuestos</v>
      </c>
      <c r="B133" s="25">
        <f t="shared" ref="B133:I133" si="21">+B130+B131+B132</f>
        <v>680.85755081065008</v>
      </c>
      <c r="C133" s="25">
        <f t="shared" si="21"/>
        <v>634.14870317782822</v>
      </c>
      <c r="D133" s="25">
        <f t="shared" si="21"/>
        <v>473.51627074285159</v>
      </c>
      <c r="E133" s="73">
        <f t="shared" si="21"/>
        <v>395.73333440710064</v>
      </c>
      <c r="F133" s="74">
        <f t="shared" si="21"/>
        <v>493.48318325944058</v>
      </c>
      <c r="G133" s="74">
        <f t="shared" si="21"/>
        <v>0</v>
      </c>
      <c r="H133" s="74">
        <f t="shared" si="21"/>
        <v>0</v>
      </c>
      <c r="I133" s="74">
        <f t="shared" si="21"/>
        <v>0</v>
      </c>
    </row>
    <row r="134" spans="1:9">
      <c r="A134" s="17" t="str">
        <f>HLOOKUP(INDICE!$F$2,Nombres!$C$3:$D$636,47,FALSE)</f>
        <v>Impuesto sobre beneficios</v>
      </c>
      <c r="B134" s="75">
        <v>-187.62310235610755</v>
      </c>
      <c r="C134" s="75">
        <v>-163.54801492305481</v>
      </c>
      <c r="D134" s="75">
        <v>-101.29853269917697</v>
      </c>
      <c r="E134" s="76">
        <v>20.519306446306942</v>
      </c>
      <c r="F134" s="75">
        <v>-118.52043869754783</v>
      </c>
      <c r="G134" s="75">
        <v>0</v>
      </c>
      <c r="H134" s="75">
        <v>0</v>
      </c>
      <c r="I134" s="75">
        <v>0</v>
      </c>
    </row>
    <row r="135" spans="1:9">
      <c r="A135" s="124" t="str">
        <f>HLOOKUP(INDICE!$F$2,Nombres!$C$3:$D$636,48,FALSE)</f>
        <v>Resultado del ejercicio</v>
      </c>
      <c r="B135" s="25">
        <f t="shared" ref="B135:I135" si="22">+B133+B134</f>
        <v>493.23444845454253</v>
      </c>
      <c r="C135" s="25">
        <f t="shared" si="22"/>
        <v>470.60068825477344</v>
      </c>
      <c r="D135" s="25">
        <f t="shared" si="22"/>
        <v>372.21773804367461</v>
      </c>
      <c r="E135" s="73">
        <f t="shared" si="22"/>
        <v>416.25264085340757</v>
      </c>
      <c r="F135" s="74">
        <f t="shared" si="22"/>
        <v>374.96274456189275</v>
      </c>
      <c r="G135" s="74">
        <f t="shared" si="22"/>
        <v>0</v>
      </c>
      <c r="H135" s="74">
        <f t="shared" si="22"/>
        <v>0</v>
      </c>
      <c r="I135" s="74">
        <f t="shared" si="22"/>
        <v>0</v>
      </c>
    </row>
    <row r="136" spans="1:9">
      <c r="A136" s="122" t="str">
        <f>HLOOKUP(INDICE!$F$2,Nombres!$C$3:$D$636,49,FALSE)</f>
        <v>Minoritarios</v>
      </c>
      <c r="B136" s="75">
        <v>-264.02345468650515</v>
      </c>
      <c r="C136" s="75">
        <v>-258.43057564418143</v>
      </c>
      <c r="D136" s="75">
        <v>-202.84176355532009</v>
      </c>
      <c r="E136" s="76">
        <v>-225.28487673057947</v>
      </c>
      <c r="F136" s="75">
        <v>-201.98301482616421</v>
      </c>
      <c r="G136" s="75">
        <v>0</v>
      </c>
      <c r="H136" s="75">
        <v>0</v>
      </c>
      <c r="I136" s="75">
        <v>0</v>
      </c>
    </row>
    <row r="137" spans="1:9">
      <c r="A137" s="125" t="str">
        <f>HLOOKUP(INDICE!$F$2,Nombres!$C$3:$D$636,50,FALSE)</f>
        <v>Resultado atribuido</v>
      </c>
      <c r="B137" s="19">
        <f t="shared" ref="B137:I137" si="23">+B135+B136</f>
        <v>229.21099376803738</v>
      </c>
      <c r="C137" s="19">
        <f t="shared" si="23"/>
        <v>212.17011261059201</v>
      </c>
      <c r="D137" s="19">
        <f t="shared" si="23"/>
        <v>169.37597448835453</v>
      </c>
      <c r="E137" s="19">
        <f t="shared" si="23"/>
        <v>190.9677641228281</v>
      </c>
      <c r="F137" s="94">
        <f t="shared" si="23"/>
        <v>172.97972973572854</v>
      </c>
      <c r="G137" s="94">
        <f t="shared" si="23"/>
        <v>0</v>
      </c>
      <c r="H137" s="94">
        <f t="shared" si="23"/>
        <v>0</v>
      </c>
      <c r="I137" s="94">
        <f t="shared" si="23"/>
        <v>0</v>
      </c>
    </row>
    <row r="138" spans="1:9">
      <c r="A138" s="126"/>
      <c r="B138" s="99">
        <v>0</v>
      </c>
      <c r="C138" s="99">
        <v>0</v>
      </c>
      <c r="D138" s="99">
        <v>2.8421709430404007E-13</v>
      </c>
      <c r="E138" s="99">
        <v>0</v>
      </c>
      <c r="F138" s="99">
        <v>0</v>
      </c>
      <c r="G138" s="99">
        <v>0</v>
      </c>
      <c r="H138" s="99">
        <v>0</v>
      </c>
      <c r="I138" s="99">
        <v>0</v>
      </c>
    </row>
    <row r="139" spans="1:9">
      <c r="A139" s="124"/>
      <c r="B139" s="25"/>
      <c r="C139" s="25"/>
      <c r="D139" s="25"/>
      <c r="E139" s="25"/>
      <c r="F139" s="74"/>
      <c r="G139" s="74"/>
      <c r="H139" s="74"/>
      <c r="I139" s="74"/>
    </row>
    <row r="140" spans="1:9" ht="17">
      <c r="A140" s="116" t="str">
        <f>HLOOKUP(INDICE!$F$2,Nombres!$C$3:$D$636,51,FALSE)</f>
        <v>Balances</v>
      </c>
      <c r="B140" s="66"/>
      <c r="C140" s="66"/>
      <c r="D140" s="66"/>
      <c r="E140" s="66"/>
      <c r="F140" s="104"/>
      <c r="G140" s="104"/>
      <c r="H140" s="104"/>
      <c r="I140" s="104"/>
    </row>
    <row r="141" spans="1:9">
      <c r="A141" s="117" t="str">
        <f>HLOOKUP(INDICE!$F$2,Nombres!$C$3:$D$636,79,FALSE)</f>
        <v>(Millones de soles peruanos)</v>
      </c>
      <c r="B141" s="62"/>
      <c r="C141" s="82"/>
      <c r="D141" s="82"/>
      <c r="E141" s="82"/>
      <c r="F141" s="105"/>
      <c r="G141" s="75"/>
      <c r="H141" s="75"/>
      <c r="I141" s="75"/>
    </row>
    <row r="142" spans="1:9">
      <c r="A142" s="62"/>
      <c r="B142" s="84">
        <f t="shared" ref="B142:I142" si="24">+B$30</f>
        <v>45016</v>
      </c>
      <c r="C142" s="84">
        <f t="shared" si="24"/>
        <v>45107</v>
      </c>
      <c r="D142" s="84">
        <f t="shared" si="24"/>
        <v>45199</v>
      </c>
      <c r="E142" s="98">
        <f t="shared" si="24"/>
        <v>45291</v>
      </c>
      <c r="F142" s="84">
        <f t="shared" si="24"/>
        <v>45382</v>
      </c>
      <c r="G142" s="84">
        <f t="shared" si="24"/>
        <v>45473</v>
      </c>
      <c r="H142" s="84">
        <f t="shared" si="24"/>
        <v>45565</v>
      </c>
      <c r="I142" s="84">
        <f t="shared" si="24"/>
        <v>45657</v>
      </c>
    </row>
    <row r="143" spans="1:9">
      <c r="A143" s="122" t="str">
        <f>HLOOKUP(INDICE!$F$2,Nombres!$C$3:$D$636,52,FALSE)</f>
        <v>Efectivo, saldos en efectivo en bancos centrales y otros depósitos a la vista</v>
      </c>
      <c r="B143" s="75">
        <v>13525.58283866585</v>
      </c>
      <c r="C143" s="75">
        <v>14147.703502618155</v>
      </c>
      <c r="D143" s="75">
        <v>10870.53222852287</v>
      </c>
      <c r="E143" s="76">
        <v>8532.0467106499636</v>
      </c>
      <c r="F143" s="75">
        <v>13180.9816298889</v>
      </c>
      <c r="G143" s="75">
        <v>0</v>
      </c>
      <c r="H143" s="75">
        <v>0</v>
      </c>
      <c r="I143" s="75">
        <v>0</v>
      </c>
    </row>
    <row r="144" spans="1:9">
      <c r="A144" s="122" t="str">
        <f>HLOOKUP(INDICE!$F$2,Nombres!$C$3:$D$636,53,FALSE)</f>
        <v>Activos financieros a valor razonable</v>
      </c>
      <c r="B144" s="83">
        <v>13119.201415086274</v>
      </c>
      <c r="C144" s="83">
        <v>11953.799756329943</v>
      </c>
      <c r="D144" s="83">
        <v>12113.7095802328</v>
      </c>
      <c r="E144" s="95">
        <v>16321.070682659238</v>
      </c>
      <c r="F144" s="75">
        <v>15719.795452024504</v>
      </c>
      <c r="G144" s="75">
        <v>0</v>
      </c>
      <c r="H144" s="75">
        <v>0</v>
      </c>
      <c r="I144" s="75">
        <v>0</v>
      </c>
    </row>
    <row r="145" spans="1:9">
      <c r="A145" s="17" t="str">
        <f>HLOOKUP(INDICE!$F$2,Nombres!$C$3:$D$636,54,FALSE)</f>
        <v>Activos financieros a coste amortizado</v>
      </c>
      <c r="B145" s="75">
        <v>72105.079546688561</v>
      </c>
      <c r="C145" s="75">
        <v>70421.734922177158</v>
      </c>
      <c r="D145" s="75">
        <v>71414.214024904824</v>
      </c>
      <c r="E145" s="76">
        <v>72844.260011318023</v>
      </c>
      <c r="F145" s="75">
        <v>75144.090262879254</v>
      </c>
      <c r="G145" s="75">
        <v>0</v>
      </c>
      <c r="H145" s="75">
        <v>0</v>
      </c>
      <c r="I145" s="75">
        <v>0</v>
      </c>
    </row>
    <row r="146" spans="1:9">
      <c r="A146" s="122" t="str">
        <f>HLOOKUP(INDICE!$F$2,Nombres!$C$3:$D$636,55,FALSE)</f>
        <v xml:space="preserve">    de los que préstamos y anticipos a la clientela</v>
      </c>
      <c r="B146" s="75">
        <v>69940.838227406814</v>
      </c>
      <c r="C146" s="75">
        <v>69056.725329933543</v>
      </c>
      <c r="D146" s="75">
        <v>69396.554623722681</v>
      </c>
      <c r="E146" s="76">
        <v>70955.708314284231</v>
      </c>
      <c r="F146" s="75">
        <v>72312.157432559135</v>
      </c>
      <c r="G146" s="75">
        <v>0</v>
      </c>
      <c r="H146" s="75">
        <v>0</v>
      </c>
      <c r="I146" s="75">
        <v>0</v>
      </c>
    </row>
    <row r="147" spans="1:9" hidden="1">
      <c r="A147" s="122"/>
      <c r="B147" s="75"/>
      <c r="C147" s="75"/>
      <c r="D147" s="75"/>
      <c r="E147" s="76"/>
      <c r="F147" s="75"/>
      <c r="G147" s="75"/>
      <c r="H147" s="75"/>
      <c r="I147" s="75"/>
    </row>
    <row r="148" spans="1:9">
      <c r="A148" s="17" t="str">
        <f>HLOOKUP(INDICE!$F$2,Nombres!$C$3:$D$636,56,FALSE)</f>
        <v>Activos tangibles</v>
      </c>
      <c r="B148" s="75">
        <v>1255.1052739706868</v>
      </c>
      <c r="C148" s="75">
        <v>1263.8875551874257</v>
      </c>
      <c r="D148" s="75">
        <v>1285.3961769939949</v>
      </c>
      <c r="E148" s="76">
        <v>1423.0625621953284</v>
      </c>
      <c r="F148" s="75">
        <v>1376.538504306496</v>
      </c>
      <c r="G148" s="75">
        <v>0</v>
      </c>
      <c r="H148" s="75">
        <v>0</v>
      </c>
      <c r="I148" s="75">
        <v>0</v>
      </c>
    </row>
    <row r="149" spans="1:9">
      <c r="A149" s="122" t="str">
        <f>HLOOKUP(INDICE!$F$2,Nombres!$C$3:$D$636,57,FALSE)</f>
        <v>Otros activos</v>
      </c>
      <c r="B149" s="83">
        <f t="shared" ref="B149:I149" si="25">+B150-B148-B145-B144-B143</f>
        <v>2206.3781829957989</v>
      </c>
      <c r="C149" s="83">
        <f t="shared" si="25"/>
        <v>2190.0360146254243</v>
      </c>
      <c r="D149" s="83">
        <f t="shared" si="25"/>
        <v>2420.8949089418475</v>
      </c>
      <c r="E149" s="95">
        <f t="shared" si="25"/>
        <v>2747.8546523657187</v>
      </c>
      <c r="F149" s="75">
        <f t="shared" si="25"/>
        <v>3296.3907097799656</v>
      </c>
      <c r="G149" s="75">
        <f t="shared" si="25"/>
        <v>0</v>
      </c>
      <c r="H149" s="75">
        <f t="shared" si="25"/>
        <v>0</v>
      </c>
      <c r="I149" s="75">
        <f t="shared" si="25"/>
        <v>0</v>
      </c>
    </row>
    <row r="150" spans="1:9">
      <c r="A150" s="125" t="str">
        <f>HLOOKUP(INDICE!$F$2,Nombres!$C$3:$D$636,58,FALSE)</f>
        <v>Total activo / pasivo</v>
      </c>
      <c r="B150" s="19">
        <v>102211.34725740718</v>
      </c>
      <c r="C150" s="19">
        <v>99977.161750938103</v>
      </c>
      <c r="D150" s="19">
        <v>98104.746919596335</v>
      </c>
      <c r="E150" s="19">
        <v>101868.29461918827</v>
      </c>
      <c r="F150" s="94">
        <v>108717.79655887911</v>
      </c>
      <c r="G150" s="94">
        <v>0</v>
      </c>
      <c r="H150" s="94">
        <v>0</v>
      </c>
      <c r="I150" s="94">
        <v>0</v>
      </c>
    </row>
    <row r="151" spans="1:9">
      <c r="A151" s="122" t="str">
        <f>HLOOKUP(INDICE!$F$2,Nombres!$C$3:$D$636,59,FALSE)</f>
        <v>Pasivos financieros mantenidos para negociar y designados a valor razonable con cambios en resultados</v>
      </c>
      <c r="B151" s="83">
        <v>1498.3778614624325</v>
      </c>
      <c r="C151" s="83">
        <v>1434.0896870717525</v>
      </c>
      <c r="D151" s="83">
        <v>1321.7561611320511</v>
      </c>
      <c r="E151" s="95">
        <v>1442.7708873773468</v>
      </c>
      <c r="F151" s="75">
        <v>1518.9229814387541</v>
      </c>
      <c r="G151" s="75">
        <v>0</v>
      </c>
      <c r="H151" s="75">
        <v>0</v>
      </c>
      <c r="I151" s="75">
        <v>0</v>
      </c>
    </row>
    <row r="152" spans="1:9">
      <c r="A152" s="122" t="str">
        <f>HLOOKUP(INDICE!$F$2,Nombres!$C$3:$D$636,60,FALSE)</f>
        <v>Depósitos de bancos centrales y entidades de crédito</v>
      </c>
      <c r="B152" s="83">
        <v>12448.065694622976</v>
      </c>
      <c r="C152" s="83">
        <v>12950.665872644859</v>
      </c>
      <c r="D152" s="83">
        <v>11398.78708710369</v>
      </c>
      <c r="E152" s="95">
        <v>11727.036278422947</v>
      </c>
      <c r="F152" s="75">
        <v>12263.788423510236</v>
      </c>
      <c r="G152" s="75">
        <v>0</v>
      </c>
      <c r="H152" s="75">
        <v>0</v>
      </c>
      <c r="I152" s="75">
        <v>0</v>
      </c>
    </row>
    <row r="153" spans="1:9">
      <c r="A153" s="122" t="str">
        <f>HLOOKUP(INDICE!$F$2,Nombres!$C$3:$D$636,61,FALSE)</f>
        <v>Depósitos de la clientela</v>
      </c>
      <c r="B153" s="83">
        <v>67209.642569977703</v>
      </c>
      <c r="C153" s="83">
        <v>66383.748840679415</v>
      </c>
      <c r="D153" s="83">
        <v>66973.895834480936</v>
      </c>
      <c r="E153" s="95">
        <v>69519.3399648669</v>
      </c>
      <c r="F153" s="75">
        <v>69154.833438543399</v>
      </c>
      <c r="G153" s="75">
        <v>0</v>
      </c>
      <c r="H153" s="75">
        <v>0</v>
      </c>
      <c r="I153" s="75">
        <v>0</v>
      </c>
    </row>
    <row r="154" spans="1:9">
      <c r="A154" s="17" t="str">
        <f>HLOOKUP(INDICE!$F$2,Nombres!$C$3:$D$636,62,FALSE)</f>
        <v>Valores representativos de deuda emitidos</v>
      </c>
      <c r="B154" s="75">
        <v>3835.4839009174234</v>
      </c>
      <c r="C154" s="75">
        <v>4033.786274624279</v>
      </c>
      <c r="D154" s="75">
        <v>3511.7131978806528</v>
      </c>
      <c r="E154" s="76">
        <v>3339.929086235697</v>
      </c>
      <c r="F154" s="75">
        <v>3686.2292874210088</v>
      </c>
      <c r="G154" s="75">
        <v>0</v>
      </c>
      <c r="H154" s="75">
        <v>0</v>
      </c>
      <c r="I154" s="75">
        <v>0</v>
      </c>
    </row>
    <row r="155" spans="1:9" hidden="1">
      <c r="A155" s="17"/>
      <c r="B155" s="75"/>
      <c r="C155" s="75"/>
      <c r="D155" s="75"/>
      <c r="E155" s="76"/>
      <c r="F155" s="75"/>
      <c r="G155" s="75"/>
      <c r="H155" s="75"/>
      <c r="I155" s="75"/>
    </row>
    <row r="156" spans="1:9">
      <c r="A156" s="122" t="str">
        <f>HLOOKUP(INDICE!$F$2,Nombres!$C$3:$D$636,63,FALSE)</f>
        <v>Otros pasivos</v>
      </c>
      <c r="B156" s="83">
        <f t="shared" ref="B156:I156" si="26">+B150-B151-B152-B153-B154-B157</f>
        <v>7852.3939891435839</v>
      </c>
      <c r="C156" s="83">
        <f t="shared" si="26"/>
        <v>5609.8123458608534</v>
      </c>
      <c r="D156" s="83">
        <f t="shared" si="26"/>
        <v>5458.8502517672605</v>
      </c>
      <c r="E156" s="95">
        <f t="shared" si="26"/>
        <v>6091.3426602469081</v>
      </c>
      <c r="F156" s="75">
        <f t="shared" si="26"/>
        <v>12388.058007076885</v>
      </c>
      <c r="G156" s="75">
        <f t="shared" si="26"/>
        <v>0</v>
      </c>
      <c r="H156" s="75">
        <f t="shared" si="26"/>
        <v>0</v>
      </c>
      <c r="I156" s="75">
        <f t="shared" si="26"/>
        <v>0</v>
      </c>
    </row>
    <row r="157" spans="1:9">
      <c r="A157" s="17" t="str">
        <f>HLOOKUP(INDICE!$F$2,Nombres!$C$3:$D$636,282,FALSE)</f>
        <v>Dotación de capital regulatorio</v>
      </c>
      <c r="B157" s="83">
        <v>9367.3832412830634</v>
      </c>
      <c r="C157" s="83">
        <v>9565.0587300569496</v>
      </c>
      <c r="D157" s="83">
        <v>9439.7443872317417</v>
      </c>
      <c r="E157" s="95">
        <v>9747.8757420384572</v>
      </c>
      <c r="F157" s="75">
        <v>9705.9644208888276</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116" t="str">
        <f>HLOOKUP(INDICE!$F$2,Nombres!$C$3:$D$636,65,FALSE)</f>
        <v>Indicadores relevantes y de gestión</v>
      </c>
      <c r="B160" s="66"/>
      <c r="C160" s="66"/>
      <c r="D160" s="66"/>
      <c r="E160" s="66"/>
      <c r="F160" s="104"/>
      <c r="G160" s="104"/>
      <c r="H160" s="104"/>
      <c r="I160" s="104"/>
    </row>
    <row r="161" spans="1:15">
      <c r="A161" s="117" t="str">
        <f>HLOOKUP(INDICE!$F$2,Nombres!$C$3:$D$636,79,FALSE)</f>
        <v>(Millones de soles peruanos)</v>
      </c>
      <c r="B161" s="62"/>
      <c r="C161" s="62"/>
      <c r="D161" s="62"/>
      <c r="E161" s="62"/>
      <c r="F161" s="105"/>
      <c r="G161" s="75"/>
      <c r="H161" s="75"/>
      <c r="I161" s="75"/>
    </row>
    <row r="162" spans="1:15" ht="15.75" customHeight="1">
      <c r="A162" s="62"/>
      <c r="B162" s="84">
        <f t="shared" ref="B162:I162" si="27">+B$30</f>
        <v>45016</v>
      </c>
      <c r="C162" s="84">
        <f t="shared" si="27"/>
        <v>45107</v>
      </c>
      <c r="D162" s="84">
        <f t="shared" si="27"/>
        <v>45199</v>
      </c>
      <c r="E162" s="98">
        <f t="shared" si="27"/>
        <v>45291</v>
      </c>
      <c r="F162" s="84">
        <f t="shared" si="27"/>
        <v>45382</v>
      </c>
      <c r="G162" s="84">
        <f t="shared" si="27"/>
        <v>45473</v>
      </c>
      <c r="H162" s="84">
        <f t="shared" si="27"/>
        <v>45565</v>
      </c>
      <c r="I162" s="84">
        <f t="shared" si="27"/>
        <v>45657</v>
      </c>
    </row>
    <row r="163" spans="1:15" ht="15.75" customHeight="1">
      <c r="A163" s="122" t="str">
        <f>HLOOKUP(INDICE!$F$2,Nombres!$C$3:$D$636,66,FALSE)</f>
        <v>Préstamos y anticipos a la clientela bruto (*)</v>
      </c>
      <c r="B163" s="75">
        <v>73586.454463379006</v>
      </c>
      <c r="C163" s="75">
        <v>72491.340204431137</v>
      </c>
      <c r="D163" s="75">
        <v>73252.09172830169</v>
      </c>
      <c r="E163" s="76">
        <v>74922.125726608938</v>
      </c>
      <c r="F163" s="75">
        <v>76306.269233932369</v>
      </c>
      <c r="G163" s="75">
        <v>0</v>
      </c>
      <c r="H163" s="75">
        <v>0</v>
      </c>
      <c r="I163" s="75">
        <v>0</v>
      </c>
    </row>
    <row r="164" spans="1:15" ht="15.75" customHeight="1">
      <c r="A164" s="122" t="str">
        <f>HLOOKUP(INDICE!$F$2,Nombres!$C$3:$D$636,67,FALSE)</f>
        <v>Depósitos de clientes en gestión (**)</v>
      </c>
      <c r="B164" s="75">
        <v>67209.642569977688</v>
      </c>
      <c r="C164" s="75">
        <v>66383.748840679415</v>
      </c>
      <c r="D164" s="75">
        <v>66973.895834480936</v>
      </c>
      <c r="E164" s="76">
        <v>69519.3399648669</v>
      </c>
      <c r="F164" s="75">
        <v>69154.833438543385</v>
      </c>
      <c r="G164" s="75">
        <v>0</v>
      </c>
      <c r="H164" s="75">
        <v>0</v>
      </c>
      <c r="I164" s="75">
        <v>0</v>
      </c>
    </row>
    <row r="165" spans="1:15" ht="15.75" customHeight="1">
      <c r="A165" s="17" t="str">
        <f>HLOOKUP(INDICE!$F$2,Nombres!$C$3:$D$636,68,FALSE)</f>
        <v>Fondos de inversión y carteras gestionadas</v>
      </c>
      <c r="B165" s="75">
        <v>5919.5907670737006</v>
      </c>
      <c r="C165" s="75">
        <v>5784.5430170572927</v>
      </c>
      <c r="D165" s="75">
        <v>7012.1307757130817</v>
      </c>
      <c r="E165" s="76">
        <v>6453.5295527175194</v>
      </c>
      <c r="F165" s="75">
        <v>7321.5499687118627</v>
      </c>
      <c r="G165" s="75">
        <v>0</v>
      </c>
      <c r="H165" s="75">
        <v>0</v>
      </c>
      <c r="I165" s="75">
        <v>0</v>
      </c>
    </row>
    <row r="166" spans="1:15" ht="15.75" customHeight="1">
      <c r="A166" s="122" t="str">
        <f>HLOOKUP(INDICE!$F$2,Nombres!$C$3:$D$636,69,FALSE)</f>
        <v>Fondos de pensiones</v>
      </c>
      <c r="B166" s="75">
        <v>0</v>
      </c>
      <c r="C166" s="75">
        <v>0</v>
      </c>
      <c r="D166" s="75">
        <v>0</v>
      </c>
      <c r="E166" s="76">
        <v>0</v>
      </c>
      <c r="F166" s="75">
        <v>0</v>
      </c>
      <c r="G166" s="75">
        <v>0</v>
      </c>
      <c r="H166" s="75">
        <v>0</v>
      </c>
      <c r="I166" s="75">
        <v>0</v>
      </c>
    </row>
    <row r="167" spans="1:15">
      <c r="A167" s="122" t="str">
        <f>HLOOKUP(INDICE!$F$2,Nombres!$C$3:$D$636,70,FALSE)</f>
        <v>Otros recursos fuera de balance</v>
      </c>
      <c r="B167" s="75">
        <v>0</v>
      </c>
      <c r="C167" s="75">
        <v>0</v>
      </c>
      <c r="D167" s="75">
        <v>0</v>
      </c>
      <c r="E167" s="76">
        <v>0</v>
      </c>
      <c r="F167" s="75">
        <v>0</v>
      </c>
      <c r="G167" s="75">
        <v>0</v>
      </c>
      <c r="H167" s="75">
        <v>0</v>
      </c>
      <c r="I167" s="75">
        <v>0</v>
      </c>
    </row>
    <row r="168" spans="1:15">
      <c r="A168" s="126" t="str">
        <f>HLOOKUP(INDICE!$F$2,Nombres!$C$3:$D$636,71,FALSE)</f>
        <v>(*) No incluye las adquisiciones temporales de activos.</v>
      </c>
      <c r="B168" s="83"/>
      <c r="C168" s="83"/>
      <c r="D168" s="83"/>
      <c r="E168" s="83"/>
      <c r="F168" s="75"/>
      <c r="G168" s="75"/>
      <c r="H168" s="75"/>
      <c r="I168" s="75"/>
    </row>
    <row r="169" spans="1:15">
      <c r="A169" s="126"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sheetData>
  <mergeCells count="6">
    <mergeCell ref="B6:E6"/>
    <mergeCell ref="F6:I6"/>
    <mergeCell ref="B62:E62"/>
    <mergeCell ref="F62:I62"/>
    <mergeCell ref="B118:E118"/>
    <mergeCell ref="F118:I118"/>
  </mergeCells>
  <conditionalFormatting sqref="B26:I26">
    <cfRule type="cellIs" dxfId="33" priority="3" operator="notBetween">
      <formula>0.5</formula>
      <formula>-0.5</formula>
    </cfRule>
  </conditionalFormatting>
  <conditionalFormatting sqref="B82:I82">
    <cfRule type="cellIs" dxfId="32" priority="2" operator="notBetween">
      <formula>0.5</formula>
      <formula>-0.5</formula>
    </cfRule>
  </conditionalFormatting>
  <conditionalFormatting sqref="B138:I138">
    <cfRule type="cellIs" dxfId="31" priority="1" operator="notBetween">
      <formula>0.5</formula>
      <formula>-0.5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000"/>
  <sheetViews>
    <sheetView showGridLines="0" workbookViewId="0">
      <selection activeCell="A41" sqref="A41"/>
    </sheetView>
  </sheetViews>
  <sheetFormatPr baseColWidth="10" defaultColWidth="11.453125" defaultRowHeight="14.5"/>
  <cols>
    <col min="1" max="1" width="53.26953125" style="63" customWidth="1"/>
    <col min="2" max="6" width="11.453125" style="63"/>
    <col min="7" max="9" width="0" style="63" hidden="1" customWidth="1"/>
    <col min="10" max="16384" width="11.453125" style="63"/>
  </cols>
  <sheetData>
    <row r="1" spans="1:14" ht="17">
      <c r="A1" s="115" t="str">
        <f>HLOOKUP(INDICE!$F$2,Nombres!$C$3:$D$636,263,FALSE)</f>
        <v>Resto de Negocios</v>
      </c>
      <c r="B1" s="62"/>
      <c r="C1" s="62"/>
      <c r="D1" s="62"/>
      <c r="E1" s="62"/>
      <c r="F1" s="62"/>
      <c r="G1" s="62"/>
      <c r="H1" s="62"/>
      <c r="I1" s="62"/>
    </row>
    <row r="2" spans="1:14" ht="19.5">
      <c r="A2" s="64"/>
      <c r="B2" s="62"/>
      <c r="C2" s="62"/>
      <c r="D2" s="62"/>
      <c r="E2" s="62"/>
      <c r="F2" s="62"/>
      <c r="G2" s="62"/>
      <c r="H2" s="62"/>
      <c r="I2" s="62"/>
    </row>
    <row r="3" spans="1:14" ht="17">
      <c r="A3" s="65" t="str">
        <f>HLOOKUP(INDICE!$F$2,Nombres!$C$3:$D$636,31,FALSE)</f>
        <v xml:space="preserve">Cuenta de resultados  </v>
      </c>
      <c r="B3" s="66"/>
      <c r="C3" s="66"/>
      <c r="D3" s="66"/>
      <c r="E3" s="66"/>
      <c r="F3" s="66"/>
      <c r="G3" s="66"/>
      <c r="H3" s="66"/>
      <c r="I3" s="66"/>
    </row>
    <row r="4" spans="1:14">
      <c r="A4" s="117" t="str">
        <f>HLOOKUP(INDICE!$F$2,Nombres!$C$3:$D$636,32,FALSE)</f>
        <v>(Millones de euros)</v>
      </c>
      <c r="B4" s="62"/>
      <c r="C4" s="68"/>
      <c r="D4" s="68"/>
      <c r="E4" s="68"/>
      <c r="F4" s="62"/>
      <c r="G4" s="62"/>
      <c r="H4" s="62"/>
      <c r="I4" s="62"/>
    </row>
    <row r="5" spans="1:14">
      <c r="A5" s="69"/>
      <c r="B5" s="62"/>
      <c r="C5" s="68"/>
      <c r="D5" s="68"/>
      <c r="E5" s="68"/>
      <c r="F5" s="62"/>
      <c r="G5" s="62"/>
      <c r="H5" s="62"/>
      <c r="I5" s="62"/>
    </row>
    <row r="6" spans="1:14">
      <c r="A6" s="70"/>
      <c r="B6" s="299">
        <f>+España!B6</f>
        <v>2023</v>
      </c>
      <c r="C6" s="299"/>
      <c r="D6" s="299"/>
      <c r="E6" s="300"/>
      <c r="F6" s="299">
        <f>+España!F6</f>
        <v>2024</v>
      </c>
      <c r="G6" s="299"/>
      <c r="H6" s="299"/>
      <c r="I6" s="299"/>
    </row>
    <row r="7" spans="1:14">
      <c r="A7" s="70"/>
      <c r="B7" s="118" t="str">
        <f>+España!B7</f>
        <v>1er Trim.</v>
      </c>
      <c r="C7" s="118" t="str">
        <f>+España!C7</f>
        <v>2º Trim.</v>
      </c>
      <c r="D7" s="118" t="str">
        <f>+España!D7</f>
        <v>3er Trim.</v>
      </c>
      <c r="E7" s="119" t="str">
        <f>+España!E7</f>
        <v>4º Trim.</v>
      </c>
      <c r="F7" s="118" t="str">
        <f>+España!F7</f>
        <v>1er Trim.</v>
      </c>
      <c r="G7" s="118" t="str">
        <f>+España!G7</f>
        <v>2º Trim.</v>
      </c>
      <c r="H7" s="118" t="str">
        <f>+España!H7</f>
        <v>3er Trim.</v>
      </c>
      <c r="I7" s="118" t="str">
        <f>+España!I7</f>
        <v>4º Trim.</v>
      </c>
    </row>
    <row r="8" spans="1:14">
      <c r="A8" s="25" t="str">
        <f>HLOOKUP(INDICE!$F$2,Nombres!$C$3:$D$636,33,FALSE)</f>
        <v>Margen de intereses</v>
      </c>
      <c r="B8" s="25">
        <v>113.44256826999998</v>
      </c>
      <c r="C8" s="25">
        <v>146.27712622000007</v>
      </c>
      <c r="D8" s="25">
        <v>145.30778568999995</v>
      </c>
      <c r="E8" s="73">
        <v>133.82454899999999</v>
      </c>
      <c r="F8" s="74">
        <v>157.18056092000006</v>
      </c>
      <c r="G8" s="120">
        <v>0</v>
      </c>
      <c r="H8" s="120">
        <v>0</v>
      </c>
      <c r="I8" s="120">
        <v>0</v>
      </c>
      <c r="J8" s="121"/>
      <c r="K8" s="121"/>
      <c r="L8" s="121"/>
      <c r="M8" s="121"/>
      <c r="N8" s="121"/>
    </row>
    <row r="9" spans="1:14">
      <c r="A9" s="122" t="str">
        <f>HLOOKUP(INDICE!$F$2,Nombres!$C$3:$D$636,34,FALSE)</f>
        <v>Comisiones netas</v>
      </c>
      <c r="B9" s="75">
        <v>68.597650729999998</v>
      </c>
      <c r="C9" s="75">
        <v>63.720564889999991</v>
      </c>
      <c r="D9" s="75">
        <v>59.776869380000001</v>
      </c>
      <c r="E9" s="76">
        <v>52.311552579999997</v>
      </c>
      <c r="F9" s="75">
        <v>66.926114959999978</v>
      </c>
      <c r="G9" s="75">
        <v>0</v>
      </c>
      <c r="H9" s="75">
        <v>0</v>
      </c>
      <c r="I9" s="75">
        <v>0</v>
      </c>
    </row>
    <row r="10" spans="1:14">
      <c r="A10" s="122" t="str">
        <f>HLOOKUP(INDICE!$F$2,Nombres!$C$3:$D$636,35,FALSE)</f>
        <v>Resultados de operaciones financieras</v>
      </c>
      <c r="B10" s="75">
        <v>76.907622920000009</v>
      </c>
      <c r="C10" s="75">
        <v>96.223201399999994</v>
      </c>
      <c r="D10" s="75">
        <v>77.533997449999987</v>
      </c>
      <c r="E10" s="76">
        <v>65.767317119999987</v>
      </c>
      <c r="F10" s="75">
        <v>111.19259832</v>
      </c>
      <c r="G10" s="75">
        <v>0</v>
      </c>
      <c r="H10" s="75">
        <v>0</v>
      </c>
      <c r="I10" s="75">
        <v>0</v>
      </c>
    </row>
    <row r="11" spans="1:14">
      <c r="A11" s="122" t="str">
        <f>HLOOKUP(INDICE!$F$2,Nombres!$C$3:$D$636,36,FALSE)</f>
        <v>Otros ingresos y cargas de explotación</v>
      </c>
      <c r="B11" s="75">
        <v>0.87503680000000017</v>
      </c>
      <c r="C11" s="75">
        <v>-0.53431314000000052</v>
      </c>
      <c r="D11" s="75">
        <v>3.5582996400000004</v>
      </c>
      <c r="E11" s="76">
        <v>-0.60395972999999969</v>
      </c>
      <c r="F11" s="75">
        <v>0.67300852</v>
      </c>
      <c r="G11" s="75">
        <v>0</v>
      </c>
      <c r="H11" s="75">
        <v>0</v>
      </c>
      <c r="I11" s="75">
        <v>0</v>
      </c>
    </row>
    <row r="12" spans="1:14">
      <c r="A12" s="25" t="str">
        <f>HLOOKUP(INDICE!$F$2,Nombres!$C$3:$D$636,37,FALSE)</f>
        <v>Margen bruto</v>
      </c>
      <c r="B12" s="25">
        <f t="shared" ref="B12:I12" si="0">+SUM(B8:B11)</f>
        <v>259.82287871999995</v>
      </c>
      <c r="C12" s="25">
        <f t="shared" si="0"/>
        <v>305.68657937000006</v>
      </c>
      <c r="D12" s="25">
        <f t="shared" si="0"/>
        <v>286.17695215999993</v>
      </c>
      <c r="E12" s="73">
        <f t="shared" si="0"/>
        <v>251.29945896999999</v>
      </c>
      <c r="F12" s="74">
        <f t="shared" si="0"/>
        <v>335.97228272000001</v>
      </c>
      <c r="G12" s="74">
        <f t="shared" si="0"/>
        <v>0</v>
      </c>
      <c r="H12" s="74">
        <f t="shared" si="0"/>
        <v>0</v>
      </c>
      <c r="I12" s="74">
        <f t="shared" si="0"/>
        <v>0</v>
      </c>
    </row>
    <row r="13" spans="1:14">
      <c r="A13" s="122" t="str">
        <f>HLOOKUP(INDICE!$F$2,Nombres!$C$3:$D$636,38,FALSE)</f>
        <v>Gastos de explotación</v>
      </c>
      <c r="B13" s="75">
        <v>-135.44723624</v>
      </c>
      <c r="C13" s="75">
        <v>-136.79618484</v>
      </c>
      <c r="D13" s="75">
        <v>-148.26556147999997</v>
      </c>
      <c r="E13" s="76">
        <v>-165.40358442000002</v>
      </c>
      <c r="F13" s="75">
        <v>-159.89005007999998</v>
      </c>
      <c r="G13" s="75">
        <v>0</v>
      </c>
      <c r="H13" s="75">
        <v>0</v>
      </c>
      <c r="I13" s="75">
        <v>0</v>
      </c>
    </row>
    <row r="14" spans="1:14">
      <c r="A14" s="122" t="str">
        <f>HLOOKUP(INDICE!$F$2,Nombres!$C$3:$D$636,39,FALSE)</f>
        <v xml:space="preserve">  Gastos de administración</v>
      </c>
      <c r="B14" s="75">
        <v>-129.51107113999998</v>
      </c>
      <c r="C14" s="75">
        <v>-130.63224584</v>
      </c>
      <c r="D14" s="75">
        <v>-141.51440348</v>
      </c>
      <c r="E14" s="76">
        <v>-158.05318641999997</v>
      </c>
      <c r="F14" s="75">
        <v>-152.47518866999999</v>
      </c>
      <c r="G14" s="75">
        <v>0</v>
      </c>
      <c r="H14" s="75">
        <v>0</v>
      </c>
      <c r="I14" s="75">
        <v>0</v>
      </c>
    </row>
    <row r="15" spans="1:14">
      <c r="A15" s="123" t="str">
        <f>HLOOKUP(INDICE!$F$2,Nombres!$C$3:$D$636,40,FALSE)</f>
        <v xml:space="preserve">  Gastos de personal</v>
      </c>
      <c r="B15" s="75">
        <v>-69.738727000000011</v>
      </c>
      <c r="C15" s="75">
        <v>-64.554135509999995</v>
      </c>
      <c r="D15" s="75">
        <v>-76.86409476</v>
      </c>
      <c r="E15" s="76">
        <v>-91.451717000000002</v>
      </c>
      <c r="F15" s="75">
        <v>-82.497584130000007</v>
      </c>
      <c r="G15" s="75">
        <v>0</v>
      </c>
      <c r="H15" s="75">
        <v>0</v>
      </c>
      <c r="I15" s="75">
        <v>0</v>
      </c>
    </row>
    <row r="16" spans="1:14">
      <c r="A16" s="123" t="str">
        <f>HLOOKUP(INDICE!$F$2,Nombres!$C$3:$D$636,41,FALSE)</f>
        <v xml:space="preserve">  Otros gastos de administración</v>
      </c>
      <c r="B16" s="75">
        <v>-59.772344140000001</v>
      </c>
      <c r="C16" s="75">
        <v>-66.078110330000001</v>
      </c>
      <c r="D16" s="75">
        <v>-64.650308719999998</v>
      </c>
      <c r="E16" s="76">
        <v>-66.601469420000001</v>
      </c>
      <c r="F16" s="75">
        <v>-69.977604540000002</v>
      </c>
      <c r="G16" s="75">
        <v>0</v>
      </c>
      <c r="H16" s="75">
        <v>0</v>
      </c>
      <c r="I16" s="75">
        <v>0</v>
      </c>
    </row>
    <row r="17" spans="1:9">
      <c r="A17" s="122" t="str">
        <f>HLOOKUP(INDICE!$F$2,Nombres!$C$3:$D$636,42,FALSE)</f>
        <v xml:space="preserve">  Amortización</v>
      </c>
      <c r="B17" s="75">
        <v>-5.9361651000000002</v>
      </c>
      <c r="C17" s="75">
        <v>-6.1639390000000009</v>
      </c>
      <c r="D17" s="75">
        <v>-6.7511580000000002</v>
      </c>
      <c r="E17" s="76">
        <v>-7.3503980000000002</v>
      </c>
      <c r="F17" s="75">
        <v>-7.4148614100000003</v>
      </c>
      <c r="G17" s="75">
        <v>0</v>
      </c>
      <c r="H17" s="75">
        <v>0</v>
      </c>
      <c r="I17" s="75">
        <v>0</v>
      </c>
    </row>
    <row r="18" spans="1:9">
      <c r="A18" s="25" t="str">
        <f>HLOOKUP(INDICE!$F$2,Nombres!$C$3:$D$636,43,FALSE)</f>
        <v>Margen neto</v>
      </c>
      <c r="B18" s="25">
        <f t="shared" ref="B18:I18" si="1">+B12+B13</f>
        <v>124.37564247999995</v>
      </c>
      <c r="C18" s="25">
        <f t="shared" si="1"/>
        <v>168.89039453000007</v>
      </c>
      <c r="D18" s="25">
        <f t="shared" si="1"/>
        <v>137.91139067999995</v>
      </c>
      <c r="E18" s="73">
        <f t="shared" si="1"/>
        <v>85.895874549999974</v>
      </c>
      <c r="F18" s="74">
        <f t="shared" si="1"/>
        <v>176.08223264000003</v>
      </c>
      <c r="G18" s="74">
        <f t="shared" si="1"/>
        <v>0</v>
      </c>
      <c r="H18" s="74">
        <f t="shared" si="1"/>
        <v>0</v>
      </c>
      <c r="I18" s="74">
        <f t="shared" si="1"/>
        <v>0</v>
      </c>
    </row>
    <row r="19" spans="1:9">
      <c r="A19" s="122" t="str">
        <f>HLOOKUP(INDICE!$F$2,Nombres!$C$3:$D$636,44,FALSE)</f>
        <v>Deterioro de activos financieros no valorados a valor razonable con cambios en resultados</v>
      </c>
      <c r="B19" s="75">
        <v>-18.470682160000003</v>
      </c>
      <c r="C19" s="75">
        <v>-4.5718552299999971</v>
      </c>
      <c r="D19" s="75">
        <v>-1.5653930000000014</v>
      </c>
      <c r="E19" s="76">
        <v>-3.0312861099999981</v>
      </c>
      <c r="F19" s="75">
        <v>-16.074946000000001</v>
      </c>
      <c r="G19" s="75">
        <v>0</v>
      </c>
      <c r="H19" s="75">
        <v>0</v>
      </c>
      <c r="I19" s="75">
        <v>0</v>
      </c>
    </row>
    <row r="20" spans="1:9">
      <c r="A20" s="122" t="str">
        <f>HLOOKUP(INDICE!$F$2,Nombres!$C$3:$D$636,45,FALSE)</f>
        <v>Provisiones o reversión de provisiones y otros resultados</v>
      </c>
      <c r="B20" s="75">
        <v>7.3875349899999998</v>
      </c>
      <c r="C20" s="75">
        <v>-0.96288200000000046</v>
      </c>
      <c r="D20" s="75">
        <v>3.9072129999999996</v>
      </c>
      <c r="E20" s="76">
        <v>-10.961449</v>
      </c>
      <c r="F20" s="75">
        <v>4.163899999999976E-2</v>
      </c>
      <c r="G20" s="75">
        <v>0</v>
      </c>
      <c r="H20" s="75">
        <v>0</v>
      </c>
      <c r="I20" s="75">
        <v>0</v>
      </c>
    </row>
    <row r="21" spans="1:9">
      <c r="A21" s="124" t="str">
        <f>HLOOKUP(INDICE!$F$2,Nombres!$C$3:$D$636,46,FALSE)</f>
        <v>Resultado antes de impuestos</v>
      </c>
      <c r="B21" s="25">
        <f t="shared" ref="B21:I21" si="2">+B18+B19+B20</f>
        <v>113.29249530999996</v>
      </c>
      <c r="C21" s="25">
        <f t="shared" si="2"/>
        <v>163.35565730000005</v>
      </c>
      <c r="D21" s="25">
        <f t="shared" si="2"/>
        <v>140.25321067999997</v>
      </c>
      <c r="E21" s="73">
        <f t="shared" si="2"/>
        <v>71.903139439999975</v>
      </c>
      <c r="F21" s="74">
        <f t="shared" si="2"/>
        <v>160.04892564000002</v>
      </c>
      <c r="G21" s="74">
        <f t="shared" si="2"/>
        <v>0</v>
      </c>
      <c r="H21" s="74">
        <f t="shared" si="2"/>
        <v>0</v>
      </c>
      <c r="I21" s="74">
        <f t="shared" si="2"/>
        <v>0</v>
      </c>
    </row>
    <row r="22" spans="1:9">
      <c r="A22" s="17" t="str">
        <f>HLOOKUP(INDICE!$F$2,Nombres!$C$3:$D$636,47,FALSE)</f>
        <v>Impuesto sobre beneficios</v>
      </c>
      <c r="B22" s="75">
        <v>-19.986178080000002</v>
      </c>
      <c r="C22" s="75">
        <v>-40.738104789999994</v>
      </c>
      <c r="D22" s="75">
        <v>-29.063274349999993</v>
      </c>
      <c r="E22" s="76">
        <v>-2.8252540400000008</v>
      </c>
      <c r="F22" s="75">
        <v>-39.531882899999999</v>
      </c>
      <c r="G22" s="75">
        <v>0</v>
      </c>
      <c r="H22" s="75">
        <v>0</v>
      </c>
      <c r="I22" s="75">
        <v>0</v>
      </c>
    </row>
    <row r="23" spans="1:9">
      <c r="A23" s="124" t="str">
        <f>HLOOKUP(INDICE!$F$2,Nombres!$C$3:$D$636,48,FALSE)</f>
        <v>Resultado del ejercicio</v>
      </c>
      <c r="B23" s="25">
        <f t="shared" ref="B23:I23" si="3">+B21+B22</f>
        <v>93.306317229999962</v>
      </c>
      <c r="C23" s="25">
        <f t="shared" si="3"/>
        <v>122.61755251000005</v>
      </c>
      <c r="D23" s="25">
        <f t="shared" si="3"/>
        <v>111.18993632999997</v>
      </c>
      <c r="E23" s="73">
        <f t="shared" si="3"/>
        <v>69.077885399999971</v>
      </c>
      <c r="F23" s="74">
        <f t="shared" si="3"/>
        <v>120.51704274000002</v>
      </c>
      <c r="G23" s="74">
        <f t="shared" si="3"/>
        <v>0</v>
      </c>
      <c r="H23" s="74">
        <f t="shared" si="3"/>
        <v>0</v>
      </c>
      <c r="I23" s="74">
        <f t="shared" si="3"/>
        <v>0</v>
      </c>
    </row>
    <row r="24" spans="1:9">
      <c r="A24" s="122" t="str">
        <f>HLOOKUP(INDICE!$F$2,Nombres!$C$3:$D$636,49,FALSE)</f>
        <v>Minoritarios</v>
      </c>
      <c r="B24" s="75">
        <v>0</v>
      </c>
      <c r="C24" s="75">
        <v>0</v>
      </c>
      <c r="D24" s="75">
        <v>0</v>
      </c>
      <c r="E24" s="76">
        <v>0</v>
      </c>
      <c r="F24" s="75">
        <v>0</v>
      </c>
      <c r="G24" s="75">
        <v>0</v>
      </c>
      <c r="H24" s="75">
        <v>0</v>
      </c>
      <c r="I24" s="75">
        <v>0</v>
      </c>
    </row>
    <row r="25" spans="1:9">
      <c r="A25" s="125" t="str">
        <f>HLOOKUP(INDICE!$F$2,Nombres!$C$3:$D$636,50,FALSE)</f>
        <v>Resultado atribuido</v>
      </c>
      <c r="B25" s="19">
        <f t="shared" ref="B25:I25" si="4">+B23+B24</f>
        <v>93.306317229999962</v>
      </c>
      <c r="C25" s="19">
        <f t="shared" si="4"/>
        <v>122.61755251000005</v>
      </c>
      <c r="D25" s="19">
        <f t="shared" si="4"/>
        <v>111.18993632999997</v>
      </c>
      <c r="E25" s="19">
        <f t="shared" si="4"/>
        <v>69.077885399999971</v>
      </c>
      <c r="F25" s="94">
        <f t="shared" si="4"/>
        <v>120.51704274000002</v>
      </c>
      <c r="G25" s="94">
        <f t="shared" si="4"/>
        <v>0</v>
      </c>
      <c r="H25" s="94">
        <f t="shared" si="4"/>
        <v>0</v>
      </c>
      <c r="I25" s="94">
        <f t="shared" si="4"/>
        <v>0</v>
      </c>
    </row>
    <row r="26" spans="1:9">
      <c r="A26" s="126"/>
      <c r="B26" s="99">
        <v>0</v>
      </c>
      <c r="C26" s="99">
        <v>0</v>
      </c>
      <c r="D26" s="99">
        <v>0</v>
      </c>
      <c r="E26" s="99">
        <v>0</v>
      </c>
      <c r="F26" s="99">
        <v>0</v>
      </c>
      <c r="G26" s="99">
        <v>0</v>
      </c>
      <c r="H26" s="99">
        <v>0</v>
      </c>
      <c r="I26" s="99">
        <v>0</v>
      </c>
    </row>
    <row r="27" spans="1:9">
      <c r="A27" s="25"/>
      <c r="B27" s="25"/>
      <c r="C27" s="25"/>
      <c r="D27" s="25"/>
      <c r="E27" s="25"/>
      <c r="F27" s="25"/>
      <c r="G27" s="25"/>
      <c r="H27" s="25"/>
      <c r="I27" s="25"/>
    </row>
    <row r="28" spans="1:9" ht="17">
      <c r="A28" s="116" t="str">
        <f>HLOOKUP(INDICE!$F$2,Nombres!$C$3:$D$636,51,FALSE)</f>
        <v>Balances</v>
      </c>
      <c r="B28" s="66"/>
      <c r="C28" s="66"/>
      <c r="D28" s="66"/>
      <c r="E28" s="66"/>
      <c r="F28" s="66"/>
      <c r="G28" s="66"/>
      <c r="H28" s="66"/>
      <c r="I28" s="66"/>
    </row>
    <row r="29" spans="1:9">
      <c r="A29" s="11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22" t="str">
        <f>HLOOKUP(INDICE!$F$2,Nombres!$C$3:$D$636,52,FALSE)</f>
        <v>Efectivo, saldos en efectivo en bancos centrales y otros depósitos a la vista</v>
      </c>
      <c r="B31" s="75">
        <v>4135.12968</v>
      </c>
      <c r="C31" s="75">
        <v>5634.49838</v>
      </c>
      <c r="D31" s="75">
        <v>4394.5813969999999</v>
      </c>
      <c r="E31" s="76">
        <v>4748.2834649999995</v>
      </c>
      <c r="F31" s="75">
        <v>6172.0100759999996</v>
      </c>
      <c r="G31" s="75">
        <v>0</v>
      </c>
      <c r="H31" s="75">
        <v>0</v>
      </c>
      <c r="I31" s="75">
        <v>0</v>
      </c>
    </row>
    <row r="32" spans="1:9">
      <c r="A32" s="122" t="str">
        <f>HLOOKUP(INDICE!$F$2,Nombres!$C$3:$D$636,53,FALSE)</f>
        <v>Activos financieros a valor razonable</v>
      </c>
      <c r="B32" s="83">
        <v>6651.8640883900007</v>
      </c>
      <c r="C32" s="83">
        <v>8646.4733091399994</v>
      </c>
      <c r="D32" s="83">
        <v>9466.177423000001</v>
      </c>
      <c r="E32" s="95">
        <v>15474.809395</v>
      </c>
      <c r="F32" s="75">
        <v>10527.541189</v>
      </c>
      <c r="G32" s="75">
        <v>0</v>
      </c>
      <c r="H32" s="75">
        <v>0</v>
      </c>
      <c r="I32" s="75">
        <v>0</v>
      </c>
    </row>
    <row r="33" spans="1:9">
      <c r="A33" s="17" t="str">
        <f>HLOOKUP(INDICE!$F$2,Nombres!$C$3:$D$636,54,FALSE)</f>
        <v>Activos financieros a coste amortizado</v>
      </c>
      <c r="B33" s="75">
        <v>39166.616281330003</v>
      </c>
      <c r="C33" s="75">
        <v>39509.65080833</v>
      </c>
      <c r="D33" s="75">
        <v>41295.679064329997</v>
      </c>
      <c r="E33" s="76">
        <v>43363.194666000003</v>
      </c>
      <c r="F33" s="75">
        <v>44808.820342999999</v>
      </c>
      <c r="G33" s="75">
        <v>0</v>
      </c>
      <c r="H33" s="75">
        <v>0</v>
      </c>
      <c r="I33" s="75">
        <v>0</v>
      </c>
    </row>
    <row r="34" spans="1:9">
      <c r="A34" s="122" t="str">
        <f>HLOOKUP(INDICE!$F$2,Nombres!$C$3:$D$636,55,FALSE)</f>
        <v xml:space="preserve">    de los que préstamos y anticipos a la clientela</v>
      </c>
      <c r="B34" s="75">
        <v>35946.055688330001</v>
      </c>
      <c r="C34" s="75">
        <v>36174.519111329995</v>
      </c>
      <c r="D34" s="75">
        <v>37861.970204329999</v>
      </c>
      <c r="E34" s="76">
        <v>39321.714007999995</v>
      </c>
      <c r="F34" s="75">
        <v>40857.784901999999</v>
      </c>
      <c r="G34" s="75">
        <v>0</v>
      </c>
      <c r="H34" s="75">
        <v>0</v>
      </c>
      <c r="I34" s="75">
        <v>0</v>
      </c>
    </row>
    <row r="35" spans="1:9">
      <c r="A35" s="122" t="str">
        <f>HLOOKUP(INDICE!$F$2,Nombres!$C$3:$D$636,121,FALSE)</f>
        <v>Posiciones inter-áreas activo</v>
      </c>
      <c r="B35" s="75">
        <v>0</v>
      </c>
      <c r="C35" s="75">
        <v>0</v>
      </c>
      <c r="D35" s="75">
        <v>0</v>
      </c>
      <c r="E35" s="76">
        <v>0</v>
      </c>
      <c r="F35" s="75">
        <v>0</v>
      </c>
      <c r="G35" s="75">
        <v>0</v>
      </c>
      <c r="H35" s="75">
        <v>0</v>
      </c>
      <c r="I35" s="75">
        <v>0</v>
      </c>
    </row>
    <row r="36" spans="1:9">
      <c r="A36" s="17" t="str">
        <f>HLOOKUP(INDICE!$F$2,Nombres!$C$3:$D$636,56,FALSE)</f>
        <v>Activos tangibles</v>
      </c>
      <c r="B36" s="75">
        <v>74.864498999999995</v>
      </c>
      <c r="C36" s="75">
        <v>71.467563999999996</v>
      </c>
      <c r="D36" s="75">
        <v>150.88233300000002</v>
      </c>
      <c r="E36" s="76">
        <v>151.08536000000001</v>
      </c>
      <c r="F36" s="75">
        <v>155.98952499999999</v>
      </c>
      <c r="G36" s="75">
        <v>0</v>
      </c>
      <c r="H36" s="75">
        <v>0</v>
      </c>
      <c r="I36" s="75">
        <v>0</v>
      </c>
    </row>
    <row r="37" spans="1:9">
      <c r="A37" s="122" t="str">
        <f>HLOOKUP(INDICE!$F$2,Nombres!$C$3:$D$636,57,FALSE)</f>
        <v>Otros activos</v>
      </c>
      <c r="B37" s="83">
        <f>+B38-B36-B33-B32-B31-B35</f>
        <v>378.84852399999181</v>
      </c>
      <c r="C37" s="83">
        <f t="shared" ref="C37:I37" si="5">+C38-C36-C33-C32-C31</f>
        <v>380.00578800000494</v>
      </c>
      <c r="D37" s="83">
        <f t="shared" si="5"/>
        <v>433.05369699999756</v>
      </c>
      <c r="E37" s="95">
        <f t="shared" si="5"/>
        <v>536.79294799999934</v>
      </c>
      <c r="F37" s="75">
        <f t="shared" si="5"/>
        <v>894.44809199999418</v>
      </c>
      <c r="G37" s="75">
        <f t="shared" si="5"/>
        <v>0</v>
      </c>
      <c r="H37" s="75">
        <f t="shared" si="5"/>
        <v>0</v>
      </c>
      <c r="I37" s="75">
        <f t="shared" si="5"/>
        <v>0</v>
      </c>
    </row>
    <row r="38" spans="1:9">
      <c r="A38" s="125" t="str">
        <f>HLOOKUP(INDICE!$F$2,Nombres!$C$3:$D$636,58,FALSE)</f>
        <v>Total activo / pasivo</v>
      </c>
      <c r="B38" s="19">
        <v>50407.323072719999</v>
      </c>
      <c r="C38" s="19">
        <v>54242.095849470003</v>
      </c>
      <c r="D38" s="19">
        <v>55740.373914329997</v>
      </c>
      <c r="E38" s="93">
        <v>64274.165833999999</v>
      </c>
      <c r="F38" s="19">
        <v>62558.80922499999</v>
      </c>
      <c r="G38" s="19">
        <v>0</v>
      </c>
      <c r="H38" s="19">
        <v>0</v>
      </c>
      <c r="I38" s="19">
        <v>0</v>
      </c>
    </row>
    <row r="39" spans="1:9">
      <c r="A39" s="122" t="str">
        <f>HLOOKUP(INDICE!$F$2,Nombres!$C$3:$D$636,59,FALSE)</f>
        <v>Pasivos financieros mantenidos para negociar y designados a valor razonable con cambios en resultados</v>
      </c>
      <c r="B39" s="83">
        <v>5941.9120529999991</v>
      </c>
      <c r="C39" s="83">
        <v>7805.2974300000005</v>
      </c>
      <c r="D39" s="83">
        <v>8598.1644539999979</v>
      </c>
      <c r="E39" s="95">
        <v>14830.603615</v>
      </c>
      <c r="F39" s="75">
        <v>9693.3631319999986</v>
      </c>
      <c r="G39" s="75">
        <v>0</v>
      </c>
      <c r="H39" s="75">
        <v>0</v>
      </c>
      <c r="I39" s="75">
        <v>0</v>
      </c>
    </row>
    <row r="40" spans="1:9">
      <c r="A40" s="122" t="str">
        <f>HLOOKUP(INDICE!$F$2,Nombres!$C$3:$D$636,60,FALSE)</f>
        <v>Depósitos de bancos centrales y entidades de crédito</v>
      </c>
      <c r="B40" s="83">
        <v>1864.77088</v>
      </c>
      <c r="C40" s="83">
        <v>2334.1576660000001</v>
      </c>
      <c r="D40" s="83">
        <v>2044.5217169999999</v>
      </c>
      <c r="E40" s="95">
        <v>3085.3244210000003</v>
      </c>
      <c r="F40" s="75">
        <v>2294.426395</v>
      </c>
      <c r="G40" s="75">
        <v>0</v>
      </c>
      <c r="H40" s="75">
        <v>0</v>
      </c>
      <c r="I40" s="75">
        <v>0</v>
      </c>
    </row>
    <row r="41" spans="1:9" ht="15.75" customHeight="1">
      <c r="A41" s="122" t="str">
        <f>HLOOKUP(INDICE!$F$2,Nombres!$C$3:$D$636,61,FALSE)</f>
        <v>Depósitos de la clientela</v>
      </c>
      <c r="B41" s="83">
        <v>10069.638223</v>
      </c>
      <c r="C41" s="83">
        <v>10470.415052</v>
      </c>
      <c r="D41" s="83">
        <v>10204.104506</v>
      </c>
      <c r="E41" s="95">
        <v>13055.538751000002</v>
      </c>
      <c r="F41" s="75">
        <v>20865.182332</v>
      </c>
      <c r="G41" s="75">
        <v>0</v>
      </c>
      <c r="H41" s="75">
        <v>0</v>
      </c>
      <c r="I41" s="75">
        <v>0</v>
      </c>
    </row>
    <row r="42" spans="1:9">
      <c r="A42" s="17" t="str">
        <f>HLOOKUP(INDICE!$F$2,Nombres!$C$3:$D$636,62,FALSE)</f>
        <v>Valores representativos de deuda emitidos</v>
      </c>
      <c r="B42" s="75">
        <v>1453.3502919300001</v>
      </c>
      <c r="C42" s="75">
        <v>1360.0521206100002</v>
      </c>
      <c r="D42" s="75">
        <v>1379.8657302300001</v>
      </c>
      <c r="E42" s="76">
        <v>1413.3242682600001</v>
      </c>
      <c r="F42" s="75">
        <v>1497.7249918800001</v>
      </c>
      <c r="G42" s="75">
        <v>0</v>
      </c>
      <c r="H42" s="75">
        <v>0</v>
      </c>
      <c r="I42" s="75">
        <v>0</v>
      </c>
    </row>
    <row r="43" spans="1:9">
      <c r="A43" s="122" t="str">
        <f>HLOOKUP(INDICE!$F$2,Nombres!$C$3:$D$636,122,FALSE)</f>
        <v>Posiciones inter-áreas pasivo</v>
      </c>
      <c r="B43" s="75">
        <v>25849.365646270006</v>
      </c>
      <c r="C43" s="75">
        <v>27149.601083580001</v>
      </c>
      <c r="D43" s="75">
        <v>28105.387331189995</v>
      </c>
      <c r="E43" s="76">
        <v>26465.8148477</v>
      </c>
      <c r="F43" s="75">
        <v>22175.592134409992</v>
      </c>
      <c r="G43" s="75">
        <v>0</v>
      </c>
      <c r="H43" s="75">
        <v>0</v>
      </c>
      <c r="I43" s="75">
        <v>0</v>
      </c>
    </row>
    <row r="44" spans="1:9">
      <c r="A44" s="17" t="str">
        <f>HLOOKUP(INDICE!$F$2,Nombres!$C$3:$D$636,63,FALSE)</f>
        <v>Otros pasivos</v>
      </c>
      <c r="B44" s="83">
        <f t="shared" ref="B44:I44" si="6">+B38-B39-B40-B41-B42-B45-B43</f>
        <v>1046.5401833699871</v>
      </c>
      <c r="C44" s="83">
        <f t="shared" si="6"/>
        <v>1083.1762437100006</v>
      </c>
      <c r="D44" s="83">
        <f t="shared" si="6"/>
        <v>1341.9911303500012</v>
      </c>
      <c r="E44" s="95">
        <f t="shared" si="6"/>
        <v>1232.3670034100032</v>
      </c>
      <c r="F44" s="83">
        <f t="shared" si="6"/>
        <v>1700.4937660399955</v>
      </c>
      <c r="G44" s="83">
        <f t="shared" si="6"/>
        <v>0</v>
      </c>
      <c r="H44" s="83">
        <f t="shared" si="6"/>
        <v>0</v>
      </c>
      <c r="I44" s="83">
        <f t="shared" si="6"/>
        <v>0</v>
      </c>
    </row>
    <row r="45" spans="1:9">
      <c r="A45" s="17" t="str">
        <f>HLOOKUP(INDICE!$F$2,Nombres!$C$3:$D$636,282,FALSE)</f>
        <v>Dotación de capital regulatorio</v>
      </c>
      <c r="B45" s="83">
        <v>4181.74579515</v>
      </c>
      <c r="C45" s="83">
        <v>4039.3962535699993</v>
      </c>
      <c r="D45" s="83">
        <v>4066.3390455599997</v>
      </c>
      <c r="E45" s="95">
        <v>4191.1929276300007</v>
      </c>
      <c r="F45" s="83">
        <v>4332.0264736699992</v>
      </c>
      <c r="G45" s="83">
        <v>0</v>
      </c>
      <c r="H45" s="83">
        <v>0</v>
      </c>
      <c r="I45" s="83">
        <v>0</v>
      </c>
    </row>
    <row r="46" spans="1:9">
      <c r="A46" s="91"/>
      <c r="B46" s="83"/>
      <c r="C46" s="83"/>
      <c r="D46" s="83"/>
      <c r="E46" s="83"/>
      <c r="F46" s="75"/>
      <c r="G46" s="75"/>
      <c r="H46" s="75"/>
      <c r="I46" s="75"/>
    </row>
    <row r="47" spans="1:9">
      <c r="A47" s="17"/>
      <c r="B47" s="83"/>
      <c r="C47" s="83"/>
      <c r="D47" s="83"/>
      <c r="E47" s="83"/>
      <c r="F47" s="75"/>
      <c r="G47" s="75"/>
      <c r="H47" s="75"/>
      <c r="I47" s="75"/>
    </row>
    <row r="48" spans="1:9" ht="17">
      <c r="A48" s="116" t="str">
        <f>HLOOKUP(INDICE!$F$2,Nombres!$C$3:$D$636,65,FALSE)</f>
        <v>Indicadores relevantes y de gestión</v>
      </c>
      <c r="B48" s="66"/>
      <c r="C48" s="66"/>
      <c r="D48" s="66"/>
      <c r="E48" s="66"/>
      <c r="F48" s="104"/>
      <c r="G48" s="104"/>
      <c r="H48" s="104"/>
      <c r="I48" s="104"/>
    </row>
    <row r="49" spans="1:12">
      <c r="A49" s="117" t="str">
        <f>HLOOKUP(INDICE!$F$2,Nombres!$C$3:$D$636,32,FALSE)</f>
        <v>(Millones de euros)</v>
      </c>
      <c r="B49" s="62"/>
      <c r="C49" s="62"/>
      <c r="D49" s="62"/>
      <c r="E49" s="62"/>
      <c r="F49" s="105"/>
      <c r="G49" s="75"/>
      <c r="H49" s="75"/>
      <c r="I49" s="75"/>
    </row>
    <row r="50" spans="1:12">
      <c r="A50" s="62"/>
      <c r="B50" s="84">
        <f t="shared" ref="B50:I50" si="7">+B$30</f>
        <v>45016</v>
      </c>
      <c r="C50" s="84">
        <f t="shared" si="7"/>
        <v>45107</v>
      </c>
      <c r="D50" s="84">
        <f t="shared" si="7"/>
        <v>45199</v>
      </c>
      <c r="E50" s="98">
        <f t="shared" si="7"/>
        <v>45291</v>
      </c>
      <c r="F50" s="84">
        <f t="shared" si="7"/>
        <v>45382</v>
      </c>
      <c r="G50" s="84">
        <f t="shared" si="7"/>
        <v>45473</v>
      </c>
      <c r="H50" s="84">
        <f t="shared" si="7"/>
        <v>45565</v>
      </c>
      <c r="I50" s="84">
        <f t="shared" si="7"/>
        <v>45657</v>
      </c>
    </row>
    <row r="51" spans="1:12">
      <c r="A51" s="122" t="str">
        <f>HLOOKUP(INDICE!$F$2,Nombres!$C$3:$D$636,66,FALSE)</f>
        <v>Préstamos y anticipos a la clientela bruto (*)</v>
      </c>
      <c r="B51" s="75">
        <v>36188.648453000002</v>
      </c>
      <c r="C51" s="75">
        <v>36407.027642999994</v>
      </c>
      <c r="D51" s="75">
        <v>38093.899092</v>
      </c>
      <c r="E51" s="76">
        <v>39560.986686000004</v>
      </c>
      <c r="F51" s="75">
        <v>41104.092690999998</v>
      </c>
      <c r="G51" s="75">
        <v>0</v>
      </c>
      <c r="H51" s="75">
        <v>0</v>
      </c>
      <c r="I51" s="75">
        <v>0</v>
      </c>
      <c r="L51" s="85"/>
    </row>
    <row r="52" spans="1:12">
      <c r="A52" s="122" t="str">
        <f>HLOOKUP(INDICE!$F$2,Nombres!$C$3:$D$636,67,FALSE)</f>
        <v>Depósitos de clientes en gestión (**)</v>
      </c>
      <c r="B52" s="75">
        <v>10069.638223</v>
      </c>
      <c r="C52" s="75">
        <v>10470.415052</v>
      </c>
      <c r="D52" s="75">
        <v>10204.104506</v>
      </c>
      <c r="E52" s="76">
        <v>13055.538751000004</v>
      </c>
      <c r="F52" s="75">
        <v>20865.182332</v>
      </c>
      <c r="G52" s="75">
        <v>0</v>
      </c>
      <c r="H52" s="75">
        <v>0</v>
      </c>
      <c r="I52" s="75">
        <v>0</v>
      </c>
    </row>
    <row r="53" spans="1:12">
      <c r="A53" s="17" t="str">
        <f>HLOOKUP(INDICE!$F$2,Nombres!$C$3:$D$636,68,FALSE)</f>
        <v>Fondos de inversión y carteras gestionadas</v>
      </c>
      <c r="B53" s="75">
        <v>0</v>
      </c>
      <c r="C53" s="75">
        <v>0</v>
      </c>
      <c r="D53" s="75">
        <v>0</v>
      </c>
      <c r="E53" s="76">
        <v>0</v>
      </c>
      <c r="F53" s="75">
        <v>0</v>
      </c>
      <c r="G53" s="75">
        <v>0</v>
      </c>
      <c r="H53" s="75">
        <v>0</v>
      </c>
      <c r="I53" s="75">
        <v>0</v>
      </c>
    </row>
    <row r="54" spans="1:12">
      <c r="A54" s="122" t="str">
        <f>HLOOKUP(INDICE!$F$2,Nombres!$C$3:$D$636,69,FALSE)</f>
        <v>Fondos de pensiones</v>
      </c>
      <c r="B54" s="75">
        <v>510</v>
      </c>
      <c r="C54" s="75">
        <v>505.73432509999998</v>
      </c>
      <c r="D54" s="75">
        <v>480</v>
      </c>
      <c r="E54" s="76">
        <v>566</v>
      </c>
      <c r="F54" s="75">
        <v>581.03010360999997</v>
      </c>
      <c r="G54" s="75">
        <v>0</v>
      </c>
      <c r="H54" s="75">
        <v>0</v>
      </c>
      <c r="I54" s="75">
        <v>0</v>
      </c>
    </row>
    <row r="55" spans="1:12">
      <c r="A55" s="122" t="str">
        <f>HLOOKUP(INDICE!$F$2,Nombres!$C$3:$D$636,70,FALSE)</f>
        <v>Otros recursos fuera de balance</v>
      </c>
      <c r="B55" s="75">
        <v>0</v>
      </c>
      <c r="C55" s="75">
        <v>0</v>
      </c>
      <c r="D55" s="75">
        <v>0</v>
      </c>
      <c r="E55" s="76">
        <v>0</v>
      </c>
      <c r="F55" s="75">
        <v>0</v>
      </c>
      <c r="G55" s="75">
        <v>0</v>
      </c>
      <c r="H55" s="75">
        <v>0</v>
      </c>
      <c r="I55" s="75">
        <v>0</v>
      </c>
    </row>
    <row r="56" spans="1:12">
      <c r="A56" s="126" t="str">
        <f>HLOOKUP(INDICE!$F$2,Nombres!$C$3:$D$636,71,FALSE)</f>
        <v>(*) No incluye las adquisiciones temporales de activos.</v>
      </c>
      <c r="B56" s="83"/>
      <c r="C56" s="83"/>
      <c r="D56" s="83"/>
      <c r="E56" s="83"/>
      <c r="F56" s="75"/>
      <c r="G56" s="75"/>
      <c r="H56" s="75"/>
      <c r="I56" s="75"/>
    </row>
    <row r="57" spans="1:12">
      <c r="A57" s="126" t="str">
        <f>HLOOKUP(INDICE!$F$2,Nombres!$C$3:$D$636,72,FALSE)</f>
        <v>(**) No incluye las cesiones temporales de activos.</v>
      </c>
      <c r="B57" s="62"/>
      <c r="C57" s="62"/>
      <c r="D57" s="62"/>
      <c r="E57" s="62"/>
      <c r="F57" s="105"/>
      <c r="G57" s="105"/>
      <c r="H57" s="105"/>
      <c r="I57" s="105"/>
    </row>
    <row r="58" spans="1:12">
      <c r="A58" s="91"/>
      <c r="B58" s="62"/>
      <c r="C58" s="62"/>
      <c r="D58" s="62"/>
      <c r="E58" s="62"/>
      <c r="F58" s="105"/>
      <c r="G58" s="105"/>
      <c r="H58" s="105"/>
      <c r="I58" s="105"/>
    </row>
    <row r="59" spans="1:12" ht="17">
      <c r="A59" s="116" t="str">
        <f>HLOOKUP(INDICE!$F$2,Nombres!$C$3:$D$636,31,FALSE)</f>
        <v xml:space="preserve">Cuenta de resultados  </v>
      </c>
      <c r="B59" s="66"/>
      <c r="C59" s="66"/>
      <c r="D59" s="66"/>
      <c r="E59" s="66"/>
      <c r="F59" s="104"/>
      <c r="G59" s="104"/>
      <c r="H59" s="104"/>
      <c r="I59" s="104"/>
    </row>
    <row r="60" spans="1:12">
      <c r="A60" s="117" t="str">
        <f>HLOOKUP(INDICE!$F$2,Nombres!$C$3:$D$636,73,FALSE)</f>
        <v>(Millones de euros constantes)</v>
      </c>
      <c r="B60" s="62"/>
      <c r="C60" s="68"/>
      <c r="D60" s="68"/>
      <c r="E60" s="68"/>
      <c r="F60" s="105"/>
      <c r="G60" s="105"/>
      <c r="H60" s="105"/>
      <c r="I60" s="105"/>
    </row>
    <row r="61" spans="1:12">
      <c r="A61" s="69"/>
      <c r="B61" s="62"/>
      <c r="C61" s="68"/>
      <c r="D61" s="68"/>
      <c r="E61" s="68"/>
      <c r="F61" s="62"/>
      <c r="G61" s="62"/>
      <c r="H61" s="62"/>
      <c r="I61" s="62"/>
    </row>
    <row r="62" spans="1:12">
      <c r="A62" s="70"/>
      <c r="B62" s="299">
        <f>+B$6</f>
        <v>2023</v>
      </c>
      <c r="C62" s="299"/>
      <c r="D62" s="299"/>
      <c r="E62" s="300"/>
      <c r="F62" s="299">
        <f>+F$6</f>
        <v>2024</v>
      </c>
      <c r="G62" s="299"/>
      <c r="H62" s="299"/>
      <c r="I62" s="299"/>
    </row>
    <row r="63" spans="1:12">
      <c r="A63" s="70"/>
      <c r="B63" s="118" t="str">
        <f t="shared" ref="B63:I63" si="8">+B$7</f>
        <v>1er Trim.</v>
      </c>
      <c r="C63" s="118" t="str">
        <f t="shared" si="8"/>
        <v>2º Trim.</v>
      </c>
      <c r="D63" s="118" t="str">
        <f t="shared" si="8"/>
        <v>3er Trim.</v>
      </c>
      <c r="E63" s="119" t="str">
        <f t="shared" si="8"/>
        <v>4º Trim.</v>
      </c>
      <c r="F63" s="118" t="str">
        <f t="shared" si="8"/>
        <v>1er Trim.</v>
      </c>
      <c r="G63" s="118" t="str">
        <f t="shared" si="8"/>
        <v>2º Trim.</v>
      </c>
      <c r="H63" s="118" t="str">
        <f t="shared" si="8"/>
        <v>3er Trim.</v>
      </c>
      <c r="I63" s="118" t="str">
        <f t="shared" si="8"/>
        <v>4º Trim.</v>
      </c>
    </row>
    <row r="64" spans="1:12">
      <c r="A64" s="25" t="str">
        <f>HLOOKUP(INDICE!$F$2,Nombres!$C$3:$D$636,33,FALSE)</f>
        <v>Margen de intereses</v>
      </c>
      <c r="B64" s="25">
        <v>113.72677166358639</v>
      </c>
      <c r="C64" s="25">
        <v>146.519732900289</v>
      </c>
      <c r="D64" s="25">
        <v>142.9328855675771</v>
      </c>
      <c r="E64" s="73">
        <v>138.86683396414446</v>
      </c>
      <c r="F64" s="74">
        <v>157.18056092</v>
      </c>
      <c r="G64" s="74">
        <v>0</v>
      </c>
      <c r="H64" s="74">
        <v>0</v>
      </c>
      <c r="I64" s="74">
        <v>0</v>
      </c>
    </row>
    <row r="65" spans="1:9">
      <c r="A65" s="122" t="str">
        <f>HLOOKUP(INDICE!$F$2,Nombres!$C$3:$D$636,34,FALSE)</f>
        <v>Comisiones netas</v>
      </c>
      <c r="B65" s="75">
        <v>68.983139337462006</v>
      </c>
      <c r="C65" s="75">
        <v>64.047302394130298</v>
      </c>
      <c r="D65" s="75">
        <v>58.66215845345679</v>
      </c>
      <c r="E65" s="76">
        <v>54.843445747119937</v>
      </c>
      <c r="F65" s="75">
        <v>66.926114960000007</v>
      </c>
      <c r="G65" s="75">
        <v>0</v>
      </c>
      <c r="H65" s="75">
        <v>0</v>
      </c>
      <c r="I65" s="75">
        <v>0</v>
      </c>
    </row>
    <row r="66" spans="1:9">
      <c r="A66" s="122" t="str">
        <f>HLOOKUP(INDICE!$F$2,Nombres!$C$3:$D$636,35,FALSE)</f>
        <v>Resultados de operaciones financieras</v>
      </c>
      <c r="B66" s="75">
        <v>76.951281846243631</v>
      </c>
      <c r="C66" s="75">
        <v>96.446415864346008</v>
      </c>
      <c r="D66" s="75">
        <v>75.492633781248188</v>
      </c>
      <c r="E66" s="76">
        <v>69.594528346212485</v>
      </c>
      <c r="F66" s="75">
        <v>111.19259832</v>
      </c>
      <c r="G66" s="75">
        <v>0</v>
      </c>
      <c r="H66" s="75">
        <v>0</v>
      </c>
      <c r="I66" s="75">
        <v>0</v>
      </c>
    </row>
    <row r="67" spans="1:9">
      <c r="A67" s="122" t="str">
        <f>HLOOKUP(INDICE!$F$2,Nombres!$C$3:$D$636,36,FALSE)</f>
        <v>Otros ingresos y cargas de explotación</v>
      </c>
      <c r="B67" s="75">
        <v>0.93738349257700615</v>
      </c>
      <c r="C67" s="75">
        <v>-0.53951053675985694</v>
      </c>
      <c r="D67" s="75">
        <v>3.3014055000395888</v>
      </c>
      <c r="E67" s="76">
        <v>7.0375730679199888E-2</v>
      </c>
      <c r="F67" s="75">
        <v>0.67300852</v>
      </c>
      <c r="G67" s="75">
        <v>0</v>
      </c>
      <c r="H67" s="75">
        <v>0</v>
      </c>
      <c r="I67" s="75">
        <v>0</v>
      </c>
    </row>
    <row r="68" spans="1:9">
      <c r="A68" s="25" t="str">
        <f>HLOOKUP(INDICE!$F$2,Nombres!$C$3:$D$636,37,FALSE)</f>
        <v>Margen bruto</v>
      </c>
      <c r="B68" s="25">
        <f t="shared" ref="B68:I68" si="9">+SUM(B64:B67)</f>
        <v>260.598576339869</v>
      </c>
      <c r="C68" s="25">
        <f t="shared" si="9"/>
        <v>306.47394062200544</v>
      </c>
      <c r="D68" s="25">
        <f t="shared" si="9"/>
        <v>280.38908330232169</v>
      </c>
      <c r="E68" s="73">
        <f t="shared" si="9"/>
        <v>263.37518378815605</v>
      </c>
      <c r="F68" s="74">
        <f t="shared" si="9"/>
        <v>335.97228272000001</v>
      </c>
      <c r="G68" s="74">
        <f t="shared" si="9"/>
        <v>0</v>
      </c>
      <c r="H68" s="74">
        <f t="shared" si="9"/>
        <v>0</v>
      </c>
      <c r="I68" s="74">
        <f t="shared" si="9"/>
        <v>0</v>
      </c>
    </row>
    <row r="69" spans="1:9">
      <c r="A69" s="122" t="str">
        <f>HLOOKUP(INDICE!$F$2,Nombres!$C$3:$D$636,38,FALSE)</f>
        <v>Gastos de explotación</v>
      </c>
      <c r="B69" s="75">
        <v>-135.90746029278853</v>
      </c>
      <c r="C69" s="75">
        <v>-137.28671246437776</v>
      </c>
      <c r="D69" s="75">
        <v>-146.24339283796868</v>
      </c>
      <c r="E69" s="76">
        <v>-170.10920290008369</v>
      </c>
      <c r="F69" s="75">
        <v>-159.89005008000001</v>
      </c>
      <c r="G69" s="75">
        <v>0</v>
      </c>
      <c r="H69" s="75">
        <v>0</v>
      </c>
      <c r="I69" s="75">
        <v>0</v>
      </c>
    </row>
    <row r="70" spans="1:9">
      <c r="A70" s="122" t="str">
        <f>HLOOKUP(INDICE!$F$2,Nombres!$C$3:$D$636,39,FALSE)</f>
        <v xml:space="preserve">  Gastos de administración</v>
      </c>
      <c r="B70" s="75">
        <v>-129.93815656016363</v>
      </c>
      <c r="C70" s="75">
        <v>-131.09418980111494</v>
      </c>
      <c r="D70" s="75">
        <v>-139.53303919993829</v>
      </c>
      <c r="E70" s="76">
        <v>-162.63042553154395</v>
      </c>
      <c r="F70" s="75">
        <v>-152.47518867000002</v>
      </c>
      <c r="G70" s="75">
        <v>0</v>
      </c>
      <c r="H70" s="75">
        <v>0</v>
      </c>
      <c r="I70" s="75">
        <v>0</v>
      </c>
    </row>
    <row r="71" spans="1:9">
      <c r="A71" s="123" t="str">
        <f>HLOOKUP(INDICE!$F$2,Nombres!$C$3:$D$636,40,FALSE)</f>
        <v xml:space="preserve">  Gastos de personal</v>
      </c>
      <c r="B71" s="75">
        <v>-70.033605793972896</v>
      </c>
      <c r="C71" s="75">
        <v>-64.848231397416896</v>
      </c>
      <c r="D71" s="75">
        <v>-75.707958306524603</v>
      </c>
      <c r="E71" s="76">
        <v>-94.226372597160633</v>
      </c>
      <c r="F71" s="75">
        <v>-82.497584129999993</v>
      </c>
      <c r="G71" s="75">
        <v>0</v>
      </c>
      <c r="H71" s="75">
        <v>0</v>
      </c>
      <c r="I71" s="75">
        <v>0</v>
      </c>
    </row>
    <row r="72" spans="1:9">
      <c r="A72" s="123" t="str">
        <f>HLOOKUP(INDICE!$F$2,Nombres!$C$3:$D$636,41,FALSE)</f>
        <v xml:space="preserve">  Otros gastos de administración</v>
      </c>
      <c r="B72" s="75">
        <v>-59.904550766190745</v>
      </c>
      <c r="C72" s="75">
        <v>-66.24595840369804</v>
      </c>
      <c r="D72" s="75">
        <v>-63.825080893413698</v>
      </c>
      <c r="E72" s="76">
        <v>-68.40405293438333</v>
      </c>
      <c r="F72" s="75">
        <v>-69.977604540000002</v>
      </c>
      <c r="G72" s="75">
        <v>0</v>
      </c>
      <c r="H72" s="75">
        <v>0</v>
      </c>
      <c r="I72" s="75">
        <v>0</v>
      </c>
    </row>
    <row r="73" spans="1:9">
      <c r="A73" s="122" t="str">
        <f>HLOOKUP(INDICE!$F$2,Nombres!$C$3:$D$636,42,FALSE)</f>
        <v xml:space="preserve">  Amortización</v>
      </c>
      <c r="B73" s="75">
        <v>-5.9693037326249074</v>
      </c>
      <c r="C73" s="75">
        <v>-6.1925226632628103</v>
      </c>
      <c r="D73" s="75">
        <v>-6.710353638030373</v>
      </c>
      <c r="E73" s="76">
        <v>-7.4787773685397276</v>
      </c>
      <c r="F73" s="75">
        <v>-7.4148614100000003</v>
      </c>
      <c r="G73" s="75">
        <v>0</v>
      </c>
      <c r="H73" s="75">
        <v>0</v>
      </c>
      <c r="I73" s="75">
        <v>0</v>
      </c>
    </row>
    <row r="74" spans="1:9">
      <c r="A74" s="25" t="str">
        <f>HLOOKUP(INDICE!$F$2,Nombres!$C$3:$D$636,43,FALSE)</f>
        <v>Margen neto</v>
      </c>
      <c r="B74" s="25">
        <f t="shared" ref="B74:I74" si="10">+B68+B69</f>
        <v>124.69111604708047</v>
      </c>
      <c r="C74" s="25">
        <f t="shared" si="10"/>
        <v>169.18722815762769</v>
      </c>
      <c r="D74" s="25">
        <f t="shared" si="10"/>
        <v>134.14569046435301</v>
      </c>
      <c r="E74" s="73">
        <f t="shared" si="10"/>
        <v>93.265980888072363</v>
      </c>
      <c r="F74" s="74">
        <f t="shared" si="10"/>
        <v>176.08223264</v>
      </c>
      <c r="G74" s="74">
        <f t="shared" si="10"/>
        <v>0</v>
      </c>
      <c r="H74" s="74">
        <f t="shared" si="10"/>
        <v>0</v>
      </c>
      <c r="I74" s="74">
        <f t="shared" si="10"/>
        <v>0</v>
      </c>
    </row>
    <row r="75" spans="1:9">
      <c r="A75" s="122" t="str">
        <f>HLOOKUP(INDICE!$F$2,Nombres!$C$3:$D$636,44,FALSE)</f>
        <v>Deterioro de activos financieros no valorados a valor razonable con cambios en resultados</v>
      </c>
      <c r="B75" s="75">
        <v>-18.464235382956222</v>
      </c>
      <c r="C75" s="75">
        <v>-4.5876235233416676</v>
      </c>
      <c r="D75" s="75">
        <v>-1.4366699886480658</v>
      </c>
      <c r="E75" s="76">
        <v>-3.2715615476246973</v>
      </c>
      <c r="F75" s="75">
        <v>-16.074946000000004</v>
      </c>
      <c r="G75" s="75">
        <v>0</v>
      </c>
      <c r="H75" s="75">
        <v>0</v>
      </c>
      <c r="I75" s="75">
        <v>0</v>
      </c>
    </row>
    <row r="76" spans="1:9">
      <c r="A76" s="122" t="str">
        <f>HLOOKUP(INDICE!$F$2,Nombres!$C$3:$D$636,45,FALSE)</f>
        <v>Provisiones o reversión de provisiones y otros resultados</v>
      </c>
      <c r="B76" s="75">
        <v>7.3861576254047359</v>
      </c>
      <c r="C76" s="75">
        <v>-0.95860088963702084</v>
      </c>
      <c r="D76" s="75">
        <v>3.8861353737009807</v>
      </c>
      <c r="E76" s="76">
        <v>-10.96999522535476</v>
      </c>
      <c r="F76" s="75">
        <v>4.1639000000000148E-2</v>
      </c>
      <c r="G76" s="75">
        <v>0</v>
      </c>
      <c r="H76" s="75">
        <v>0</v>
      </c>
      <c r="I76" s="75">
        <v>0</v>
      </c>
    </row>
    <row r="77" spans="1:9">
      <c r="A77" s="124" t="str">
        <f>HLOOKUP(INDICE!$F$2,Nombres!$C$3:$D$636,46,FALSE)</f>
        <v>Resultado antes de impuestos</v>
      </c>
      <c r="B77" s="25">
        <f t="shared" ref="B77:I77" si="11">+B74+B75+B76</f>
        <v>113.61303828952899</v>
      </c>
      <c r="C77" s="25">
        <f t="shared" si="11"/>
        <v>163.641003744649</v>
      </c>
      <c r="D77" s="25">
        <f t="shared" si="11"/>
        <v>136.5951558494059</v>
      </c>
      <c r="E77" s="73">
        <f t="shared" si="11"/>
        <v>79.024424115092899</v>
      </c>
      <c r="F77" s="74">
        <f t="shared" si="11"/>
        <v>160.04892563999999</v>
      </c>
      <c r="G77" s="74">
        <f t="shared" si="11"/>
        <v>0</v>
      </c>
      <c r="H77" s="74">
        <f t="shared" si="11"/>
        <v>0</v>
      </c>
      <c r="I77" s="74">
        <f t="shared" si="11"/>
        <v>0</v>
      </c>
    </row>
    <row r="78" spans="1:9">
      <c r="A78" s="17" t="str">
        <f>HLOOKUP(INDICE!$F$2,Nombres!$C$3:$D$636,47,FALSE)</f>
        <v>Impuesto sobre beneficios</v>
      </c>
      <c r="B78" s="75">
        <v>-20.059718472148273</v>
      </c>
      <c r="C78" s="75">
        <v>-40.797662067704834</v>
      </c>
      <c r="D78" s="75">
        <v>-28.255609717669611</v>
      </c>
      <c r="E78" s="76">
        <v>-4.2530400963386938</v>
      </c>
      <c r="F78" s="75">
        <v>-39.531882899999992</v>
      </c>
      <c r="G78" s="75">
        <v>0</v>
      </c>
      <c r="H78" s="75">
        <v>0</v>
      </c>
      <c r="I78" s="75">
        <v>0</v>
      </c>
    </row>
    <row r="79" spans="1:9">
      <c r="A79" s="124" t="str">
        <f>HLOOKUP(INDICE!$F$2,Nombres!$C$3:$D$636,48,FALSE)</f>
        <v>Resultado del ejercicio</v>
      </c>
      <c r="B79" s="25">
        <f t="shared" ref="B79:I79" si="12">+B77+B78</f>
        <v>93.553319817380711</v>
      </c>
      <c r="C79" s="25">
        <f t="shared" si="12"/>
        <v>122.84334167694416</v>
      </c>
      <c r="D79" s="25">
        <f t="shared" si="12"/>
        <v>108.33954613173628</v>
      </c>
      <c r="E79" s="73">
        <f t="shared" si="12"/>
        <v>74.771384018754205</v>
      </c>
      <c r="F79" s="74">
        <f t="shared" si="12"/>
        <v>120.51704273999999</v>
      </c>
      <c r="G79" s="74">
        <f t="shared" si="12"/>
        <v>0</v>
      </c>
      <c r="H79" s="74">
        <f t="shared" si="12"/>
        <v>0</v>
      </c>
      <c r="I79" s="74">
        <f t="shared" si="12"/>
        <v>0</v>
      </c>
    </row>
    <row r="80" spans="1:9">
      <c r="A80" s="122" t="str">
        <f>HLOOKUP(INDICE!$F$2,Nombres!$C$3:$D$636,49,FALSE)</f>
        <v>Minoritarios</v>
      </c>
      <c r="B80" s="75">
        <v>0</v>
      </c>
      <c r="C80" s="75">
        <v>0</v>
      </c>
      <c r="D80" s="75">
        <v>0</v>
      </c>
      <c r="E80" s="76">
        <v>0</v>
      </c>
      <c r="F80" s="75">
        <v>0</v>
      </c>
      <c r="G80" s="75">
        <v>0</v>
      </c>
      <c r="H80" s="75">
        <v>0</v>
      </c>
      <c r="I80" s="75">
        <v>0</v>
      </c>
    </row>
    <row r="81" spans="1:9">
      <c r="A81" s="125" t="str">
        <f>HLOOKUP(INDICE!$F$2,Nombres!$C$3:$D$636,50,FALSE)</f>
        <v>Resultado atribuido</v>
      </c>
      <c r="B81" s="19">
        <f t="shared" ref="B81:I81" si="13">+B79+B80</f>
        <v>93.553319817380711</v>
      </c>
      <c r="C81" s="19">
        <f t="shared" si="13"/>
        <v>122.84334167694416</v>
      </c>
      <c r="D81" s="19">
        <f t="shared" si="13"/>
        <v>108.33954613173628</v>
      </c>
      <c r="E81" s="19">
        <f t="shared" si="13"/>
        <v>74.771384018754205</v>
      </c>
      <c r="F81" s="94">
        <f t="shared" si="13"/>
        <v>120.51704273999999</v>
      </c>
      <c r="G81" s="94">
        <f t="shared" si="13"/>
        <v>0</v>
      </c>
      <c r="H81" s="94">
        <f t="shared" si="13"/>
        <v>0</v>
      </c>
      <c r="I81" s="94">
        <f t="shared" si="13"/>
        <v>0</v>
      </c>
    </row>
    <row r="82" spans="1:9">
      <c r="A82" s="126"/>
      <c r="B82" s="99">
        <v>0</v>
      </c>
      <c r="C82" s="99">
        <v>0</v>
      </c>
      <c r="D82" s="99">
        <v>0</v>
      </c>
      <c r="E82" s="99">
        <v>0</v>
      </c>
      <c r="F82" s="99">
        <v>0</v>
      </c>
      <c r="G82" s="99">
        <v>0</v>
      </c>
      <c r="H82" s="99">
        <v>0</v>
      </c>
      <c r="I82" s="99">
        <v>0</v>
      </c>
    </row>
    <row r="83" spans="1:9">
      <c r="A83" s="25"/>
      <c r="B83" s="25"/>
      <c r="C83" s="25"/>
      <c r="D83" s="25"/>
      <c r="E83" s="25"/>
      <c r="F83" s="74"/>
      <c r="G83" s="74"/>
      <c r="H83" s="74"/>
      <c r="I83" s="74"/>
    </row>
    <row r="84" spans="1:9" ht="17">
      <c r="A84" s="116" t="str">
        <f>HLOOKUP(INDICE!$F$2,Nombres!$C$3:$D$636,51,FALSE)</f>
        <v>Balances</v>
      </c>
      <c r="B84" s="66"/>
      <c r="C84" s="66"/>
      <c r="D84" s="66"/>
      <c r="E84" s="66"/>
      <c r="F84" s="104"/>
      <c r="G84" s="104"/>
      <c r="H84" s="104"/>
      <c r="I84" s="104"/>
    </row>
    <row r="85" spans="1:9">
      <c r="A85" s="11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22" t="str">
        <f>HLOOKUP(INDICE!$F$2,Nombres!$C$3:$D$636,52,FALSE)</f>
        <v>Efectivo, saldos en efectivo en bancos centrales y otros depósitos a la vista</v>
      </c>
      <c r="B87" s="75">
        <v>4158.7685116217444</v>
      </c>
      <c r="C87" s="75">
        <v>5662.1665745812388</v>
      </c>
      <c r="D87" s="75">
        <v>4310.8072408969765</v>
      </c>
      <c r="E87" s="76">
        <v>4844.301104185266</v>
      </c>
      <c r="F87" s="75">
        <v>6172.0100759999996</v>
      </c>
      <c r="G87" s="75">
        <v>0</v>
      </c>
      <c r="H87" s="75">
        <v>0</v>
      </c>
      <c r="I87" s="75">
        <v>0</v>
      </c>
    </row>
    <row r="88" spans="1:9">
      <c r="A88" s="122" t="str">
        <f>HLOOKUP(INDICE!$F$2,Nombres!$C$3:$D$636,53,FALSE)</f>
        <v>Activos financieros a valor razonable</v>
      </c>
      <c r="B88" s="83">
        <v>6687.8396942978652</v>
      </c>
      <c r="C88" s="83">
        <v>8687.1941886310742</v>
      </c>
      <c r="D88" s="83">
        <v>9289.3045199539993</v>
      </c>
      <c r="E88" s="95">
        <v>15801.993303895979</v>
      </c>
      <c r="F88" s="75">
        <v>10527.541189</v>
      </c>
      <c r="G88" s="75">
        <v>0</v>
      </c>
      <c r="H88" s="75">
        <v>0</v>
      </c>
      <c r="I88" s="75">
        <v>0</v>
      </c>
    </row>
    <row r="89" spans="1:9">
      <c r="A89" s="17" t="str">
        <f>HLOOKUP(INDICE!$F$2,Nombres!$C$3:$D$636,54,FALSE)</f>
        <v>Activos financieros a coste amortizado</v>
      </c>
      <c r="B89" s="75">
        <v>39251.916925207173</v>
      </c>
      <c r="C89" s="75">
        <v>39571.524044009813</v>
      </c>
      <c r="D89" s="75">
        <v>41035.193955156166</v>
      </c>
      <c r="E89" s="76">
        <v>43628.719338324707</v>
      </c>
      <c r="F89" s="75">
        <v>44808.820342999999</v>
      </c>
      <c r="G89" s="75">
        <v>0</v>
      </c>
      <c r="H89" s="75">
        <v>0</v>
      </c>
      <c r="I89" s="75">
        <v>0</v>
      </c>
    </row>
    <row r="90" spans="1:9">
      <c r="A90" s="122" t="str">
        <f>HLOOKUP(INDICE!$F$2,Nombres!$C$3:$D$636,55,FALSE)</f>
        <v xml:space="preserve">    de los que préstamos y anticipos a la clientela</v>
      </c>
      <c r="B90" s="75">
        <v>36020.839934707299</v>
      </c>
      <c r="C90" s="75">
        <v>36232.02063271209</v>
      </c>
      <c r="D90" s="75">
        <v>37618.816672169538</v>
      </c>
      <c r="E90" s="76">
        <v>39577.783203716928</v>
      </c>
      <c r="F90" s="75">
        <v>40857.784901999999</v>
      </c>
      <c r="G90" s="75">
        <v>0</v>
      </c>
      <c r="H90" s="75">
        <v>0</v>
      </c>
      <c r="I90" s="75">
        <v>0</v>
      </c>
    </row>
    <row r="91" spans="1:9">
      <c r="A91" s="122"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75.010357533594615</v>
      </c>
      <c r="C92" s="75">
        <v>71.509768687744725</v>
      </c>
      <c r="D92" s="75">
        <v>149.1048177284124</v>
      </c>
      <c r="E92" s="76">
        <v>152.67679689069897</v>
      </c>
      <c r="F92" s="75">
        <v>155.98952499999999</v>
      </c>
      <c r="G92" s="75">
        <v>0</v>
      </c>
      <c r="H92" s="75">
        <v>0</v>
      </c>
      <c r="I92" s="75">
        <v>0</v>
      </c>
    </row>
    <row r="93" spans="1:9">
      <c r="A93" s="122" t="str">
        <f>HLOOKUP(INDICE!$F$2,Nombres!$C$3:$D$636,57,FALSE)</f>
        <v>Otros activos</v>
      </c>
      <c r="B93" s="83">
        <f>+B94-B92-B89-B88-B87-B91</f>
        <v>380.52292538688471</v>
      </c>
      <c r="C93" s="83">
        <f t="shared" ref="C93:I93" si="15">+C94-C92-C89-C88-C87</f>
        <v>380.9566362404039</v>
      </c>
      <c r="D93" s="83">
        <f t="shared" si="15"/>
        <v>428.46167367324051</v>
      </c>
      <c r="E93" s="95">
        <f t="shared" si="15"/>
        <v>543.65999513940187</v>
      </c>
      <c r="F93" s="75">
        <f t="shared" si="15"/>
        <v>894.44809199999418</v>
      </c>
      <c r="G93" s="75">
        <f t="shared" si="15"/>
        <v>0</v>
      </c>
      <c r="H93" s="75">
        <f t="shared" si="15"/>
        <v>0</v>
      </c>
      <c r="I93" s="75">
        <f t="shared" si="15"/>
        <v>0</v>
      </c>
    </row>
    <row r="94" spans="1:9">
      <c r="A94" s="125" t="str">
        <f>HLOOKUP(INDICE!$F$2,Nombres!$C$3:$D$636,58,FALSE)</f>
        <v>Total activo / pasivo</v>
      </c>
      <c r="B94" s="19">
        <v>50554.058414047264</v>
      </c>
      <c r="C94" s="19">
        <v>54373.351212150272</v>
      </c>
      <c r="D94" s="19">
        <v>55212.872207408793</v>
      </c>
      <c r="E94" s="93">
        <v>64971.350538436054</v>
      </c>
      <c r="F94" s="94">
        <v>62558.80922499999</v>
      </c>
      <c r="G94" s="94">
        <v>0</v>
      </c>
      <c r="H94" s="94">
        <v>0</v>
      </c>
      <c r="I94" s="94">
        <v>0</v>
      </c>
    </row>
    <row r="95" spans="1:9">
      <c r="A95" s="122" t="str">
        <f>HLOOKUP(INDICE!$F$2,Nombres!$C$3:$D$636,59,FALSE)</f>
        <v>Pasivos financieros mantenidos para negociar y designados a valor razonable con cambios en resultados</v>
      </c>
      <c r="B95" s="83">
        <v>5976.9851369642056</v>
      </c>
      <c r="C95" s="83">
        <v>7844.7389275313626</v>
      </c>
      <c r="D95" s="83">
        <v>8426.8120582597294</v>
      </c>
      <c r="E95" s="95">
        <v>15156.462594180453</v>
      </c>
      <c r="F95" s="75">
        <v>9693.3631319999986</v>
      </c>
      <c r="G95" s="75">
        <v>0</v>
      </c>
      <c r="H95" s="75">
        <v>0</v>
      </c>
      <c r="I95" s="75">
        <v>0</v>
      </c>
    </row>
    <row r="96" spans="1:9">
      <c r="A96" s="122" t="str">
        <f>HLOOKUP(INDICE!$F$2,Nombres!$C$3:$D$636,60,FALSE)</f>
        <v>Depósitos de bancos centrales y entidades de crédito</v>
      </c>
      <c r="B96" s="83">
        <v>1871.9130646321237</v>
      </c>
      <c r="C96" s="83">
        <v>2340.3921656915122</v>
      </c>
      <c r="D96" s="83">
        <v>2020.9076355911811</v>
      </c>
      <c r="E96" s="95">
        <v>3105.3629723206673</v>
      </c>
      <c r="F96" s="75">
        <v>2294.426395</v>
      </c>
      <c r="G96" s="75">
        <v>0</v>
      </c>
      <c r="H96" s="75">
        <v>0</v>
      </c>
      <c r="I96" s="75">
        <v>0</v>
      </c>
    </row>
    <row r="97" spans="1:9">
      <c r="A97" s="122" t="str">
        <f>HLOOKUP(INDICE!$F$2,Nombres!$C$3:$D$636,61,FALSE)</f>
        <v>Depósitos de la clientela</v>
      </c>
      <c r="B97" s="83">
        <v>10102.718158729327</v>
      </c>
      <c r="C97" s="83">
        <v>10490.534516469215</v>
      </c>
      <c r="D97" s="83">
        <v>10132.013382799907</v>
      </c>
      <c r="E97" s="95">
        <v>13099.856466587571</v>
      </c>
      <c r="F97" s="75">
        <v>20865.182332</v>
      </c>
      <c r="G97" s="75">
        <v>0</v>
      </c>
      <c r="H97" s="75">
        <v>0</v>
      </c>
      <c r="I97" s="75">
        <v>0</v>
      </c>
    </row>
    <row r="98" spans="1:9">
      <c r="A98" s="17" t="str">
        <f>HLOOKUP(INDICE!$F$2,Nombres!$C$3:$D$636,62,FALSE)</f>
        <v>Valores representativos de deuda emitidos</v>
      </c>
      <c r="B98" s="75">
        <v>1455.9692860528883</v>
      </c>
      <c r="C98" s="75">
        <v>1362.2552852759738</v>
      </c>
      <c r="D98" s="75">
        <v>1371.0165644056899</v>
      </c>
      <c r="E98" s="76">
        <v>1424.1476363900599</v>
      </c>
      <c r="F98" s="75">
        <v>1497.7249918800001</v>
      </c>
      <c r="G98" s="75">
        <v>0</v>
      </c>
      <c r="H98" s="75">
        <v>0</v>
      </c>
      <c r="I98" s="75">
        <v>0</v>
      </c>
    </row>
    <row r="99" spans="1:9">
      <c r="A99" s="122" t="str">
        <f>HLOOKUP(INDICE!$F$2,Nombres!$C$3:$D$636,122,FALSE)</f>
        <v>Posiciones inter-áreas pasivo</v>
      </c>
      <c r="B99" s="75">
        <v>25903.684126719163</v>
      </c>
      <c r="C99" s="75">
        <v>27202.973908789627</v>
      </c>
      <c r="D99" s="75">
        <v>27897.428172582859</v>
      </c>
      <c r="E99" s="76">
        <v>26724.032510937403</v>
      </c>
      <c r="F99" s="75">
        <v>22175.592134409992</v>
      </c>
      <c r="G99" s="75">
        <v>0</v>
      </c>
      <c r="H99" s="75">
        <v>0</v>
      </c>
      <c r="I99" s="75">
        <v>0</v>
      </c>
    </row>
    <row r="100" spans="1:9">
      <c r="A100" s="17" t="str">
        <f>HLOOKUP(INDICE!$F$2,Nombres!$C$3:$D$636,63,FALSE)</f>
        <v>Otros pasivos</v>
      </c>
      <c r="B100" s="83">
        <f t="shared" ref="B100:I100" si="16">+B94-B95-B96-B97-B98-B101-B99</f>
        <v>1052.5922566415102</v>
      </c>
      <c r="C100" s="83">
        <f t="shared" si="16"/>
        <v>1086.3152782205725</v>
      </c>
      <c r="D100" s="83">
        <f t="shared" si="16"/>
        <v>1325.1505008591812</v>
      </c>
      <c r="E100" s="95">
        <f t="shared" si="16"/>
        <v>1238.6989895263614</v>
      </c>
      <c r="F100" s="83">
        <f t="shared" si="16"/>
        <v>1700.4937660399955</v>
      </c>
      <c r="G100" s="83">
        <f t="shared" si="16"/>
        <v>0</v>
      </c>
      <c r="H100" s="83">
        <f t="shared" si="16"/>
        <v>0</v>
      </c>
      <c r="I100" s="83">
        <f t="shared" si="16"/>
        <v>0</v>
      </c>
    </row>
    <row r="101" spans="1:9">
      <c r="A101" s="17" t="str">
        <f>HLOOKUP(INDICE!$F$2,Nombres!$C$3:$D$636,282,FALSE)</f>
        <v>Dotación de capital regulatorio</v>
      </c>
      <c r="B101" s="83">
        <v>4190.1963843080466</v>
      </c>
      <c r="C101" s="83">
        <v>4046.1411301720073</v>
      </c>
      <c r="D101" s="83">
        <v>4039.5438929102456</v>
      </c>
      <c r="E101" s="95">
        <v>4222.7893684935398</v>
      </c>
      <c r="F101" s="83">
        <v>4332.0264736699992</v>
      </c>
      <c r="G101" s="83">
        <v>0</v>
      </c>
      <c r="H101" s="83">
        <v>0</v>
      </c>
      <c r="I101" s="83">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116" t="str">
        <f>HLOOKUP(INDICE!$F$2,Nombres!$C$3:$D$636,65,FALSE)</f>
        <v>Indicadores relevantes y de gestión</v>
      </c>
      <c r="B104" s="66"/>
      <c r="C104" s="66"/>
      <c r="D104" s="66"/>
      <c r="E104" s="66"/>
      <c r="F104" s="104"/>
      <c r="G104" s="104"/>
      <c r="H104" s="104"/>
      <c r="I104" s="104"/>
    </row>
    <row r="105" spans="1:9">
      <c r="A105" s="11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22" t="str">
        <f>HLOOKUP(INDICE!$F$2,Nombres!$C$3:$D$636,66,FALSE)</f>
        <v>Préstamos y anticipos a la clientela bruto (*)</v>
      </c>
      <c r="B107" s="75">
        <v>36263.472025768329</v>
      </c>
      <c r="C107" s="75">
        <v>36464.559845543772</v>
      </c>
      <c r="D107" s="75">
        <v>37850.565460383237</v>
      </c>
      <c r="E107" s="76">
        <v>39817.233521810624</v>
      </c>
      <c r="F107" s="75">
        <v>41104.092690999998</v>
      </c>
      <c r="G107" s="75">
        <v>0</v>
      </c>
      <c r="H107" s="75">
        <v>0</v>
      </c>
      <c r="I107" s="75">
        <v>0</v>
      </c>
    </row>
    <row r="108" spans="1:9">
      <c r="A108" s="122" t="str">
        <f>HLOOKUP(INDICE!$F$2,Nombres!$C$3:$D$636,67,FALSE)</f>
        <v>Depósitos de clientes en gestión (**)</v>
      </c>
      <c r="B108" s="75">
        <v>10102.718158729325</v>
      </c>
      <c r="C108" s="75">
        <v>10490.534516469215</v>
      </c>
      <c r="D108" s="75">
        <v>10132.013382799907</v>
      </c>
      <c r="E108" s="76">
        <v>13099.856466587567</v>
      </c>
      <c r="F108" s="75">
        <v>20865.182332</v>
      </c>
      <c r="G108" s="75">
        <v>0</v>
      </c>
      <c r="H108" s="75">
        <v>0</v>
      </c>
      <c r="I108" s="75">
        <v>0</v>
      </c>
    </row>
    <row r="109" spans="1:9">
      <c r="A109" s="17" t="str">
        <f>HLOOKUP(INDICE!$F$2,Nombres!$C$3:$D$636,68,FALSE)</f>
        <v>Fondos de inversión y carteras gestionadas</v>
      </c>
      <c r="B109" s="75">
        <v>0</v>
      </c>
      <c r="C109" s="75">
        <v>0</v>
      </c>
      <c r="D109" s="75">
        <v>0</v>
      </c>
      <c r="E109" s="76">
        <v>0</v>
      </c>
      <c r="F109" s="75">
        <v>0</v>
      </c>
      <c r="G109" s="75">
        <v>0</v>
      </c>
      <c r="H109" s="75">
        <v>0</v>
      </c>
      <c r="I109" s="75">
        <v>0</v>
      </c>
    </row>
    <row r="110" spans="1:9">
      <c r="A110" s="122" t="str">
        <f>HLOOKUP(INDICE!$F$2,Nombres!$C$3:$D$636,69,FALSE)</f>
        <v>Fondos de pensiones</v>
      </c>
      <c r="B110" s="75">
        <v>510</v>
      </c>
      <c r="C110" s="75">
        <v>505.73432509999998</v>
      </c>
      <c r="D110" s="75">
        <v>480</v>
      </c>
      <c r="E110" s="76">
        <v>566</v>
      </c>
      <c r="F110" s="75">
        <v>581.03010360999997</v>
      </c>
      <c r="G110" s="75">
        <v>0</v>
      </c>
      <c r="H110" s="75">
        <v>0</v>
      </c>
      <c r="I110" s="75">
        <v>0</v>
      </c>
    </row>
    <row r="111" spans="1:9">
      <c r="A111" s="122" t="str">
        <f>HLOOKUP(INDICE!$F$2,Nombres!$C$3:$D$636,70,FALSE)</f>
        <v>Otros recursos fuera de balance</v>
      </c>
      <c r="B111" s="75">
        <v>0</v>
      </c>
      <c r="C111" s="75">
        <v>0</v>
      </c>
      <c r="D111" s="75">
        <v>0</v>
      </c>
      <c r="E111" s="76">
        <v>0</v>
      </c>
      <c r="F111" s="75">
        <v>0</v>
      </c>
      <c r="G111" s="75">
        <v>0</v>
      </c>
      <c r="H111" s="75">
        <v>0</v>
      </c>
      <c r="I111" s="75">
        <v>0</v>
      </c>
    </row>
    <row r="112" spans="1:9">
      <c r="A112" s="126" t="str">
        <f>HLOOKUP(INDICE!$F$2,Nombres!$C$3:$D$636,71,FALSE)</f>
        <v>(*) No incluye las adquisiciones temporales de activos.</v>
      </c>
      <c r="B112" s="83"/>
      <c r="C112" s="83"/>
      <c r="D112" s="83"/>
      <c r="E112" s="83"/>
      <c r="F112" s="83"/>
      <c r="G112" s="83"/>
      <c r="H112" s="83"/>
      <c r="I112" s="83"/>
    </row>
    <row r="113" spans="1:9">
      <c r="A113" s="126"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20" spans="1:9">
      <c r="F120" s="112"/>
      <c r="G120" s="112"/>
      <c r="H120" s="112"/>
      <c r="I120" s="112"/>
    </row>
    <row r="121" spans="1:9">
      <c r="F121" s="112"/>
      <c r="G121" s="112"/>
      <c r="H121" s="112"/>
      <c r="I121" s="112"/>
    </row>
    <row r="122" spans="1:9">
      <c r="F122" s="112"/>
      <c r="G122" s="112"/>
      <c r="H122" s="112"/>
      <c r="I122" s="112"/>
    </row>
    <row r="123" spans="1:9">
      <c r="F123" s="112"/>
      <c r="G123" s="112"/>
      <c r="H123" s="112"/>
      <c r="I123" s="112"/>
    </row>
    <row r="124" spans="1:9">
      <c r="F124" s="112"/>
      <c r="G124" s="112"/>
      <c r="H124" s="112"/>
      <c r="I124" s="112"/>
    </row>
    <row r="125" spans="1:9">
      <c r="F125" s="112"/>
      <c r="G125" s="112"/>
      <c r="H125" s="112"/>
      <c r="I125" s="112"/>
    </row>
    <row r="126" spans="1:9">
      <c r="F126" s="112"/>
      <c r="G126" s="112"/>
      <c r="H126" s="112"/>
      <c r="I126" s="112"/>
    </row>
    <row r="127" spans="1:9">
      <c r="F127" s="112"/>
      <c r="G127" s="112"/>
      <c r="H127" s="112"/>
      <c r="I127" s="112"/>
    </row>
    <row r="128" spans="1:9">
      <c r="F128" s="112"/>
      <c r="G128" s="112"/>
      <c r="H128" s="112"/>
      <c r="I128" s="112"/>
    </row>
    <row r="129" spans="6:9">
      <c r="F129" s="112"/>
      <c r="G129" s="112"/>
      <c r="H129" s="112"/>
      <c r="I129" s="112"/>
    </row>
    <row r="130" spans="6:9">
      <c r="F130" s="112"/>
      <c r="G130" s="112"/>
      <c r="H130" s="112"/>
      <c r="I130" s="112"/>
    </row>
    <row r="131" spans="6:9">
      <c r="F131" s="112"/>
      <c r="G131" s="112"/>
      <c r="H131" s="112"/>
      <c r="I131" s="112"/>
    </row>
    <row r="132" spans="6:9">
      <c r="F132" s="112"/>
      <c r="G132" s="112"/>
      <c r="H132" s="112"/>
      <c r="I132" s="112"/>
    </row>
    <row r="133" spans="6:9">
      <c r="F133" s="112"/>
      <c r="G133" s="112"/>
      <c r="H133" s="112"/>
      <c r="I133" s="112"/>
    </row>
    <row r="134" spans="6:9">
      <c r="F134" s="112"/>
      <c r="G134" s="112"/>
      <c r="H134" s="112"/>
      <c r="I134" s="112"/>
    </row>
    <row r="135" spans="6:9">
      <c r="F135" s="112"/>
      <c r="G135" s="112"/>
      <c r="H135" s="112"/>
      <c r="I135" s="112"/>
    </row>
    <row r="136" spans="6:9">
      <c r="F136" s="112"/>
      <c r="G136" s="112"/>
      <c r="H136" s="112"/>
      <c r="I136" s="112"/>
    </row>
    <row r="137" spans="6:9">
      <c r="F137" s="112"/>
      <c r="G137" s="112"/>
      <c r="H137" s="112"/>
      <c r="I137" s="112"/>
    </row>
    <row r="138" spans="6:9">
      <c r="F138" s="112"/>
      <c r="G138" s="112"/>
      <c r="H138" s="112"/>
      <c r="I138" s="112"/>
    </row>
    <row r="139" spans="6:9">
      <c r="F139" s="112"/>
      <c r="G139" s="112"/>
      <c r="H139" s="112"/>
      <c r="I139" s="112"/>
    </row>
    <row r="140" spans="6:9">
      <c r="F140" s="112"/>
      <c r="G140" s="112"/>
      <c r="H140" s="112"/>
      <c r="I140" s="112"/>
    </row>
    <row r="141" spans="6:9">
      <c r="F141" s="112"/>
      <c r="G141" s="112"/>
      <c r="H141" s="112"/>
      <c r="I141" s="112"/>
    </row>
    <row r="142" spans="6:9">
      <c r="F142" s="112"/>
      <c r="G142" s="112"/>
      <c r="H142" s="112"/>
      <c r="I142" s="112"/>
    </row>
    <row r="143" spans="6:9">
      <c r="F143" s="112"/>
      <c r="G143" s="112"/>
      <c r="H143" s="112"/>
      <c r="I143" s="112"/>
    </row>
    <row r="144" spans="6:9">
      <c r="F144" s="112"/>
      <c r="G144" s="112"/>
      <c r="H144" s="112"/>
      <c r="I144" s="112"/>
    </row>
    <row r="145" spans="6:9">
      <c r="F145" s="112"/>
      <c r="G145" s="112"/>
      <c r="H145" s="112"/>
      <c r="I145" s="112"/>
    </row>
    <row r="146" spans="6:9">
      <c r="F146" s="112"/>
      <c r="G146" s="112"/>
      <c r="H146" s="112"/>
      <c r="I146" s="112"/>
    </row>
    <row r="147" spans="6:9">
      <c r="F147" s="112"/>
      <c r="G147" s="112"/>
      <c r="H147" s="112"/>
      <c r="I147" s="112"/>
    </row>
    <row r="148" spans="6:9">
      <c r="F148" s="112"/>
      <c r="G148" s="112"/>
      <c r="H148" s="112"/>
      <c r="I148" s="112"/>
    </row>
    <row r="149" spans="6:9">
      <c r="F149" s="112"/>
      <c r="G149" s="112"/>
      <c r="H149" s="112"/>
      <c r="I149" s="112"/>
    </row>
    <row r="150" spans="6:9">
      <c r="F150" s="112"/>
      <c r="G150" s="112"/>
      <c r="H150" s="112"/>
      <c r="I150" s="112"/>
    </row>
    <row r="151" spans="6:9">
      <c r="F151" s="112"/>
      <c r="G151" s="112"/>
      <c r="H151" s="112"/>
      <c r="I151" s="112"/>
    </row>
    <row r="152" spans="6:9">
      <c r="F152" s="112"/>
      <c r="G152" s="112"/>
      <c r="H152" s="112"/>
      <c r="I152" s="112"/>
    </row>
    <row r="153" spans="6:9">
      <c r="F153" s="112"/>
      <c r="G153" s="112"/>
      <c r="H153" s="112"/>
      <c r="I153" s="112"/>
    </row>
    <row r="154" spans="6:9">
      <c r="F154" s="112"/>
      <c r="G154" s="112"/>
      <c r="H154" s="112"/>
      <c r="I154" s="112"/>
    </row>
    <row r="155" spans="6:9">
      <c r="F155" s="112"/>
      <c r="G155" s="112"/>
      <c r="H155" s="112"/>
      <c r="I155" s="112"/>
    </row>
    <row r="156" spans="6:9">
      <c r="F156" s="112"/>
      <c r="G156" s="112"/>
      <c r="H156" s="112"/>
      <c r="I156" s="112"/>
    </row>
    <row r="157" spans="6:9">
      <c r="F157" s="112"/>
      <c r="G157" s="112"/>
      <c r="H157" s="112"/>
      <c r="I157" s="112"/>
    </row>
    <row r="158" spans="6:9">
      <c r="F158" s="112"/>
      <c r="G158" s="112"/>
      <c r="H158" s="112"/>
      <c r="I158" s="112"/>
    </row>
    <row r="159" spans="6:9">
      <c r="F159" s="112"/>
      <c r="G159" s="112"/>
      <c r="H159" s="112"/>
      <c r="I159" s="112"/>
    </row>
    <row r="160" spans="6:9">
      <c r="F160" s="112"/>
      <c r="G160" s="112"/>
      <c r="H160" s="112"/>
      <c r="I160" s="112"/>
    </row>
    <row r="161" spans="6:9">
      <c r="F161" s="112"/>
      <c r="G161" s="112"/>
      <c r="H161" s="112"/>
      <c r="I161" s="112"/>
    </row>
    <row r="162" spans="6:9">
      <c r="F162" s="112"/>
      <c r="G162" s="112"/>
      <c r="H162" s="112"/>
      <c r="I162" s="112"/>
    </row>
    <row r="163" spans="6:9">
      <c r="F163" s="112"/>
      <c r="G163" s="112"/>
      <c r="H163" s="112"/>
      <c r="I163" s="112"/>
    </row>
    <row r="164" spans="6:9">
      <c r="F164" s="112"/>
      <c r="G164" s="112"/>
      <c r="H164" s="112"/>
      <c r="I164" s="112"/>
    </row>
    <row r="165" spans="6:9">
      <c r="F165" s="112"/>
      <c r="G165" s="112"/>
      <c r="H165" s="112"/>
      <c r="I165" s="112"/>
    </row>
    <row r="166" spans="6:9">
      <c r="F166" s="112"/>
      <c r="G166" s="112"/>
      <c r="H166" s="112"/>
      <c r="I166" s="112"/>
    </row>
    <row r="1000" spans="1:1">
      <c r="A1000" s="63" t="s">
        <v>550</v>
      </c>
    </row>
  </sheetData>
  <mergeCells count="4">
    <mergeCell ref="B6:E6"/>
    <mergeCell ref="F6:I6"/>
    <mergeCell ref="B62:E62"/>
    <mergeCell ref="F62:I62"/>
  </mergeCells>
  <conditionalFormatting sqref="B26:I26">
    <cfRule type="cellIs" dxfId="30" priority="2" operator="notBetween">
      <formula>0.5</formula>
      <formula>-0.5</formula>
    </cfRule>
  </conditionalFormatting>
  <conditionalFormatting sqref="B82:I82">
    <cfRule type="cellIs" dxfId="29" priority="1" operator="notBetween">
      <formula>0.5</formula>
      <formula>-0.5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63"/>
  <sheetViews>
    <sheetView showGridLines="0" zoomScaleNormal="100" workbookViewId="0">
      <selection activeCell="A41" sqref="A41"/>
    </sheetView>
  </sheetViews>
  <sheetFormatPr baseColWidth="10" defaultColWidth="11.453125" defaultRowHeight="14.5"/>
  <cols>
    <col min="1" max="1" width="63.7265625" style="63" customWidth="1"/>
    <col min="2" max="2" width="10.453125" style="63" customWidth="1"/>
    <col min="3" max="6" width="11.453125" style="63"/>
    <col min="7" max="9" width="0" style="63" hidden="1" customWidth="1"/>
    <col min="10" max="16384" width="11.453125" style="63"/>
  </cols>
  <sheetData>
    <row r="1" spans="1:15" ht="17">
      <c r="A1" s="115" t="str">
        <f>HLOOKUP(INDICE!$F$2,Nombres!$C$3:$D$636,19,FALSE)</f>
        <v>Centro Corporativo</v>
      </c>
      <c r="B1" s="62"/>
      <c r="C1" s="62"/>
      <c r="D1" s="62"/>
      <c r="E1" s="62"/>
      <c r="F1" s="62"/>
      <c r="G1" s="62"/>
      <c r="H1" s="62"/>
      <c r="I1" s="62"/>
    </row>
    <row r="2" spans="1:15" ht="19.5">
      <c r="A2" s="64"/>
      <c r="B2" s="62"/>
      <c r="C2" s="62"/>
      <c r="D2" s="62"/>
      <c r="E2" s="62"/>
      <c r="F2" s="62"/>
      <c r="G2" s="62"/>
      <c r="H2" s="62"/>
      <c r="I2" s="62"/>
    </row>
    <row r="3" spans="1:15" ht="17">
      <c r="A3" s="116" t="str">
        <f>HLOOKUP(INDICE!$F$2,Nombres!$C$3:$D$636,31,FALSE)</f>
        <v xml:space="preserve">Cuenta de resultados  </v>
      </c>
      <c r="B3" s="66"/>
      <c r="C3" s="66"/>
      <c r="D3" s="66"/>
      <c r="E3" s="66"/>
      <c r="F3" s="66"/>
      <c r="G3" s="66"/>
      <c r="H3" s="66"/>
      <c r="I3" s="66"/>
    </row>
    <row r="4" spans="1:15">
      <c r="A4" s="117" t="str">
        <f>HLOOKUP(INDICE!$F$2,Nombres!$C$3:$D$636,32,FALSE)</f>
        <v>(Millones de euros)</v>
      </c>
      <c r="B4" s="62"/>
      <c r="C4" s="68"/>
      <c r="D4" s="68"/>
      <c r="E4" s="68"/>
      <c r="F4" s="62"/>
      <c r="G4" s="62"/>
      <c r="H4" s="62"/>
      <c r="I4" s="62"/>
    </row>
    <row r="5" spans="1:15">
      <c r="A5" s="69"/>
      <c r="B5" s="62"/>
      <c r="C5" s="68"/>
      <c r="D5" s="68"/>
      <c r="E5" s="68"/>
      <c r="F5" s="62"/>
      <c r="G5" s="62"/>
      <c r="H5" s="62"/>
      <c r="I5" s="62"/>
    </row>
    <row r="6" spans="1:15">
      <c r="A6" s="70"/>
      <c r="B6" s="299">
        <f>+España!B6</f>
        <v>2023</v>
      </c>
      <c r="C6" s="299"/>
      <c r="D6" s="299"/>
      <c r="E6" s="300"/>
      <c r="F6" s="299">
        <f>+España!F6</f>
        <v>2024</v>
      </c>
      <c r="G6" s="299"/>
      <c r="H6" s="299"/>
      <c r="I6" s="299"/>
    </row>
    <row r="7" spans="1:15">
      <c r="A7" s="70"/>
      <c r="B7" s="118" t="str">
        <f>+España!B7</f>
        <v>1er Trim.</v>
      </c>
      <c r="C7" s="118" t="str">
        <f>+España!C7</f>
        <v>2º Trim.</v>
      </c>
      <c r="D7" s="118" t="str">
        <f>+España!D7</f>
        <v>3er Trim.</v>
      </c>
      <c r="E7" s="119" t="str">
        <f>+España!E7</f>
        <v>4º Trim.</v>
      </c>
      <c r="F7" s="118" t="str">
        <f>+España!F7</f>
        <v>1er Trim.</v>
      </c>
      <c r="G7" s="118" t="str">
        <f>+España!G7</f>
        <v>2º Trim.</v>
      </c>
      <c r="H7" s="118" t="str">
        <f>+España!H7</f>
        <v>3er Trim.</v>
      </c>
      <c r="I7" s="118" t="str">
        <f>+España!I7</f>
        <v>4º Trim.</v>
      </c>
    </row>
    <row r="8" spans="1:15">
      <c r="A8" s="25" t="str">
        <f>HLOOKUP(INDICE!$F$2,Nombres!$C$3:$D$636,33,FALSE)</f>
        <v>Margen de intereses</v>
      </c>
      <c r="B8" s="25">
        <v>-60.153770220000041</v>
      </c>
      <c r="C8" s="25">
        <v>-80.208588539999852</v>
      </c>
      <c r="D8" s="25">
        <v>-112.69505632000019</v>
      </c>
      <c r="E8" s="73">
        <v>-133.33623143999995</v>
      </c>
      <c r="F8" s="74">
        <v>-75.738716510000103</v>
      </c>
      <c r="G8" s="74">
        <v>0</v>
      </c>
      <c r="H8" s="120">
        <v>0</v>
      </c>
      <c r="I8" s="120">
        <v>0</v>
      </c>
      <c r="J8" s="121"/>
      <c r="K8" s="121"/>
      <c r="L8" s="121"/>
      <c r="M8" s="121"/>
      <c r="N8" s="121"/>
      <c r="O8" s="121"/>
    </row>
    <row r="9" spans="1:15">
      <c r="A9" s="122" t="str">
        <f>HLOOKUP(INDICE!$F$2,Nombres!$C$3:$D$636,34,FALSE)</f>
        <v>Comisiones netas</v>
      </c>
      <c r="B9" s="75">
        <v>-4.1680593699999982</v>
      </c>
      <c r="C9" s="75">
        <v>-25.61820122</v>
      </c>
      <c r="D9" s="75">
        <v>-10.49395114</v>
      </c>
      <c r="E9" s="76">
        <v>-3.8535371600000166</v>
      </c>
      <c r="F9" s="75">
        <v>-4.0494467599999968</v>
      </c>
      <c r="G9" s="75">
        <v>0</v>
      </c>
      <c r="H9" s="75">
        <v>0</v>
      </c>
      <c r="I9" s="75">
        <v>0</v>
      </c>
    </row>
    <row r="10" spans="1:15">
      <c r="A10" s="122" t="str">
        <f>HLOOKUP(INDICE!$F$2,Nombres!$C$3:$D$636,35,FALSE)</f>
        <v>Resultados de operaciones financieras</v>
      </c>
      <c r="B10" s="75">
        <v>-258.04446030000003</v>
      </c>
      <c r="C10" s="75">
        <v>-337.28961167</v>
      </c>
      <c r="D10" s="75">
        <v>-102.08136458000003</v>
      </c>
      <c r="E10" s="76">
        <v>11.650598840000029</v>
      </c>
      <c r="F10" s="75">
        <v>-269.37225899999993</v>
      </c>
      <c r="G10" s="75">
        <v>0</v>
      </c>
      <c r="H10" s="75">
        <v>0</v>
      </c>
      <c r="I10" s="75">
        <v>0</v>
      </c>
    </row>
    <row r="11" spans="1:15">
      <c r="A11" s="122" t="str">
        <f>HLOOKUP(INDICE!$F$2,Nombres!$C$3:$D$636,36,FALSE)</f>
        <v>Otros ingresos y cargas de explotación</v>
      </c>
      <c r="B11" s="75">
        <v>11.505035000000294</v>
      </c>
      <c r="C11" s="75">
        <v>37.506312870000087</v>
      </c>
      <c r="D11" s="75">
        <v>-0.64306219999979231</v>
      </c>
      <c r="E11" s="76">
        <v>38.876422809999731</v>
      </c>
      <c r="F11" s="75">
        <v>5.0532406899997255</v>
      </c>
      <c r="G11" s="75">
        <v>0</v>
      </c>
      <c r="H11" s="75">
        <v>0</v>
      </c>
      <c r="I11" s="75">
        <v>0</v>
      </c>
    </row>
    <row r="12" spans="1:15">
      <c r="A12" s="25" t="str">
        <f>HLOOKUP(INDICE!$F$2,Nombres!$C$3:$D$636,37,FALSE)</f>
        <v>Margen bruto</v>
      </c>
      <c r="B12" s="25">
        <f t="shared" ref="B12:I12" si="0">+SUM(B8:B11)</f>
        <v>-310.86125488999977</v>
      </c>
      <c r="C12" s="25">
        <f t="shared" si="0"/>
        <v>-405.61008855999978</v>
      </c>
      <c r="D12" s="25">
        <f t="shared" si="0"/>
        <v>-225.91343424000002</v>
      </c>
      <c r="E12" s="73">
        <f t="shared" si="0"/>
        <v>-86.662746950000212</v>
      </c>
      <c r="F12" s="74">
        <f t="shared" si="0"/>
        <v>-344.10718158000032</v>
      </c>
      <c r="G12" s="74">
        <f t="shared" si="0"/>
        <v>0</v>
      </c>
      <c r="H12" s="74">
        <f t="shared" si="0"/>
        <v>0</v>
      </c>
      <c r="I12" s="74">
        <f t="shared" si="0"/>
        <v>0</v>
      </c>
    </row>
    <row r="13" spans="1:15">
      <c r="A13" s="122" t="str">
        <f>HLOOKUP(INDICE!$F$2,Nombres!$C$3:$D$636,38,FALSE)</f>
        <v>Gastos de explotación</v>
      </c>
      <c r="B13" s="75">
        <v>-181.86934331</v>
      </c>
      <c r="C13" s="75">
        <v>-184.32675601999995</v>
      </c>
      <c r="D13" s="75">
        <v>-181.26504512000002</v>
      </c>
      <c r="E13" s="76">
        <v>-212.77555010999998</v>
      </c>
      <c r="F13" s="75">
        <v>-166.78907327000005</v>
      </c>
      <c r="G13" s="75">
        <v>0</v>
      </c>
      <c r="H13" s="75">
        <v>0</v>
      </c>
      <c r="I13" s="75">
        <v>0</v>
      </c>
    </row>
    <row r="14" spans="1:15">
      <c r="A14" s="122" t="str">
        <f>HLOOKUP(INDICE!$F$2,Nombres!$C$3:$D$636,39,FALSE)</f>
        <v xml:space="preserve">  Gastos de administración</v>
      </c>
      <c r="B14" s="75">
        <v>-131.61451544000002</v>
      </c>
      <c r="C14" s="75">
        <v>-133.68833412999999</v>
      </c>
      <c r="D14" s="75">
        <v>-127.13416582000005</v>
      </c>
      <c r="E14" s="76">
        <v>-157.93369991999998</v>
      </c>
      <c r="F14" s="75">
        <v>-113.41911532</v>
      </c>
      <c r="G14" s="75">
        <v>0</v>
      </c>
      <c r="H14" s="75">
        <v>0</v>
      </c>
      <c r="I14" s="75">
        <v>0</v>
      </c>
    </row>
    <row r="15" spans="1:15">
      <c r="A15" s="123" t="str">
        <f>HLOOKUP(INDICE!$F$2,Nombres!$C$3:$D$636,40,FALSE)</f>
        <v xml:space="preserve">  Gastos de personal</v>
      </c>
      <c r="B15" s="75">
        <v>-153.06177243999997</v>
      </c>
      <c r="C15" s="75">
        <v>-160.65548957999999</v>
      </c>
      <c r="D15" s="75">
        <v>-173.04134780000001</v>
      </c>
      <c r="E15" s="76">
        <v>-202.36887468999998</v>
      </c>
      <c r="F15" s="75">
        <v>-181.11394313999998</v>
      </c>
      <c r="G15" s="75">
        <v>0</v>
      </c>
      <c r="H15" s="75">
        <v>0</v>
      </c>
      <c r="I15" s="75">
        <v>0</v>
      </c>
    </row>
    <row r="16" spans="1:15">
      <c r="A16" s="123" t="str">
        <f>HLOOKUP(INDICE!$F$2,Nombres!$C$3:$D$636,41,FALSE)</f>
        <v xml:space="preserve">  Otros gastos de administración</v>
      </c>
      <c r="B16" s="75">
        <v>21.447256999999993</v>
      </c>
      <c r="C16" s="75">
        <v>26.967155449999996</v>
      </c>
      <c r="D16" s="75">
        <v>45.907181979999976</v>
      </c>
      <c r="E16" s="76">
        <v>44.435174770000017</v>
      </c>
      <c r="F16" s="75">
        <v>67.694827819999944</v>
      </c>
      <c r="G16" s="75">
        <v>0</v>
      </c>
      <c r="H16" s="75">
        <v>0</v>
      </c>
      <c r="I16" s="75">
        <v>0</v>
      </c>
    </row>
    <row r="17" spans="1:9">
      <c r="A17" s="122" t="str">
        <f>HLOOKUP(INDICE!$F$2,Nombres!$C$3:$D$636,42,FALSE)</f>
        <v xml:space="preserve">  Amortización</v>
      </c>
      <c r="B17" s="75">
        <v>-50.254827870000014</v>
      </c>
      <c r="C17" s="75">
        <v>-50.638421889999996</v>
      </c>
      <c r="D17" s="75">
        <v>-54.130879300000004</v>
      </c>
      <c r="E17" s="76">
        <v>-54.841850189999988</v>
      </c>
      <c r="F17" s="75">
        <v>-53.36995795</v>
      </c>
      <c r="G17" s="75">
        <v>0</v>
      </c>
      <c r="H17" s="75">
        <v>0</v>
      </c>
      <c r="I17" s="75">
        <v>0</v>
      </c>
    </row>
    <row r="18" spans="1:9">
      <c r="A18" s="25" t="str">
        <f>HLOOKUP(INDICE!$F$2,Nombres!$C$3:$D$636,43,FALSE)</f>
        <v>Margen neto</v>
      </c>
      <c r="B18" s="25">
        <f t="shared" ref="B18:I18" si="1">+B12+B13</f>
        <v>-492.7305981999998</v>
      </c>
      <c r="C18" s="25">
        <f t="shared" si="1"/>
        <v>-589.93684457999973</v>
      </c>
      <c r="D18" s="25">
        <f t="shared" si="1"/>
        <v>-407.17847936000004</v>
      </c>
      <c r="E18" s="73">
        <f t="shared" si="1"/>
        <v>-299.4382970600002</v>
      </c>
      <c r="F18" s="74">
        <f t="shared" si="1"/>
        <v>-510.89625485000033</v>
      </c>
      <c r="G18" s="74">
        <f t="shared" si="1"/>
        <v>0</v>
      </c>
      <c r="H18" s="74">
        <f t="shared" si="1"/>
        <v>0</v>
      </c>
      <c r="I18" s="74">
        <f t="shared" si="1"/>
        <v>0</v>
      </c>
    </row>
    <row r="19" spans="1:9">
      <c r="A19" s="122" t="str">
        <f>HLOOKUP(INDICE!$F$2,Nombres!$C$3:$D$636,44,FALSE)</f>
        <v>Deterioro de activos financieros no valorados a valor razonable con cambios en resultados</v>
      </c>
      <c r="B19" s="75">
        <v>0.14121296999999827</v>
      </c>
      <c r="C19" s="75">
        <v>-4.0353680000000003E-2</v>
      </c>
      <c r="D19" s="75">
        <v>0.73233552000000013</v>
      </c>
      <c r="E19" s="76">
        <v>0.14182081000000005</v>
      </c>
      <c r="F19" s="75">
        <v>0.82600125000000024</v>
      </c>
      <c r="G19" s="75">
        <v>0</v>
      </c>
      <c r="H19" s="75">
        <v>0</v>
      </c>
      <c r="I19" s="75">
        <v>0</v>
      </c>
    </row>
    <row r="20" spans="1:9">
      <c r="A20" s="122" t="str">
        <f>HLOOKUP(INDICE!$F$2,Nombres!$C$3:$D$636,45,FALSE)</f>
        <v>Provisiones o reversión de provisiones y otros resultados</v>
      </c>
      <c r="B20" s="75">
        <v>-2.6902537799999973</v>
      </c>
      <c r="C20" s="75">
        <v>8.5698103000000003</v>
      </c>
      <c r="D20" s="75">
        <v>-7.5007035000000037</v>
      </c>
      <c r="E20" s="76">
        <v>-19.120307970000013</v>
      </c>
      <c r="F20" s="75">
        <v>35.877913550000002</v>
      </c>
      <c r="G20" s="75">
        <v>0</v>
      </c>
      <c r="H20" s="75">
        <v>0</v>
      </c>
      <c r="I20" s="75">
        <v>0</v>
      </c>
    </row>
    <row r="21" spans="1:9">
      <c r="A21" s="124" t="str">
        <f>HLOOKUP(INDICE!$F$2,Nombres!$C$3:$D$636,46,FALSE)</f>
        <v>Resultado antes de impuestos</v>
      </c>
      <c r="B21" s="25">
        <f t="shared" ref="B21:I21" si="2">+B18+B19+B20</f>
        <v>-495.27963900999976</v>
      </c>
      <c r="C21" s="25">
        <f t="shared" si="2"/>
        <v>-581.40738795999971</v>
      </c>
      <c r="D21" s="25">
        <f t="shared" si="2"/>
        <v>-413.94684734000003</v>
      </c>
      <c r="E21" s="73">
        <f t="shared" si="2"/>
        <v>-318.41678422000018</v>
      </c>
      <c r="F21" s="74">
        <f t="shared" si="2"/>
        <v>-474.19234005000033</v>
      </c>
      <c r="G21" s="74">
        <f t="shared" si="2"/>
        <v>0</v>
      </c>
      <c r="H21" s="74">
        <f t="shared" si="2"/>
        <v>0</v>
      </c>
      <c r="I21" s="74">
        <f t="shared" si="2"/>
        <v>0</v>
      </c>
    </row>
    <row r="22" spans="1:9">
      <c r="A22" s="17" t="str">
        <f>HLOOKUP(INDICE!$F$2,Nombres!$C$3:$D$636,47,FALSE)</f>
        <v>Impuesto sobre beneficios</v>
      </c>
      <c r="B22" s="75">
        <v>-15.948742739999972</v>
      </c>
      <c r="C22" s="75">
        <v>41.376260479999971</v>
      </c>
      <c r="D22" s="75">
        <v>186.72319615999999</v>
      </c>
      <c r="E22" s="76">
        <v>49.432372199999961</v>
      </c>
      <c r="F22" s="75">
        <v>129.23351674999998</v>
      </c>
      <c r="G22" s="75">
        <v>0</v>
      </c>
      <c r="H22" s="75">
        <v>0</v>
      </c>
      <c r="I22" s="75">
        <v>0</v>
      </c>
    </row>
    <row r="23" spans="1:9">
      <c r="A23" s="25" t="str">
        <f>HLOOKUP(INDICE!$F$2,Nombres!$C$3:$D$636,48,FALSE)</f>
        <v>Resultado del ejercicio</v>
      </c>
      <c r="B23" s="25">
        <f t="shared" ref="B23:I23" si="3">+B21+B22</f>
        <v>-511.2283817499997</v>
      </c>
      <c r="C23" s="25">
        <f t="shared" si="3"/>
        <v>-540.03112747999978</v>
      </c>
      <c r="D23" s="25">
        <f t="shared" si="3"/>
        <v>-227.22365118000005</v>
      </c>
      <c r="E23" s="73">
        <f t="shared" si="3"/>
        <v>-268.98441202000021</v>
      </c>
      <c r="F23" s="74">
        <f t="shared" si="3"/>
        <v>-344.95882330000035</v>
      </c>
      <c r="G23" s="74">
        <f t="shared" si="3"/>
        <v>0</v>
      </c>
      <c r="H23" s="74">
        <f t="shared" si="3"/>
        <v>0</v>
      </c>
      <c r="I23" s="74">
        <f t="shared" si="3"/>
        <v>0</v>
      </c>
    </row>
    <row r="24" spans="1:9">
      <c r="A24" s="17" t="str">
        <f>HLOOKUP(INDICE!$F$2,Nombres!$C$3:$D$636,49,FALSE)</f>
        <v>Minoritarios</v>
      </c>
      <c r="B24" s="75">
        <v>-3.60860337</v>
      </c>
      <c r="C24" s="75">
        <v>16.015992979999996</v>
      </c>
      <c r="D24" s="75">
        <v>-7.7601622599999995</v>
      </c>
      <c r="E24" s="76">
        <v>-1.6635330700000006</v>
      </c>
      <c r="F24" s="75">
        <v>-4.651672679999999</v>
      </c>
      <c r="G24" s="75">
        <v>0</v>
      </c>
      <c r="H24" s="75">
        <v>0</v>
      </c>
      <c r="I24" s="75">
        <v>0</v>
      </c>
    </row>
    <row r="25" spans="1:9">
      <c r="A25" s="19" t="str">
        <f>HLOOKUP(INDICE!$F$2,Nombres!$C$3:$D$636,50,FALSE)</f>
        <v>Resultado atribuido</v>
      </c>
      <c r="B25" s="19">
        <f>+B23+B24</f>
        <v>-514.83698511999967</v>
      </c>
      <c r="C25" s="19">
        <f t="shared" ref="C25:I25" si="4">+C23+C24</f>
        <v>-524.01513449999982</v>
      </c>
      <c r="D25" s="19">
        <f t="shared" si="4"/>
        <v>-234.98381344000003</v>
      </c>
      <c r="E25" s="19">
        <f t="shared" si="4"/>
        <v>-270.64794509000023</v>
      </c>
      <c r="F25" s="19">
        <f t="shared" si="4"/>
        <v>-349.61049598000034</v>
      </c>
      <c r="G25" s="19">
        <f t="shared" si="4"/>
        <v>0</v>
      </c>
      <c r="H25" s="19">
        <f t="shared" si="4"/>
        <v>0</v>
      </c>
      <c r="I25" s="19">
        <f t="shared" si="4"/>
        <v>0</v>
      </c>
    </row>
    <row r="26" spans="1:9">
      <c r="A26" s="127" t="s">
        <v>552</v>
      </c>
      <c r="B26" s="75"/>
      <c r="C26" s="75"/>
      <c r="D26" s="75"/>
      <c r="E26" s="75"/>
      <c r="F26" s="75"/>
      <c r="G26" s="75"/>
      <c r="H26" s="75"/>
      <c r="I26" s="75"/>
    </row>
    <row r="27" spans="1:9" ht="14.5" customHeight="1">
      <c r="A27" s="298"/>
      <c r="B27" s="298"/>
      <c r="C27" s="298"/>
      <c r="D27" s="298"/>
      <c r="E27" s="298"/>
      <c r="F27" s="298"/>
      <c r="G27" s="298"/>
      <c r="H27" s="298"/>
      <c r="I27" s="298"/>
    </row>
    <row r="28" spans="1:9">
      <c r="A28" s="298"/>
      <c r="B28" s="298"/>
      <c r="C28" s="298"/>
      <c r="D28" s="298"/>
      <c r="E28" s="298"/>
      <c r="F28" s="298"/>
      <c r="G28" s="298"/>
      <c r="H28" s="298"/>
      <c r="I28" s="298"/>
    </row>
    <row r="29" spans="1:9">
      <c r="A29" s="25"/>
      <c r="B29" s="99" t="e">
        <v>#REF!</v>
      </c>
      <c r="C29" s="99" t="e">
        <v>#REF!</v>
      </c>
      <c r="D29" s="99" t="e">
        <v>#REF!</v>
      </c>
      <c r="E29" s="99" t="e">
        <v>#REF!</v>
      </c>
      <c r="F29" s="99" t="e">
        <v>#REF!</v>
      </c>
      <c r="G29" s="99" t="e">
        <v>#REF!</v>
      </c>
      <c r="H29" s="99" t="e">
        <v>#REF!</v>
      </c>
      <c r="I29" s="99" t="e">
        <v>#REF!</v>
      </c>
    </row>
    <row r="30" spans="1:9">
      <c r="A30" s="25"/>
      <c r="B30" s="25"/>
      <c r="C30" s="25"/>
      <c r="D30" s="25"/>
      <c r="E30" s="25"/>
      <c r="F30" s="25"/>
      <c r="G30" s="25"/>
      <c r="H30" s="25"/>
      <c r="I30" s="25"/>
    </row>
    <row r="31" spans="1:9" ht="17">
      <c r="A31" s="116" t="str">
        <f>HLOOKUP(INDICE!$F$2,Nombres!$C$3:$D$636,51,FALSE)</f>
        <v>Balances</v>
      </c>
      <c r="B31" s="66"/>
      <c r="C31" s="66"/>
      <c r="D31" s="66"/>
      <c r="E31" s="66"/>
      <c r="F31" s="111"/>
      <c r="G31" s="111"/>
      <c r="H31" s="111"/>
      <c r="I31" s="111"/>
    </row>
    <row r="32" spans="1:9">
      <c r="A32" s="117" t="str">
        <f>HLOOKUP(INDICE!$F$2,Nombres!$C$3:$D$636,32,FALSE)</f>
        <v>(Millones de euros)</v>
      </c>
      <c r="B32" s="62"/>
      <c r="C32" s="82"/>
      <c r="D32" s="82"/>
      <c r="E32" s="82"/>
      <c r="F32" s="103"/>
      <c r="G32" s="101"/>
      <c r="H32" s="101"/>
      <c r="I32" s="101"/>
    </row>
    <row r="33" spans="1:9">
      <c r="A33" s="62"/>
      <c r="B33" s="84">
        <f>+España!B32</f>
        <v>45016</v>
      </c>
      <c r="C33" s="84">
        <f>+España!C32</f>
        <v>45107</v>
      </c>
      <c r="D33" s="84">
        <f>+España!D32</f>
        <v>45199</v>
      </c>
      <c r="E33" s="98">
        <f>+España!E32</f>
        <v>45291</v>
      </c>
      <c r="F33" s="84">
        <f>+España!F32</f>
        <v>45382</v>
      </c>
      <c r="G33" s="84">
        <f>+España!G32</f>
        <v>45473</v>
      </c>
      <c r="H33" s="84">
        <f>+España!H32</f>
        <v>45565</v>
      </c>
      <c r="I33" s="84">
        <f>+España!I32</f>
        <v>45657</v>
      </c>
    </row>
    <row r="34" spans="1:9">
      <c r="A34" s="122" t="str">
        <f>HLOOKUP(INDICE!$F$2,Nombres!$C$3:$D$636,52,FALSE)</f>
        <v>Efectivo, saldos en efectivo en bancos centrales y otros depósitos a la vista</v>
      </c>
      <c r="B34" s="75">
        <v>572.63399300000003</v>
      </c>
      <c r="C34" s="75">
        <v>644.78299700000002</v>
      </c>
      <c r="D34" s="75">
        <v>657.70999499999994</v>
      </c>
      <c r="E34" s="76">
        <v>683.92999899999995</v>
      </c>
      <c r="F34" s="75">
        <v>629.7060009999999</v>
      </c>
      <c r="G34" s="75">
        <v>0</v>
      </c>
      <c r="H34" s="75">
        <v>0</v>
      </c>
      <c r="I34" s="75">
        <v>0</v>
      </c>
    </row>
    <row r="35" spans="1:9">
      <c r="A35" s="122" t="str">
        <f>HLOOKUP(INDICE!$F$2,Nombres!$C$3:$D$636,53,FALSE)</f>
        <v>Activos financieros a valor razonable</v>
      </c>
      <c r="B35" s="83">
        <v>2427.10285544</v>
      </c>
      <c r="C35" s="83">
        <v>2457.2440675399998</v>
      </c>
      <c r="D35" s="83">
        <v>2422.0145152199998</v>
      </c>
      <c r="E35" s="95">
        <v>2512.44847424</v>
      </c>
      <c r="F35" s="83">
        <v>2744.6962330300003</v>
      </c>
      <c r="G35" s="83">
        <v>0</v>
      </c>
      <c r="H35" s="83">
        <v>0</v>
      </c>
      <c r="I35" s="83">
        <v>0</v>
      </c>
    </row>
    <row r="36" spans="1:9">
      <c r="A36" s="17" t="str">
        <f>HLOOKUP(INDICE!$F$2,Nombres!$C$3:$D$636,54,FALSE)</f>
        <v>Activos financieros a coste amortizado</v>
      </c>
      <c r="B36" s="75">
        <v>3747.7736893599995</v>
      </c>
      <c r="C36" s="75">
        <v>3521.4382023600001</v>
      </c>
      <c r="D36" s="75">
        <v>3452.88343136</v>
      </c>
      <c r="E36" s="76">
        <v>3621.5681279999999</v>
      </c>
      <c r="F36" s="75">
        <v>4098.3942640000005</v>
      </c>
      <c r="G36" s="75">
        <v>0</v>
      </c>
      <c r="H36" s="75">
        <v>0</v>
      </c>
      <c r="I36" s="75">
        <v>0</v>
      </c>
    </row>
    <row r="37" spans="1:9">
      <c r="A37" s="122" t="str">
        <f>HLOOKUP(INDICE!$F$2,Nombres!$C$3:$D$636,55,FALSE)</f>
        <v xml:space="preserve">    de los que préstamos y anticipos a la clientela</v>
      </c>
      <c r="B37" s="75">
        <v>402.54134835999992</v>
      </c>
      <c r="C37" s="75">
        <v>250.94107235999999</v>
      </c>
      <c r="D37" s="75">
        <v>129.72993336000002</v>
      </c>
      <c r="E37" s="76">
        <v>230.13185499999994</v>
      </c>
      <c r="F37" s="75">
        <v>454.61572899999999</v>
      </c>
      <c r="G37" s="75">
        <v>0</v>
      </c>
      <c r="H37" s="75">
        <v>0</v>
      </c>
      <c r="I37" s="75">
        <v>0</v>
      </c>
    </row>
    <row r="38" spans="1:9">
      <c r="A38" s="122" t="str">
        <f>HLOOKUP(INDICE!$F$2,Nombres!$C$3:$D$636,121,FALSE)</f>
        <v>Posiciones inter-áreas activo</v>
      </c>
      <c r="B38" s="75">
        <v>0</v>
      </c>
      <c r="C38" s="75">
        <v>-1.4551915228366852E-11</v>
      </c>
      <c r="D38" s="75">
        <v>0</v>
      </c>
      <c r="E38" s="76">
        <v>0</v>
      </c>
      <c r="F38" s="75">
        <v>1.1002703104168177E-7</v>
      </c>
      <c r="G38" s="75">
        <v>0</v>
      </c>
      <c r="H38" s="75">
        <v>0</v>
      </c>
      <c r="I38" s="75">
        <v>0</v>
      </c>
    </row>
    <row r="39" spans="1:9">
      <c r="A39" s="17" t="str">
        <f>HLOOKUP(INDICE!$F$2,Nombres!$C$3:$D$636,56,FALSE)</f>
        <v>Activos tangibles</v>
      </c>
      <c r="B39" s="75">
        <v>1755.753907</v>
      </c>
      <c r="C39" s="75">
        <v>1747.9685950000001</v>
      </c>
      <c r="D39" s="75">
        <v>1777.3793390000001</v>
      </c>
      <c r="E39" s="76">
        <v>1726.5079000000001</v>
      </c>
      <c r="F39" s="75">
        <v>1750.8823029999999</v>
      </c>
      <c r="G39" s="75">
        <v>0</v>
      </c>
      <c r="H39" s="75">
        <v>0</v>
      </c>
      <c r="I39" s="75">
        <v>0</v>
      </c>
    </row>
    <row r="40" spans="1:9">
      <c r="A40" s="122" t="str">
        <f>HLOOKUP(INDICE!$F$2,Nombres!$C$3:$D$636,57,FALSE)</f>
        <v>Otros activos</v>
      </c>
      <c r="B40" s="75">
        <v>13908.263308850001</v>
      </c>
      <c r="C40" s="75">
        <v>14559.664413920003</v>
      </c>
      <c r="D40" s="75">
        <v>14380.678138439998</v>
      </c>
      <c r="E40" s="76">
        <v>14529.697759889999</v>
      </c>
      <c r="F40" s="75">
        <v>13987.194598149999</v>
      </c>
      <c r="G40" s="75">
        <v>0</v>
      </c>
      <c r="H40" s="75">
        <v>0</v>
      </c>
      <c r="I40" s="75">
        <v>0</v>
      </c>
    </row>
    <row r="41" spans="1:9">
      <c r="A41" s="125" t="str">
        <f>HLOOKUP(INDICE!$F$2,Nombres!$C$3:$D$636,58,FALSE)</f>
        <v>Total activo / pasivo</v>
      </c>
      <c r="B41" s="94">
        <f t="shared" ref="B41:I41" si="5">+B34+B35+B36+B38+B39+B40</f>
        <v>22411.52775365</v>
      </c>
      <c r="C41" s="94">
        <f t="shared" si="5"/>
        <v>22931.09827581999</v>
      </c>
      <c r="D41" s="94">
        <f t="shared" si="5"/>
        <v>22690.665419019999</v>
      </c>
      <c r="E41" s="110">
        <f t="shared" si="5"/>
        <v>23074.152261129999</v>
      </c>
      <c r="F41" s="94">
        <f t="shared" si="5"/>
        <v>23210.873399290027</v>
      </c>
      <c r="G41" s="94">
        <f t="shared" si="5"/>
        <v>0</v>
      </c>
      <c r="H41" s="94">
        <f t="shared" si="5"/>
        <v>0</v>
      </c>
      <c r="I41" s="94">
        <f t="shared" si="5"/>
        <v>0</v>
      </c>
    </row>
    <row r="42" spans="1:9">
      <c r="A42" s="122" t="str">
        <f>HLOOKUP(INDICE!$F$2,Nombres!$C$3:$D$636,59,FALSE)</f>
        <v>Pasivos financieros mantenidos para negociar y designados a valor razonable con cambios en resultados</v>
      </c>
      <c r="B42" s="75">
        <v>305.38960000000003</v>
      </c>
      <c r="C42" s="75">
        <v>404.35283499999997</v>
      </c>
      <c r="D42" s="75">
        <v>382.31093700000002</v>
      </c>
      <c r="E42" s="76">
        <v>125.14572699999999</v>
      </c>
      <c r="F42" s="75">
        <v>278.53727400000002</v>
      </c>
      <c r="G42" s="75">
        <v>0</v>
      </c>
      <c r="H42" s="75">
        <v>0</v>
      </c>
      <c r="I42" s="75">
        <v>0</v>
      </c>
    </row>
    <row r="43" spans="1:9">
      <c r="A43" s="122" t="str">
        <f>HLOOKUP(INDICE!$F$2,Nombres!$C$3:$D$636,60,FALSE)</f>
        <v>Depósitos de bancos centrales y entidades de crédito</v>
      </c>
      <c r="B43" s="75">
        <v>698.46481999999992</v>
      </c>
      <c r="C43" s="75">
        <v>695.32982400000003</v>
      </c>
      <c r="D43" s="75">
        <v>779.33583899999996</v>
      </c>
      <c r="E43" s="76">
        <v>765.24480899999992</v>
      </c>
      <c r="F43" s="75">
        <v>756.77178400000003</v>
      </c>
      <c r="G43" s="75">
        <v>0</v>
      </c>
      <c r="H43" s="75">
        <v>0</v>
      </c>
      <c r="I43" s="75">
        <v>0</v>
      </c>
    </row>
    <row r="44" spans="1:9" ht="15.75" customHeight="1">
      <c r="A44" s="122" t="str">
        <f>HLOOKUP(INDICE!$F$2,Nombres!$C$3:$D$636,61,FALSE)</f>
        <v>Depósitos de la clientela</v>
      </c>
      <c r="B44" s="75">
        <v>186.29189599999998</v>
      </c>
      <c r="C44" s="75">
        <v>184.620372</v>
      </c>
      <c r="D44" s="75">
        <v>190.95960000000005</v>
      </c>
      <c r="E44" s="76">
        <v>181.41265200000001</v>
      </c>
      <c r="F44" s="75">
        <v>203.82477699999998</v>
      </c>
      <c r="G44" s="75">
        <v>0</v>
      </c>
      <c r="H44" s="75">
        <v>0</v>
      </c>
      <c r="I44" s="75">
        <v>0</v>
      </c>
    </row>
    <row r="45" spans="1:9">
      <c r="A45" s="17" t="str">
        <f>HLOOKUP(INDICE!$F$2,Nombres!$C$3:$D$636,62,FALSE)</f>
        <v>Valores representativos de deuda emitidos</v>
      </c>
      <c r="B45" s="75">
        <v>-2034.2452734100016</v>
      </c>
      <c r="C45" s="75">
        <v>-747.39802197999768</v>
      </c>
      <c r="D45" s="75">
        <v>107.63455976000171</v>
      </c>
      <c r="E45" s="76">
        <v>379.57995648000065</v>
      </c>
      <c r="F45" s="75">
        <v>1140.3026153199978</v>
      </c>
      <c r="G45" s="75">
        <v>0</v>
      </c>
      <c r="H45" s="75">
        <v>0</v>
      </c>
      <c r="I45" s="75">
        <v>0</v>
      </c>
    </row>
    <row r="46" spans="1:9">
      <c r="A46" s="122" t="str">
        <f>HLOOKUP(INDICE!$F$2,Nombres!$C$3:$D$636,122,FALSE)</f>
        <v>Posiciones inter-áreas pasivo</v>
      </c>
      <c r="B46" s="75">
        <v>6754.5736266700096</v>
      </c>
      <c r="C46" s="75">
        <v>8200.6819483900072</v>
      </c>
      <c r="D46" s="75">
        <v>3824.1237328199968</v>
      </c>
      <c r="E46" s="76">
        <v>5809.0202172999961</v>
      </c>
      <c r="F46" s="75">
        <v>3897.1596242799969</v>
      </c>
      <c r="G46" s="75">
        <v>0</v>
      </c>
      <c r="H46" s="75">
        <v>0</v>
      </c>
      <c r="I46" s="75">
        <v>0</v>
      </c>
    </row>
    <row r="47" spans="1:9">
      <c r="A47" s="17" t="str">
        <f>HLOOKUP(INDICE!$F$2,Nombres!$C$3:$D$636,63,FALSE)</f>
        <v>Otros pasivos</v>
      </c>
      <c r="B47" s="75">
        <f t="shared" ref="B47:I47" si="6">+B41-B42-B43-B44-B45-B46-B49-B48</f>
        <v>5936.016013490007</v>
      </c>
      <c r="C47" s="75">
        <f t="shared" si="6"/>
        <v>3695.3558899099735</v>
      </c>
      <c r="D47" s="75">
        <f t="shared" si="6"/>
        <v>5837.5701886700117</v>
      </c>
      <c r="E47" s="76">
        <f t="shared" si="6"/>
        <v>3580.8247790800015</v>
      </c>
      <c r="F47" s="75">
        <f t="shared" si="6"/>
        <v>6172.1683090200313</v>
      </c>
      <c r="G47" s="75">
        <f t="shared" si="6"/>
        <v>0</v>
      </c>
      <c r="H47" s="75">
        <f t="shared" si="6"/>
        <v>0</v>
      </c>
      <c r="I47" s="75">
        <f t="shared" si="6"/>
        <v>0</v>
      </c>
    </row>
    <row r="48" spans="1:9">
      <c r="A48" s="17" t="str">
        <f>HLOOKUP(INDICE!$F$2,Nombres!$C$3:$D$636,282,FALSE)</f>
        <v>Dotación de capital regulatorio</v>
      </c>
      <c r="B48" s="75">
        <f>-España!B47-Mexico!B45-Turquia!B45-AdS!B45-'Resto de Negocios'!B45</f>
        <v>-40906.243920100009</v>
      </c>
      <c r="C48" s="75">
        <f>-España!C47-Mexico!C45-Turquia!C45-AdS!C45-'Resto de Negocios'!C45</f>
        <v>-42070.265573519995</v>
      </c>
      <c r="D48" s="75">
        <f>-España!D47-Mexico!D45-Turquia!D45-AdS!D45-'Resto de Negocios'!D45</f>
        <v>-41883.930433219997</v>
      </c>
      <c r="E48" s="76">
        <f>-España!E47-Mexico!E45-Turquia!E45-AdS!E45-'Resto de Negocios'!E45</f>
        <v>-43032.533883760007</v>
      </c>
      <c r="F48" s="75">
        <f>-España!F47-Mexico!F45-Turquia!F45-AdS!F45-'Resto de Negocios'!F45</f>
        <v>-45016.186982220002</v>
      </c>
      <c r="G48" s="75">
        <f>-España!G47-Mexico!G45-Turquia!G45-AdS!G45-'Resto de Negocios'!G45</f>
        <v>0</v>
      </c>
      <c r="H48" s="75">
        <f>-España!H47-Mexico!H45-Turquia!H45-AdS!H45-'Resto de Negocios'!H45</f>
        <v>0</v>
      </c>
      <c r="I48" s="75">
        <f>-España!I47-Mexico!I45-Turquia!I45-AdS!I45-'Resto de Negocios'!I45</f>
        <v>0</v>
      </c>
    </row>
    <row r="49" spans="1:9">
      <c r="A49" s="122" t="str">
        <f>HLOOKUP(INDICE!$F$2,Nombres!$C$3:$D$636,150,FALSE)</f>
        <v>Patrimonio neto</v>
      </c>
      <c r="B49" s="75">
        <v>51471.280990999992</v>
      </c>
      <c r="C49" s="75">
        <v>52568.421002019997</v>
      </c>
      <c r="D49" s="75">
        <v>53452.660994989987</v>
      </c>
      <c r="E49" s="76">
        <v>55265.458004030006</v>
      </c>
      <c r="F49" s="75">
        <v>55778.295997890003</v>
      </c>
      <c r="G49" s="75">
        <v>0</v>
      </c>
      <c r="H49" s="75">
        <v>0</v>
      </c>
      <c r="I49" s="75">
        <v>0</v>
      </c>
    </row>
    <row r="50" spans="1:9">
      <c r="A50" s="17"/>
      <c r="B50" s="83"/>
      <c r="C50" s="83"/>
      <c r="D50" s="83"/>
      <c r="E50" s="83"/>
      <c r="F50" s="83"/>
      <c r="G50" s="83"/>
      <c r="H50" s="83"/>
      <c r="I50" s="83"/>
    </row>
    <row r="51" spans="1:9">
      <c r="A51" s="17"/>
      <c r="B51" s="83"/>
      <c r="C51" s="83"/>
      <c r="D51" s="83"/>
      <c r="E51" s="83"/>
      <c r="F51" s="83"/>
      <c r="G51" s="83"/>
      <c r="H51" s="83"/>
      <c r="I51" s="83"/>
    </row>
    <row r="52" spans="1:9">
      <c r="A52" s="17"/>
      <c r="B52" s="83"/>
      <c r="C52" s="83"/>
      <c r="D52" s="83"/>
      <c r="E52" s="83"/>
      <c r="F52" s="75"/>
      <c r="G52" s="75"/>
      <c r="H52" s="75"/>
      <c r="I52" s="75"/>
    </row>
    <row r="53" spans="1:9">
      <c r="A53" s="17"/>
      <c r="B53" s="62"/>
      <c r="C53" s="128"/>
      <c r="D53" s="62"/>
      <c r="E53" s="62"/>
      <c r="F53" s="105"/>
      <c r="G53" s="75"/>
      <c r="H53" s="75"/>
      <c r="I53" s="75"/>
    </row>
    <row r="54" spans="1:9">
      <c r="A54" s="17"/>
      <c r="B54" s="62"/>
      <c r="C54" s="84"/>
      <c r="D54" s="84"/>
      <c r="E54" s="84"/>
      <c r="F54" s="84"/>
      <c r="G54" s="84"/>
      <c r="H54" s="84"/>
      <c r="I54" s="84"/>
    </row>
    <row r="55" spans="1:9">
      <c r="A55" s="17"/>
      <c r="B55" s="75"/>
      <c r="C55" s="75"/>
      <c r="D55" s="75"/>
      <c r="E55" s="75"/>
      <c r="F55" s="75"/>
      <c r="G55" s="75"/>
      <c r="H55" s="75"/>
      <c r="I55" s="75"/>
    </row>
    <row r="56" spans="1:9">
      <c r="A56" s="25"/>
      <c r="B56" s="75"/>
      <c r="C56" s="75"/>
      <c r="D56" s="75"/>
      <c r="E56" s="75"/>
      <c r="F56" s="75"/>
      <c r="G56" s="75"/>
      <c r="H56" s="75"/>
      <c r="I56" s="75"/>
    </row>
    <row r="57" spans="1:9">
      <c r="A57" s="17"/>
      <c r="B57" s="75"/>
      <c r="C57" s="75"/>
      <c r="D57" s="75"/>
      <c r="E57" s="75"/>
      <c r="F57" s="75"/>
      <c r="G57" s="75"/>
      <c r="H57" s="75"/>
      <c r="I57" s="75"/>
    </row>
    <row r="58" spans="1:9">
      <c r="A58" s="17"/>
      <c r="B58" s="75"/>
      <c r="D58" s="75"/>
      <c r="E58" s="75"/>
      <c r="F58" s="75"/>
      <c r="G58" s="75"/>
      <c r="H58" s="75"/>
      <c r="I58" s="75"/>
    </row>
    <row r="59" spans="1:9">
      <c r="A59" s="17"/>
      <c r="B59" s="75"/>
      <c r="D59" s="75"/>
      <c r="E59" s="75"/>
      <c r="F59" s="75"/>
      <c r="G59" s="75"/>
      <c r="H59" s="75"/>
      <c r="I59" s="75"/>
    </row>
    <row r="60" spans="1:9">
      <c r="A60" s="91"/>
      <c r="B60" s="83"/>
      <c r="D60" s="83"/>
      <c r="E60" s="83"/>
      <c r="F60" s="75"/>
      <c r="G60" s="75"/>
      <c r="H60" s="75"/>
      <c r="I60" s="75"/>
    </row>
    <row r="61" spans="1:9">
      <c r="A61" s="91"/>
      <c r="B61" s="83"/>
      <c r="D61" s="62"/>
      <c r="E61" s="62"/>
      <c r="F61" s="105"/>
      <c r="G61" s="105"/>
      <c r="H61" s="105"/>
      <c r="I61" s="105"/>
    </row>
    <row r="62" spans="1:9">
      <c r="A62" s="91"/>
      <c r="B62" s="83"/>
      <c r="D62" s="62"/>
      <c r="E62" s="62"/>
      <c r="F62" s="105"/>
      <c r="G62" s="105"/>
      <c r="H62" s="105"/>
      <c r="I62" s="105"/>
    </row>
    <row r="63" spans="1:9">
      <c r="B63" s="85"/>
      <c r="C63" s="85"/>
      <c r="D63" s="85"/>
      <c r="E63" s="108"/>
      <c r="F63" s="129"/>
      <c r="G63" s="112"/>
      <c r="H63" s="112"/>
      <c r="I63" s="112"/>
    </row>
    <row r="64" spans="1:9">
      <c r="B64" s="85"/>
      <c r="F64" s="112"/>
      <c r="G64" s="112"/>
      <c r="H64" s="112"/>
      <c r="I64" s="112"/>
    </row>
    <row r="65" spans="2:9">
      <c r="B65" s="85"/>
      <c r="F65" s="112"/>
      <c r="G65" s="112"/>
      <c r="H65" s="112"/>
      <c r="I65" s="112"/>
    </row>
    <row r="66" spans="2:9">
      <c r="B66" s="85"/>
      <c r="F66" s="112"/>
      <c r="G66" s="112"/>
      <c r="H66" s="112"/>
      <c r="I66" s="112"/>
    </row>
    <row r="67" spans="2:9">
      <c r="B67" s="85"/>
      <c r="F67" s="112"/>
      <c r="G67" s="112"/>
      <c r="H67" s="112"/>
      <c r="I67" s="112"/>
    </row>
    <row r="68" spans="2:9">
      <c r="B68" s="85"/>
      <c r="F68" s="112"/>
      <c r="G68" s="112"/>
      <c r="H68" s="112"/>
      <c r="I68" s="112"/>
    </row>
    <row r="69" spans="2:9">
      <c r="B69" s="85"/>
      <c r="F69" s="112"/>
      <c r="G69" s="112"/>
      <c r="H69" s="112"/>
      <c r="I69" s="112"/>
    </row>
    <row r="70" spans="2:9">
      <c r="B70" s="85"/>
      <c r="F70" s="112"/>
      <c r="G70" s="112"/>
      <c r="H70" s="112"/>
      <c r="I70" s="112"/>
    </row>
    <row r="71" spans="2:9">
      <c r="F71" s="112"/>
      <c r="G71" s="112"/>
      <c r="H71" s="112"/>
      <c r="I71" s="112"/>
    </row>
    <row r="72" spans="2:9">
      <c r="F72" s="112"/>
      <c r="G72" s="112"/>
      <c r="H72" s="112"/>
      <c r="I72" s="112"/>
    </row>
    <row r="73" spans="2:9">
      <c r="F73" s="112"/>
      <c r="G73" s="112"/>
      <c r="H73" s="112"/>
      <c r="I73" s="112"/>
    </row>
    <row r="74" spans="2:9">
      <c r="F74" s="112"/>
      <c r="G74" s="112"/>
      <c r="H74" s="112"/>
      <c r="I74" s="112"/>
    </row>
    <row r="75" spans="2:9">
      <c r="F75" s="112"/>
      <c r="G75" s="112"/>
      <c r="H75" s="112"/>
      <c r="I75" s="112"/>
    </row>
    <row r="76" spans="2:9">
      <c r="F76" s="112"/>
      <c r="G76" s="112"/>
      <c r="H76" s="112"/>
      <c r="I76" s="112"/>
    </row>
    <row r="77" spans="2:9">
      <c r="F77" s="112"/>
      <c r="G77" s="112"/>
      <c r="H77" s="112"/>
      <c r="I77" s="112"/>
    </row>
    <row r="78" spans="2:9">
      <c r="F78" s="112"/>
      <c r="G78" s="112"/>
      <c r="H78" s="112"/>
      <c r="I78" s="112"/>
    </row>
    <row r="79" spans="2:9">
      <c r="F79" s="112"/>
      <c r="G79" s="112"/>
      <c r="H79" s="112"/>
      <c r="I79" s="112"/>
    </row>
    <row r="80" spans="2:9">
      <c r="F80" s="112"/>
      <c r="G80" s="112"/>
      <c r="H80" s="112"/>
      <c r="I80" s="112"/>
    </row>
    <row r="81" spans="6:9">
      <c r="F81" s="112"/>
      <c r="G81" s="112"/>
      <c r="H81" s="112"/>
      <c r="I81" s="112"/>
    </row>
    <row r="82" spans="6:9">
      <c r="F82" s="112"/>
      <c r="G82" s="112"/>
      <c r="H82" s="112"/>
      <c r="I82" s="112"/>
    </row>
    <row r="83" spans="6:9">
      <c r="F83" s="112"/>
      <c r="G83" s="112"/>
      <c r="H83" s="112"/>
      <c r="I83" s="112"/>
    </row>
    <row r="84" spans="6:9">
      <c r="F84" s="112"/>
      <c r="G84" s="112"/>
      <c r="H84" s="112"/>
      <c r="I84" s="112"/>
    </row>
    <row r="85" spans="6:9">
      <c r="F85" s="112"/>
      <c r="G85" s="112"/>
      <c r="H85" s="112"/>
      <c r="I85" s="112"/>
    </row>
    <row r="86" spans="6:9">
      <c r="F86" s="112"/>
      <c r="G86" s="112"/>
      <c r="H86" s="112"/>
      <c r="I86" s="112"/>
    </row>
    <row r="87" spans="6:9">
      <c r="F87" s="112"/>
      <c r="G87" s="112"/>
      <c r="H87" s="112"/>
      <c r="I87" s="112"/>
    </row>
    <row r="88" spans="6:9">
      <c r="F88" s="112"/>
      <c r="G88" s="112"/>
      <c r="H88" s="112"/>
      <c r="I88" s="112"/>
    </row>
    <row r="89" spans="6:9">
      <c r="F89" s="112"/>
      <c r="G89" s="112"/>
      <c r="H89" s="112"/>
      <c r="I89" s="112"/>
    </row>
    <row r="90" spans="6:9">
      <c r="F90" s="112"/>
      <c r="G90" s="112"/>
      <c r="H90" s="112"/>
      <c r="I90" s="112"/>
    </row>
    <row r="91" spans="6:9">
      <c r="F91" s="112"/>
      <c r="G91" s="112"/>
      <c r="H91" s="112"/>
      <c r="I91" s="112"/>
    </row>
    <row r="92" spans="6:9">
      <c r="F92" s="112"/>
      <c r="G92" s="112"/>
      <c r="H92" s="112"/>
      <c r="I92" s="112"/>
    </row>
    <row r="93" spans="6:9">
      <c r="F93" s="112"/>
      <c r="G93" s="112"/>
      <c r="H93" s="112"/>
      <c r="I93" s="112"/>
    </row>
    <row r="94" spans="6:9">
      <c r="F94" s="112"/>
      <c r="G94" s="112"/>
      <c r="H94" s="112"/>
      <c r="I94" s="112"/>
    </row>
    <row r="95" spans="6:9">
      <c r="F95" s="112"/>
      <c r="G95" s="112"/>
      <c r="H95" s="112"/>
      <c r="I95" s="112"/>
    </row>
    <row r="96" spans="6:9">
      <c r="F96" s="112"/>
      <c r="G96" s="112"/>
      <c r="H96" s="112"/>
      <c r="I96" s="112"/>
    </row>
    <row r="97" spans="6:9">
      <c r="F97" s="112"/>
      <c r="G97" s="112"/>
      <c r="H97" s="112"/>
      <c r="I97" s="112"/>
    </row>
    <row r="98" spans="6:9">
      <c r="F98" s="112"/>
      <c r="G98" s="112"/>
      <c r="H98" s="112"/>
      <c r="I98" s="112"/>
    </row>
    <row r="99" spans="6:9">
      <c r="F99" s="112"/>
      <c r="G99" s="112"/>
      <c r="H99" s="112"/>
      <c r="I99" s="112"/>
    </row>
    <row r="100" spans="6:9">
      <c r="F100" s="112"/>
      <c r="G100" s="112"/>
      <c r="H100" s="112"/>
      <c r="I100" s="112"/>
    </row>
    <row r="101" spans="6:9">
      <c r="F101" s="112"/>
      <c r="G101" s="112"/>
      <c r="H101" s="112"/>
      <c r="I101" s="112"/>
    </row>
    <row r="102" spans="6:9">
      <c r="F102" s="112"/>
      <c r="G102" s="112"/>
      <c r="H102" s="112"/>
      <c r="I102" s="112"/>
    </row>
    <row r="103" spans="6:9">
      <c r="F103" s="112"/>
      <c r="G103" s="112"/>
      <c r="H103" s="112"/>
      <c r="I103" s="112"/>
    </row>
    <row r="104" spans="6:9">
      <c r="F104" s="112"/>
      <c r="G104" s="112"/>
      <c r="H104" s="112"/>
      <c r="I104" s="112"/>
    </row>
    <row r="105" spans="6:9">
      <c r="F105" s="112"/>
      <c r="G105" s="112"/>
      <c r="H105" s="112"/>
      <c r="I105" s="112"/>
    </row>
    <row r="106" spans="6:9">
      <c r="F106" s="112"/>
      <c r="G106" s="112"/>
      <c r="H106" s="112"/>
      <c r="I106" s="112"/>
    </row>
    <row r="107" spans="6:9">
      <c r="F107" s="112"/>
      <c r="G107" s="112"/>
      <c r="H107" s="112"/>
      <c r="I107" s="112"/>
    </row>
    <row r="108" spans="6:9">
      <c r="F108" s="112"/>
      <c r="G108" s="112"/>
      <c r="H108" s="112"/>
      <c r="I108" s="112"/>
    </row>
    <row r="117" spans="6:9">
      <c r="F117" s="112"/>
      <c r="G117" s="112"/>
      <c r="H117" s="112"/>
      <c r="I117" s="112"/>
    </row>
    <row r="118" spans="6:9">
      <c r="F118" s="112"/>
      <c r="G118" s="112"/>
      <c r="H118" s="112"/>
      <c r="I118" s="112"/>
    </row>
    <row r="119" spans="6:9">
      <c r="F119" s="112"/>
      <c r="G119" s="112"/>
      <c r="H119" s="112"/>
      <c r="I119" s="112"/>
    </row>
    <row r="120" spans="6:9">
      <c r="F120" s="112"/>
      <c r="G120" s="112"/>
      <c r="H120" s="112"/>
      <c r="I120" s="112"/>
    </row>
    <row r="121" spans="6:9">
      <c r="F121" s="112"/>
      <c r="G121" s="112"/>
      <c r="H121" s="112"/>
      <c r="I121" s="112"/>
    </row>
    <row r="122" spans="6:9">
      <c r="F122" s="112"/>
      <c r="G122" s="112"/>
      <c r="H122" s="112"/>
      <c r="I122" s="112"/>
    </row>
    <row r="123" spans="6:9">
      <c r="F123" s="112"/>
      <c r="G123" s="112"/>
      <c r="H123" s="112"/>
      <c r="I123" s="112"/>
    </row>
    <row r="124" spans="6:9">
      <c r="F124" s="112"/>
      <c r="G124" s="112"/>
      <c r="H124" s="112"/>
      <c r="I124" s="112"/>
    </row>
    <row r="125" spans="6:9">
      <c r="F125" s="112"/>
      <c r="G125" s="112"/>
      <c r="H125" s="112"/>
      <c r="I125" s="112"/>
    </row>
    <row r="126" spans="6:9">
      <c r="F126" s="112"/>
      <c r="G126" s="112"/>
      <c r="H126" s="112"/>
      <c r="I126" s="112"/>
    </row>
    <row r="127" spans="6:9">
      <c r="F127" s="112"/>
      <c r="G127" s="112"/>
      <c r="H127" s="112"/>
      <c r="I127" s="112"/>
    </row>
    <row r="128" spans="6:9">
      <c r="F128" s="112"/>
      <c r="G128" s="112"/>
      <c r="H128" s="112"/>
      <c r="I128" s="112"/>
    </row>
    <row r="129" spans="6:9">
      <c r="F129" s="112"/>
      <c r="G129" s="112"/>
      <c r="H129" s="112"/>
      <c r="I129" s="112"/>
    </row>
    <row r="130" spans="6:9">
      <c r="F130" s="112"/>
      <c r="G130" s="112"/>
      <c r="H130" s="112"/>
      <c r="I130" s="112"/>
    </row>
    <row r="131" spans="6:9">
      <c r="F131" s="112"/>
      <c r="G131" s="112"/>
      <c r="H131" s="112"/>
      <c r="I131" s="112"/>
    </row>
    <row r="132" spans="6:9">
      <c r="F132" s="112"/>
      <c r="G132" s="112"/>
      <c r="H132" s="112"/>
      <c r="I132" s="112"/>
    </row>
    <row r="133" spans="6:9">
      <c r="F133" s="112"/>
      <c r="G133" s="112"/>
      <c r="H133" s="112"/>
      <c r="I133" s="112"/>
    </row>
    <row r="134" spans="6:9">
      <c r="F134" s="112"/>
      <c r="G134" s="112"/>
      <c r="H134" s="112"/>
      <c r="I134" s="112"/>
    </row>
    <row r="135" spans="6:9">
      <c r="F135" s="112"/>
      <c r="G135" s="112"/>
      <c r="H135" s="112"/>
      <c r="I135" s="112"/>
    </row>
    <row r="136" spans="6:9">
      <c r="F136" s="112"/>
      <c r="G136" s="112"/>
      <c r="H136" s="112"/>
      <c r="I136" s="112"/>
    </row>
    <row r="137" spans="6:9">
      <c r="F137" s="112"/>
      <c r="G137" s="112"/>
      <c r="H137" s="112"/>
      <c r="I137" s="112"/>
    </row>
    <row r="138" spans="6:9">
      <c r="F138" s="112"/>
      <c r="G138" s="112"/>
      <c r="H138" s="112"/>
      <c r="I138" s="112"/>
    </row>
    <row r="139" spans="6:9">
      <c r="F139" s="112"/>
      <c r="G139" s="112"/>
      <c r="H139" s="112"/>
      <c r="I139" s="112"/>
    </row>
    <row r="140" spans="6:9">
      <c r="F140" s="112"/>
      <c r="G140" s="112"/>
      <c r="H140" s="112"/>
      <c r="I140" s="112"/>
    </row>
    <row r="141" spans="6:9">
      <c r="F141" s="112"/>
      <c r="G141" s="112"/>
      <c r="H141" s="112"/>
      <c r="I141" s="112"/>
    </row>
    <row r="142" spans="6:9">
      <c r="F142" s="112"/>
      <c r="G142" s="112"/>
      <c r="H142" s="112"/>
      <c r="I142" s="112"/>
    </row>
    <row r="143" spans="6:9">
      <c r="F143" s="112"/>
      <c r="G143" s="112"/>
      <c r="H143" s="112"/>
      <c r="I143" s="112"/>
    </row>
    <row r="144" spans="6:9">
      <c r="F144" s="112"/>
      <c r="G144" s="112"/>
      <c r="H144" s="112"/>
      <c r="I144" s="112"/>
    </row>
    <row r="145" spans="6:9">
      <c r="F145" s="112"/>
      <c r="G145" s="112"/>
      <c r="H145" s="112"/>
      <c r="I145" s="112"/>
    </row>
    <row r="146" spans="6:9">
      <c r="F146" s="112"/>
      <c r="G146" s="112"/>
      <c r="H146" s="112"/>
      <c r="I146" s="112"/>
    </row>
    <row r="147" spans="6:9">
      <c r="F147" s="112"/>
      <c r="G147" s="112"/>
      <c r="H147" s="112"/>
      <c r="I147" s="112"/>
    </row>
    <row r="148" spans="6:9">
      <c r="F148" s="112"/>
      <c r="G148" s="112"/>
      <c r="H148" s="112"/>
      <c r="I148" s="112"/>
    </row>
    <row r="149" spans="6:9">
      <c r="F149" s="112"/>
      <c r="G149" s="112"/>
      <c r="H149" s="112"/>
      <c r="I149" s="112"/>
    </row>
    <row r="150" spans="6:9">
      <c r="F150" s="112"/>
      <c r="G150" s="112"/>
      <c r="H150" s="112"/>
      <c r="I150" s="112"/>
    </row>
    <row r="151" spans="6:9">
      <c r="F151" s="112"/>
      <c r="G151" s="112"/>
      <c r="H151" s="112"/>
      <c r="I151" s="112"/>
    </row>
    <row r="152" spans="6:9">
      <c r="F152" s="112"/>
      <c r="G152" s="112"/>
      <c r="H152" s="112"/>
      <c r="I152" s="112"/>
    </row>
    <row r="153" spans="6:9">
      <c r="F153" s="112"/>
      <c r="G153" s="112"/>
      <c r="H153" s="112"/>
      <c r="I153" s="112"/>
    </row>
    <row r="154" spans="6:9">
      <c r="F154" s="112"/>
      <c r="G154" s="112"/>
      <c r="H154" s="112"/>
      <c r="I154" s="112"/>
    </row>
    <row r="155" spans="6:9">
      <c r="F155" s="112"/>
      <c r="G155" s="112"/>
      <c r="H155" s="112"/>
      <c r="I155" s="112"/>
    </row>
    <row r="156" spans="6:9">
      <c r="F156" s="112"/>
      <c r="G156" s="112"/>
      <c r="H156" s="112"/>
      <c r="I156" s="112"/>
    </row>
    <row r="157" spans="6:9">
      <c r="F157" s="112"/>
      <c r="G157" s="112"/>
      <c r="H157" s="112"/>
      <c r="I157" s="112"/>
    </row>
    <row r="158" spans="6:9">
      <c r="F158" s="112"/>
      <c r="G158" s="112"/>
      <c r="H158" s="112"/>
      <c r="I158" s="112"/>
    </row>
    <row r="159" spans="6:9">
      <c r="F159" s="112"/>
      <c r="G159" s="112"/>
      <c r="H159" s="112"/>
      <c r="I159" s="112"/>
    </row>
    <row r="160" spans="6:9">
      <c r="F160" s="112"/>
      <c r="G160" s="112"/>
      <c r="H160" s="112"/>
      <c r="I160" s="112"/>
    </row>
    <row r="161" spans="6:9">
      <c r="F161" s="112"/>
      <c r="G161" s="112"/>
      <c r="H161" s="112"/>
      <c r="I161" s="112"/>
    </row>
    <row r="162" spans="6:9">
      <c r="F162" s="112"/>
      <c r="G162" s="112"/>
      <c r="H162" s="112"/>
      <c r="I162" s="112"/>
    </row>
    <row r="163" spans="6:9">
      <c r="F163" s="112"/>
      <c r="G163" s="112"/>
      <c r="H163" s="112"/>
      <c r="I163" s="112"/>
    </row>
  </sheetData>
  <mergeCells count="4">
    <mergeCell ref="B6:E6"/>
    <mergeCell ref="F6:I6"/>
    <mergeCell ref="A27:I27"/>
    <mergeCell ref="A28:I28"/>
  </mergeCells>
  <conditionalFormatting sqref="B29:I29">
    <cfRule type="cellIs" dxfId="28" priority="1" operator="notBetween">
      <formula>0.5</formula>
      <formula>-0.5</formula>
    </cfRule>
  </conditionalFormatting>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000"/>
  <sheetViews>
    <sheetView showGridLines="0" topLeftCell="A16" workbookViewId="0">
      <selection activeCell="F43" sqref="F43"/>
    </sheetView>
  </sheetViews>
  <sheetFormatPr baseColWidth="10" defaultColWidth="11.453125" defaultRowHeight="14.5"/>
  <cols>
    <col min="1" max="1" width="62" style="63" customWidth="1"/>
    <col min="2" max="4" width="11.453125" style="63" customWidth="1"/>
    <col min="5" max="6" width="11.453125" style="63"/>
    <col min="7" max="9" width="0" style="63" hidden="1" customWidth="1"/>
    <col min="10" max="16384" width="11.453125" style="63"/>
  </cols>
  <sheetData>
    <row r="1" spans="1:9" ht="17">
      <c r="A1" s="61" t="str">
        <f>HLOOKUP(INDICE!$F$2,Nombres!$C$3:$D$636,280,FALSE)</f>
        <v>Corporate &amp; Investment Banking (*)</v>
      </c>
      <c r="B1" s="62"/>
      <c r="C1" s="62"/>
      <c r="D1" s="62"/>
      <c r="E1" s="62"/>
      <c r="F1" s="62"/>
      <c r="G1" s="62"/>
      <c r="H1" s="62"/>
      <c r="I1" s="62"/>
    </row>
    <row r="2" spans="1:9">
      <c r="A2" s="298"/>
      <c r="B2" s="298"/>
      <c r="C2" s="298"/>
      <c r="D2" s="298"/>
      <c r="E2" s="298"/>
      <c r="F2" s="298"/>
      <c r="G2" s="298"/>
      <c r="H2" s="298"/>
      <c r="I2" s="298"/>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500.26824554000007</v>
      </c>
      <c r="C8" s="25">
        <v>483.23169692000005</v>
      </c>
      <c r="D8" s="25">
        <v>561.58617718000028</v>
      </c>
      <c r="E8" s="73">
        <v>533.79468992999966</v>
      </c>
      <c r="F8" s="74">
        <v>571.0047563300003</v>
      </c>
      <c r="G8" s="74">
        <v>0</v>
      </c>
      <c r="H8" s="74">
        <v>0</v>
      </c>
      <c r="I8" s="74">
        <v>0</v>
      </c>
    </row>
    <row r="9" spans="1:9">
      <c r="A9" s="17" t="str">
        <f>HLOOKUP(INDICE!$F$2,Nombres!$C$3:$D$636,34,FALSE)</f>
        <v>Comisiones netas</v>
      </c>
      <c r="B9" s="75">
        <v>276.17822417000002</v>
      </c>
      <c r="C9" s="75">
        <v>261.30538007999996</v>
      </c>
      <c r="D9" s="75">
        <v>257.15422079999996</v>
      </c>
      <c r="E9" s="76">
        <v>210.92867981000001</v>
      </c>
      <c r="F9" s="75">
        <v>308.39996656</v>
      </c>
      <c r="G9" s="75">
        <v>0</v>
      </c>
      <c r="H9" s="75">
        <v>0</v>
      </c>
      <c r="I9" s="75">
        <v>0</v>
      </c>
    </row>
    <row r="10" spans="1:9">
      <c r="A10" s="17" t="str">
        <f>HLOOKUP(INDICE!$F$2,Nombres!$C$3:$D$636,35,FALSE)</f>
        <v>Resultados de operaciones financieras</v>
      </c>
      <c r="B10" s="75">
        <v>429.98030950000003</v>
      </c>
      <c r="C10" s="75">
        <v>594.61260149999998</v>
      </c>
      <c r="D10" s="75">
        <v>413.15510440000014</v>
      </c>
      <c r="E10" s="76">
        <v>320.98479125</v>
      </c>
      <c r="F10" s="75">
        <v>512.45034656999997</v>
      </c>
      <c r="G10" s="75">
        <v>0</v>
      </c>
      <c r="H10" s="75">
        <v>0</v>
      </c>
      <c r="I10" s="75">
        <v>0</v>
      </c>
    </row>
    <row r="11" spans="1:9">
      <c r="A11" s="17" t="str">
        <f>HLOOKUP(INDICE!$F$2,Nombres!$C$3:$D$636,36,FALSE)</f>
        <v>Otros ingresos y cargas de explotación</v>
      </c>
      <c r="B11" s="75">
        <v>-27.849976439999995</v>
      </c>
      <c r="C11" s="75">
        <v>-12.780142650000002</v>
      </c>
      <c r="D11" s="75">
        <v>-17.263354400000004</v>
      </c>
      <c r="E11" s="76">
        <v>-6.0621807299999944</v>
      </c>
      <c r="F11" s="75">
        <v>-22.823994329999998</v>
      </c>
      <c r="G11" s="75">
        <v>0</v>
      </c>
      <c r="H11" s="75">
        <v>0</v>
      </c>
      <c r="I11" s="75">
        <v>0</v>
      </c>
    </row>
    <row r="12" spans="1:9">
      <c r="A12" s="25" t="str">
        <f>HLOOKUP(INDICE!$F$2,Nombres!$C$3:$D$636,37,FALSE)</f>
        <v>Margen bruto</v>
      </c>
      <c r="B12" s="25">
        <f>+SUM(B8:B11)</f>
        <v>1178.5768027700001</v>
      </c>
      <c r="C12" s="25">
        <f t="shared" ref="C12:I12" si="0">+SUM(C8:C11)</f>
        <v>1326.3695358499999</v>
      </c>
      <c r="D12" s="25">
        <f t="shared" si="0"/>
        <v>1214.6321479800004</v>
      </c>
      <c r="E12" s="73">
        <f t="shared" si="0"/>
        <v>1059.6459802599998</v>
      </c>
      <c r="F12" s="74">
        <f t="shared" si="0"/>
        <v>1369.0310751300003</v>
      </c>
      <c r="G12" s="74">
        <f t="shared" si="0"/>
        <v>0</v>
      </c>
      <c r="H12" s="74">
        <f t="shared" si="0"/>
        <v>0</v>
      </c>
      <c r="I12" s="74">
        <f t="shared" si="0"/>
        <v>0</v>
      </c>
    </row>
    <row r="13" spans="1:9">
      <c r="A13" s="17" t="str">
        <f>HLOOKUP(INDICE!$F$2,Nombres!$C$3:$D$636,38,FALSE)</f>
        <v>Gastos de explotación</v>
      </c>
      <c r="B13" s="75">
        <v>-305.79197463000003</v>
      </c>
      <c r="C13" s="75">
        <v>-304.12352984999995</v>
      </c>
      <c r="D13" s="75">
        <v>-321.12421221</v>
      </c>
      <c r="E13" s="76">
        <v>-335.72710836000005</v>
      </c>
      <c r="F13" s="75">
        <v>-358.86400517999999</v>
      </c>
      <c r="G13" s="75">
        <v>0</v>
      </c>
      <c r="H13" s="75">
        <v>0</v>
      </c>
      <c r="I13" s="75">
        <v>0</v>
      </c>
    </row>
    <row r="14" spans="1:9">
      <c r="A14" s="17" t="str">
        <f>HLOOKUP(INDICE!$F$2,Nombres!$C$3:$D$636,39,FALSE)</f>
        <v xml:space="preserve">  Gastos de administración</v>
      </c>
      <c r="B14" s="75">
        <v>-280.31439585000004</v>
      </c>
      <c r="C14" s="75">
        <v>-277.90941677000001</v>
      </c>
      <c r="D14" s="75">
        <v>-293.62247279999997</v>
      </c>
      <c r="E14" s="76">
        <v>-307.81414219999999</v>
      </c>
      <c r="F14" s="75">
        <v>-330.67040417999999</v>
      </c>
      <c r="G14" s="75">
        <v>0</v>
      </c>
      <c r="H14" s="75">
        <v>0</v>
      </c>
      <c r="I14" s="75">
        <v>0</v>
      </c>
    </row>
    <row r="15" spans="1:9">
      <c r="A15" s="77" t="str">
        <f>HLOOKUP(INDICE!$F$2,Nombres!$C$3:$D$636,40,FALSE)</f>
        <v xml:space="preserve">  Gastos de personal</v>
      </c>
      <c r="B15" s="75">
        <v>-143.07681062</v>
      </c>
      <c r="C15" s="75">
        <v>-140.59154150000001</v>
      </c>
      <c r="D15" s="75">
        <v>-154.50074971999999</v>
      </c>
      <c r="E15" s="76">
        <v>-183.43184869999999</v>
      </c>
      <c r="F15" s="75">
        <v>-169.36264825999999</v>
      </c>
      <c r="G15" s="75">
        <v>0</v>
      </c>
      <c r="H15" s="75">
        <v>0</v>
      </c>
      <c r="I15" s="75">
        <v>0</v>
      </c>
    </row>
    <row r="16" spans="1:9">
      <c r="A16" s="77" t="str">
        <f>HLOOKUP(INDICE!$F$2,Nombres!$C$3:$D$636,41,FALSE)</f>
        <v xml:space="preserve">  Otros gastos de administración</v>
      </c>
      <c r="B16" s="75">
        <v>-137.23758523000001</v>
      </c>
      <c r="C16" s="75">
        <v>-137.31787527</v>
      </c>
      <c r="D16" s="75">
        <v>-139.12172307999998</v>
      </c>
      <c r="E16" s="76">
        <v>-124.3822935</v>
      </c>
      <c r="F16" s="75">
        <v>-161.30775591999998</v>
      </c>
      <c r="G16" s="75">
        <v>0</v>
      </c>
      <c r="H16" s="75">
        <v>0</v>
      </c>
      <c r="I16" s="75">
        <v>0</v>
      </c>
    </row>
    <row r="17" spans="1:16">
      <c r="A17" s="17" t="str">
        <f>HLOOKUP(INDICE!$F$2,Nombres!$C$3:$D$636,42,FALSE)</f>
        <v xml:space="preserve">  Amortización</v>
      </c>
      <c r="B17" s="75">
        <v>-25.477578780000002</v>
      </c>
      <c r="C17" s="75">
        <v>-26.214113079999997</v>
      </c>
      <c r="D17" s="75">
        <v>-27.501739409999995</v>
      </c>
      <c r="E17" s="76">
        <v>-27.91296616</v>
      </c>
      <c r="F17" s="75">
        <v>-28.193601000000001</v>
      </c>
      <c r="G17" s="75">
        <v>0</v>
      </c>
      <c r="H17" s="75">
        <v>0</v>
      </c>
      <c r="I17" s="75">
        <v>0</v>
      </c>
    </row>
    <row r="18" spans="1:16">
      <c r="A18" s="25" t="str">
        <f>HLOOKUP(INDICE!$F$2,Nombres!$C$3:$D$636,43,FALSE)</f>
        <v>Margen neto</v>
      </c>
      <c r="B18" s="25">
        <f>+B12+B13</f>
        <v>872.78482814000006</v>
      </c>
      <c r="C18" s="25">
        <f t="shared" ref="C18:I18" si="1">+C12+C13</f>
        <v>1022.246006</v>
      </c>
      <c r="D18" s="25">
        <f t="shared" si="1"/>
        <v>893.50793577000036</v>
      </c>
      <c r="E18" s="73">
        <f t="shared" si="1"/>
        <v>723.91887189999966</v>
      </c>
      <c r="F18" s="74">
        <f t="shared" si="1"/>
        <v>1010.1670699500003</v>
      </c>
      <c r="G18" s="74">
        <f t="shared" si="1"/>
        <v>0</v>
      </c>
      <c r="H18" s="74">
        <f t="shared" si="1"/>
        <v>0</v>
      </c>
      <c r="I18" s="74">
        <f t="shared" si="1"/>
        <v>0</v>
      </c>
    </row>
    <row r="19" spans="1:16">
      <c r="A19" s="17" t="str">
        <f>HLOOKUP(INDICE!$F$2,Nombres!$C$3:$D$636,44,FALSE)</f>
        <v>Deterioro de activos financieros no valorados a valor razonable con cambios en resultados</v>
      </c>
      <c r="B19" s="75">
        <v>-43.474129340000005</v>
      </c>
      <c r="C19" s="75">
        <v>24.518924009999999</v>
      </c>
      <c r="D19" s="75">
        <v>-16.803151349999986</v>
      </c>
      <c r="E19" s="76">
        <v>28.668675440000005</v>
      </c>
      <c r="F19" s="75">
        <v>34.077603109999991</v>
      </c>
      <c r="G19" s="75">
        <v>0</v>
      </c>
      <c r="H19" s="75">
        <v>0</v>
      </c>
      <c r="I19" s="75">
        <v>0</v>
      </c>
    </row>
    <row r="20" spans="1:16">
      <c r="A20" s="17" t="str">
        <f>HLOOKUP(INDICE!$F$2,Nombres!$C$3:$D$636,45,FALSE)</f>
        <v>Provisiones o reversión de provisiones y otros resultados</v>
      </c>
      <c r="B20" s="75">
        <v>15.34224506</v>
      </c>
      <c r="C20" s="75">
        <v>-2.2678437599999999</v>
      </c>
      <c r="D20" s="75">
        <v>1.6548772399999991</v>
      </c>
      <c r="E20" s="76">
        <v>-13.132854909999999</v>
      </c>
      <c r="F20" s="75">
        <v>-1.0305175099999999</v>
      </c>
      <c r="G20" s="75">
        <v>0</v>
      </c>
      <c r="H20" s="75">
        <v>0</v>
      </c>
      <c r="I20" s="75">
        <v>0</v>
      </c>
    </row>
    <row r="21" spans="1:16">
      <c r="A21" s="25" t="str">
        <f>HLOOKUP(INDICE!$F$2,Nombres!$C$3:$D$636,46,FALSE)</f>
        <v>Resultado antes de impuestos</v>
      </c>
      <c r="B21" s="25">
        <f>+B18+B19+B20</f>
        <v>844.65294386000005</v>
      </c>
      <c r="C21" s="25">
        <f t="shared" ref="C21:I21" si="2">+C18+C19+C20</f>
        <v>1044.4970862499999</v>
      </c>
      <c r="D21" s="25">
        <f t="shared" si="2"/>
        <v>878.35966166000037</v>
      </c>
      <c r="E21" s="73">
        <f t="shared" si="2"/>
        <v>739.45469242999968</v>
      </c>
      <c r="F21" s="74">
        <f t="shared" si="2"/>
        <v>1043.2141555500002</v>
      </c>
      <c r="G21" s="74">
        <f t="shared" si="2"/>
        <v>0</v>
      </c>
      <c r="H21" s="74">
        <f t="shared" si="2"/>
        <v>0</v>
      </c>
      <c r="I21" s="74">
        <f t="shared" si="2"/>
        <v>0</v>
      </c>
    </row>
    <row r="22" spans="1:16">
      <c r="A22" s="17" t="str">
        <f>HLOOKUP(INDICE!$F$2,Nombres!$C$3:$D$636,47,FALSE)</f>
        <v>Impuesto sobre beneficios</v>
      </c>
      <c r="B22" s="75">
        <v>-249.33459128999999</v>
      </c>
      <c r="C22" s="75">
        <v>-299.70330027</v>
      </c>
      <c r="D22" s="75">
        <v>-254.42150041000002</v>
      </c>
      <c r="E22" s="76">
        <v>-197.91727068999998</v>
      </c>
      <c r="F22" s="75">
        <v>-309.14400774000001</v>
      </c>
      <c r="G22" s="75">
        <v>0</v>
      </c>
      <c r="H22" s="75">
        <v>0</v>
      </c>
      <c r="I22" s="75">
        <v>0</v>
      </c>
    </row>
    <row r="23" spans="1:16">
      <c r="A23" s="25" t="str">
        <f>HLOOKUP(INDICE!$F$2,Nombres!$C$3:$D$636,48,FALSE)</f>
        <v>Resultado del ejercicio</v>
      </c>
      <c r="B23" s="25">
        <f>+B21+B22</f>
        <v>595.31835257000012</v>
      </c>
      <c r="C23" s="25">
        <f t="shared" ref="C23:I23" si="3">+C21+C22</f>
        <v>744.79378597999994</v>
      </c>
      <c r="D23" s="25">
        <f t="shared" si="3"/>
        <v>623.93816125000035</v>
      </c>
      <c r="E23" s="73">
        <f t="shared" si="3"/>
        <v>541.53742173999967</v>
      </c>
      <c r="F23" s="74">
        <f t="shared" si="3"/>
        <v>734.07014781000021</v>
      </c>
      <c r="G23" s="74">
        <f t="shared" si="3"/>
        <v>0</v>
      </c>
      <c r="H23" s="74">
        <f t="shared" si="3"/>
        <v>0</v>
      </c>
      <c r="I23" s="74">
        <f t="shared" si="3"/>
        <v>0</v>
      </c>
    </row>
    <row r="24" spans="1:16">
      <c r="A24" s="17" t="str">
        <f>HLOOKUP(INDICE!$F$2,Nombres!$C$3:$D$636,49,FALSE)</f>
        <v>Minoritarios</v>
      </c>
      <c r="B24" s="75">
        <v>-64.073155610000001</v>
      </c>
      <c r="C24" s="75">
        <v>-77.490434109999995</v>
      </c>
      <c r="D24" s="75">
        <v>-73.842266940000002</v>
      </c>
      <c r="E24" s="76">
        <v>-52.341233009999996</v>
      </c>
      <c r="F24" s="75">
        <v>-66.110600259999998</v>
      </c>
      <c r="G24" s="75">
        <v>0</v>
      </c>
      <c r="H24" s="75">
        <v>0</v>
      </c>
      <c r="I24" s="75">
        <v>0</v>
      </c>
    </row>
    <row r="25" spans="1:16">
      <c r="A25" s="19" t="str">
        <f>HLOOKUP(INDICE!$F$2,Nombres!$C$3:$D$636,50,FALSE)</f>
        <v>Resultado atribuido</v>
      </c>
      <c r="B25" s="19">
        <f>+B23+B24</f>
        <v>531.24519696000016</v>
      </c>
      <c r="C25" s="19">
        <f t="shared" ref="C25:I25" si="4">+C23+C24</f>
        <v>667.30335186999991</v>
      </c>
      <c r="D25" s="19">
        <f t="shared" si="4"/>
        <v>550.0958943100004</v>
      </c>
      <c r="E25" s="19">
        <f t="shared" si="4"/>
        <v>489.19618872999968</v>
      </c>
      <c r="F25" s="94">
        <f t="shared" si="4"/>
        <v>667.95954755000025</v>
      </c>
      <c r="G25" s="94">
        <f t="shared" si="4"/>
        <v>0</v>
      </c>
      <c r="H25" s="94">
        <f t="shared" si="4"/>
        <v>0</v>
      </c>
      <c r="I25" s="94">
        <f t="shared" si="4"/>
        <v>0</v>
      </c>
    </row>
    <row r="26" spans="1:16" ht="24.75" customHeight="1">
      <c r="A26" s="28"/>
      <c r="B26" s="99">
        <v>0</v>
      </c>
      <c r="C26" s="99">
        <v>0</v>
      </c>
      <c r="D26" s="99">
        <v>0</v>
      </c>
      <c r="E26" s="99">
        <v>0</v>
      </c>
      <c r="F26" s="99">
        <v>0</v>
      </c>
      <c r="G26" s="99">
        <v>0</v>
      </c>
      <c r="H26" s="99">
        <v>0</v>
      </c>
      <c r="I26" s="99">
        <v>0</v>
      </c>
    </row>
    <row r="27" spans="1:16">
      <c r="A27" s="25"/>
      <c r="B27" s="25"/>
      <c r="C27" s="25"/>
      <c r="D27" s="25"/>
      <c r="E27" s="25"/>
      <c r="F27" s="25"/>
      <c r="G27" s="25"/>
      <c r="H27" s="25"/>
      <c r="I27" s="25"/>
    </row>
    <row r="28" spans="1:16" ht="17">
      <c r="A28" s="65" t="str">
        <f>HLOOKUP(INDICE!$F$2,Nombres!$C$3:$D$636,51,FALSE)</f>
        <v>Balances</v>
      </c>
      <c r="B28" s="66"/>
      <c r="C28" s="66"/>
      <c r="D28" s="66"/>
      <c r="E28" s="66"/>
      <c r="F28" s="66"/>
      <c r="G28" s="66"/>
      <c r="H28" s="66"/>
      <c r="I28" s="66"/>
    </row>
    <row r="29" spans="1:16">
      <c r="A29" s="67" t="str">
        <f>HLOOKUP(INDICE!$F$2,Nombres!$C$3:$D$636,32,FALSE)</f>
        <v>(Millones de euros)</v>
      </c>
      <c r="B29" s="62"/>
      <c r="C29" s="82"/>
      <c r="D29" s="82"/>
      <c r="E29" s="82"/>
      <c r="F29" s="62"/>
      <c r="G29" s="83"/>
      <c r="H29" s="83"/>
      <c r="I29" s="83"/>
    </row>
    <row r="30" spans="1:16">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16">
      <c r="A31" s="17" t="str">
        <f>HLOOKUP(INDICE!$F$2,Nombres!$C$3:$D$636,52,FALSE)</f>
        <v>Efectivo, saldos en efectivo en bancos centrales y otros depósitos a la vista</v>
      </c>
      <c r="B31" s="75">
        <v>4663.8010573600013</v>
      </c>
      <c r="C31" s="75">
        <v>5207.8192547299986</v>
      </c>
      <c r="D31" s="75">
        <v>5158.3298588999996</v>
      </c>
      <c r="E31" s="76">
        <v>4904.9447139700005</v>
      </c>
      <c r="F31" s="75">
        <v>5926.2608429299999</v>
      </c>
      <c r="G31" s="75">
        <v>0</v>
      </c>
      <c r="H31" s="75">
        <v>0</v>
      </c>
      <c r="I31" s="75">
        <v>0</v>
      </c>
      <c r="L31" s="85"/>
      <c r="M31" s="85"/>
      <c r="N31" s="85"/>
      <c r="O31" s="85"/>
      <c r="P31" s="85"/>
    </row>
    <row r="32" spans="1:16">
      <c r="A32" s="17" t="str">
        <f>HLOOKUP(INDICE!$F$2,Nombres!$C$3:$D$636,53,FALSE)</f>
        <v>Activos financieros a valor razonable</v>
      </c>
      <c r="B32" s="83">
        <v>130784.39334638001</v>
      </c>
      <c r="C32" s="83">
        <v>157125.92119957003</v>
      </c>
      <c r="D32" s="83">
        <v>146061.17549694999</v>
      </c>
      <c r="E32" s="95">
        <v>159371.99987247001</v>
      </c>
      <c r="F32" s="75">
        <v>160532.38050751001</v>
      </c>
      <c r="G32" s="75">
        <v>0</v>
      </c>
      <c r="H32" s="75">
        <v>0</v>
      </c>
      <c r="I32" s="75">
        <v>0</v>
      </c>
      <c r="L32" s="85"/>
      <c r="M32" s="85"/>
      <c r="N32" s="85"/>
      <c r="O32" s="85"/>
      <c r="P32" s="85"/>
    </row>
    <row r="33" spans="1:16">
      <c r="A33" s="17" t="str">
        <f>HLOOKUP(INDICE!$F$2,Nombres!$C$3:$D$636,54,FALSE)</f>
        <v>Activos financieros a coste amortizado</v>
      </c>
      <c r="B33" s="75">
        <v>90355.58245057</v>
      </c>
      <c r="C33" s="75">
        <v>89248.318748539998</v>
      </c>
      <c r="D33" s="75">
        <v>96112.563648809999</v>
      </c>
      <c r="E33" s="76">
        <v>97302.49281743</v>
      </c>
      <c r="F33" s="75">
        <v>99642.993449010013</v>
      </c>
      <c r="G33" s="75">
        <v>0</v>
      </c>
      <c r="H33" s="75">
        <v>0</v>
      </c>
      <c r="I33" s="75">
        <v>0</v>
      </c>
      <c r="L33" s="85"/>
      <c r="M33" s="85"/>
      <c r="N33" s="85"/>
      <c r="O33" s="85"/>
      <c r="P33" s="85"/>
    </row>
    <row r="34" spans="1:16">
      <c r="A34" s="17" t="str">
        <f>HLOOKUP(INDICE!$F$2,Nombres!$C$3:$D$636,55,FALSE)</f>
        <v xml:space="preserve">    de los que préstamos y anticipos a la clientela</v>
      </c>
      <c r="B34" s="75">
        <v>76839.181546799984</v>
      </c>
      <c r="C34" s="75">
        <v>75850.784636919998</v>
      </c>
      <c r="D34" s="75">
        <v>78263.845391149996</v>
      </c>
      <c r="E34" s="76">
        <v>78354.091493920001</v>
      </c>
      <c r="F34" s="75">
        <v>81550.177714609992</v>
      </c>
      <c r="G34" s="75">
        <v>0</v>
      </c>
      <c r="H34" s="75">
        <v>0</v>
      </c>
      <c r="I34" s="75">
        <v>0</v>
      </c>
      <c r="L34" s="85"/>
      <c r="M34" s="85"/>
      <c r="N34" s="85"/>
      <c r="O34" s="85"/>
      <c r="P34" s="85"/>
    </row>
    <row r="35" spans="1:16">
      <c r="A35" s="17" t="str">
        <f>HLOOKUP(INDICE!$F$2,Nombres!$C$3:$D$636,121,FALSE)</f>
        <v>Posiciones inter-áreas activo</v>
      </c>
      <c r="B35" s="75">
        <v>0</v>
      </c>
      <c r="C35" s="75">
        <v>0</v>
      </c>
      <c r="D35" s="75">
        <v>0</v>
      </c>
      <c r="E35" s="76">
        <v>0</v>
      </c>
      <c r="F35" s="75">
        <v>0</v>
      </c>
      <c r="G35" s="75">
        <v>0</v>
      </c>
      <c r="H35" s="75">
        <v>0</v>
      </c>
      <c r="I35" s="75">
        <v>0</v>
      </c>
      <c r="L35" s="85"/>
      <c r="M35" s="85"/>
      <c r="N35" s="85"/>
      <c r="O35" s="85"/>
      <c r="P35" s="85"/>
    </row>
    <row r="36" spans="1:16">
      <c r="A36" s="17" t="str">
        <f>HLOOKUP(INDICE!$F$2,Nombres!$C$3:$D$636,56,FALSE)</f>
        <v>Activos tangibles</v>
      </c>
      <c r="B36" s="75">
        <v>54.320411370000002</v>
      </c>
      <c r="C36" s="75">
        <v>53.609829439999992</v>
      </c>
      <c r="D36" s="75">
        <v>136.71293650000001</v>
      </c>
      <c r="E36" s="76">
        <v>140.72374056000001</v>
      </c>
      <c r="F36" s="75">
        <v>140.57078113</v>
      </c>
      <c r="G36" s="75">
        <v>0</v>
      </c>
      <c r="H36" s="75">
        <v>0</v>
      </c>
      <c r="I36" s="75">
        <v>0</v>
      </c>
      <c r="L36" s="85"/>
      <c r="M36" s="85"/>
      <c r="N36" s="85"/>
      <c r="O36" s="85"/>
      <c r="P36" s="85"/>
    </row>
    <row r="37" spans="1:16">
      <c r="A37" s="17" t="str">
        <f>HLOOKUP(INDICE!$F$2,Nombres!$C$3:$D$636,57,FALSE)</f>
        <v>Otros activos</v>
      </c>
      <c r="B37" s="83">
        <f>+B38-B36-B33-B32-B31-B35</f>
        <v>1919.3927804999867</v>
      </c>
      <c r="C37" s="83">
        <f t="shared" ref="C37:I37" si="5">+C38-C36-C33-C32-C31-C35</f>
        <v>13755.520173459998</v>
      </c>
      <c r="D37" s="83">
        <f t="shared" si="5"/>
        <v>9754.2606120599849</v>
      </c>
      <c r="E37" s="95">
        <f t="shared" si="5"/>
        <v>10645.929653249948</v>
      </c>
      <c r="F37" s="83">
        <f t="shared" si="5"/>
        <v>13007.798375639979</v>
      </c>
      <c r="G37" s="83">
        <f t="shared" si="5"/>
        <v>0</v>
      </c>
      <c r="H37" s="83">
        <f t="shared" si="5"/>
        <v>0</v>
      </c>
      <c r="I37" s="83">
        <f t="shared" si="5"/>
        <v>0</v>
      </c>
      <c r="L37" s="85"/>
      <c r="M37" s="85"/>
      <c r="N37" s="85"/>
      <c r="O37" s="85"/>
      <c r="P37" s="85"/>
    </row>
    <row r="38" spans="1:16">
      <c r="A38" s="19" t="str">
        <f>HLOOKUP(INDICE!$F$2,Nombres!$C$3:$D$636,58,FALSE)</f>
        <v>Total activo / pasivo</v>
      </c>
      <c r="B38" s="19">
        <v>227777.49004617997</v>
      </c>
      <c r="C38" s="19">
        <v>265391.18920574005</v>
      </c>
      <c r="D38" s="19">
        <v>257223.04255321997</v>
      </c>
      <c r="E38" s="93">
        <v>272366.09079767996</v>
      </c>
      <c r="F38" s="94">
        <v>279250.00395622</v>
      </c>
      <c r="G38" s="94">
        <v>0</v>
      </c>
      <c r="H38" s="94">
        <v>0</v>
      </c>
      <c r="I38" s="94">
        <v>0</v>
      </c>
      <c r="L38" s="85"/>
      <c r="M38" s="85"/>
      <c r="N38" s="85"/>
      <c r="O38" s="85"/>
      <c r="P38" s="85"/>
    </row>
    <row r="39" spans="1:16">
      <c r="A39" s="17" t="str">
        <f>HLOOKUP(INDICE!$F$2,Nombres!$C$3:$D$636,59,FALSE)</f>
        <v>Pasivos financieros mantenidos para negociar y designados a valor razonable con cambios en resultados</v>
      </c>
      <c r="B39" s="83">
        <v>104433.39959679</v>
      </c>
      <c r="C39" s="83">
        <v>128642.59687862</v>
      </c>
      <c r="D39" s="83">
        <v>116787.07461428001</v>
      </c>
      <c r="E39" s="95">
        <v>130081.21353022</v>
      </c>
      <c r="F39" s="75">
        <v>119615.75722471999</v>
      </c>
      <c r="G39" s="75">
        <v>0</v>
      </c>
      <c r="H39" s="75">
        <v>0</v>
      </c>
      <c r="I39" s="75">
        <v>0</v>
      </c>
      <c r="L39" s="85"/>
      <c r="M39" s="85"/>
      <c r="N39" s="85"/>
      <c r="O39" s="85"/>
      <c r="P39" s="85"/>
    </row>
    <row r="40" spans="1:16">
      <c r="A40" s="17" t="str">
        <f>HLOOKUP(INDICE!$F$2,Nombres!$C$3:$D$636,60,FALSE)</f>
        <v>Depósitos de bancos centrales y entidades de crédito</v>
      </c>
      <c r="B40" s="83">
        <v>25473.924236610001</v>
      </c>
      <c r="C40" s="83">
        <v>27458.914946510002</v>
      </c>
      <c r="D40" s="83">
        <v>30150.215353459997</v>
      </c>
      <c r="E40" s="95">
        <v>28501.70609046</v>
      </c>
      <c r="F40" s="75">
        <v>38831.981776710003</v>
      </c>
      <c r="G40" s="75">
        <v>0</v>
      </c>
      <c r="H40" s="75">
        <v>0</v>
      </c>
      <c r="I40" s="75">
        <v>0</v>
      </c>
      <c r="L40" s="85"/>
      <c r="M40" s="85"/>
      <c r="N40" s="85"/>
      <c r="O40" s="85"/>
      <c r="P40" s="85"/>
    </row>
    <row r="41" spans="1:16" ht="15.75" customHeight="1">
      <c r="A41" s="17" t="str">
        <f>HLOOKUP(INDICE!$F$2,Nombres!$C$3:$D$636,61,FALSE)</f>
        <v>Depósitos de la clientela</v>
      </c>
      <c r="B41" s="83">
        <v>54200.003138480002</v>
      </c>
      <c r="C41" s="83">
        <v>56137.453178279997</v>
      </c>
      <c r="D41" s="83">
        <v>56325.156438350008</v>
      </c>
      <c r="E41" s="95">
        <v>60031.41803203</v>
      </c>
      <c r="F41" s="75">
        <v>64700.568136609996</v>
      </c>
      <c r="G41" s="75">
        <v>0</v>
      </c>
      <c r="H41" s="75">
        <v>0</v>
      </c>
      <c r="I41" s="75">
        <v>0</v>
      </c>
      <c r="L41" s="85"/>
      <c r="M41" s="85"/>
      <c r="N41" s="85"/>
      <c r="O41" s="85"/>
      <c r="P41" s="85"/>
    </row>
    <row r="42" spans="1:16">
      <c r="A42" s="17" t="str">
        <f>HLOOKUP(INDICE!$F$2,Nombres!$C$3:$D$636,62,FALSE)</f>
        <v>Valores representativos de deuda emitidos</v>
      </c>
      <c r="B42" s="75">
        <v>5831.4531452400006</v>
      </c>
      <c r="C42" s="75">
        <v>5756.5505596500007</v>
      </c>
      <c r="D42" s="75">
        <v>6573.0420224800018</v>
      </c>
      <c r="E42" s="76">
        <v>6076.2806377700008</v>
      </c>
      <c r="F42" s="75">
        <v>6278.9589588000008</v>
      </c>
      <c r="G42" s="75">
        <v>0</v>
      </c>
      <c r="H42" s="75">
        <v>0</v>
      </c>
      <c r="I42" s="75">
        <v>0</v>
      </c>
      <c r="L42" s="85"/>
      <c r="M42" s="85"/>
      <c r="N42" s="85"/>
      <c r="O42" s="85"/>
      <c r="P42" s="85"/>
    </row>
    <row r="43" spans="1:16">
      <c r="A43" s="17" t="str">
        <f>HLOOKUP(INDICE!$F$2,Nombres!$C$3:$D$636,122,FALSE)</f>
        <v>Posiciones inter-áreas pasivo</v>
      </c>
      <c r="B43" s="75">
        <v>21591.257374503155</v>
      </c>
      <c r="C43" s="75">
        <v>29766.153388003211</v>
      </c>
      <c r="D43" s="75">
        <v>28957.73002128279</v>
      </c>
      <c r="E43" s="76">
        <v>29314.98670681837</v>
      </c>
      <c r="F43" s="75">
        <v>32395.162098923633</v>
      </c>
      <c r="G43" s="75">
        <v>0</v>
      </c>
      <c r="H43" s="75">
        <v>0</v>
      </c>
      <c r="I43" s="75">
        <v>0</v>
      </c>
      <c r="L43" s="85"/>
      <c r="M43" s="85"/>
      <c r="N43" s="85"/>
      <c r="O43" s="85"/>
      <c r="P43" s="85"/>
    </row>
    <row r="44" spans="1:16">
      <c r="A44" s="17" t="str">
        <f>HLOOKUP(INDICE!$F$2,Nombres!$C$3:$D$636,63,FALSE)</f>
        <v>Otros pasivos</v>
      </c>
      <c r="B44" s="75">
        <f t="shared" ref="B44:I44" si="6">+B38-B39-B40-B41-B42-B45-B43</f>
        <v>5490.3001667788012</v>
      </c>
      <c r="C44" s="75">
        <f t="shared" si="6"/>
        <v>6512.8071801992592</v>
      </c>
      <c r="D44" s="75">
        <f t="shared" si="6"/>
        <v>7397.1325361511917</v>
      </c>
      <c r="E44" s="76">
        <f t="shared" si="6"/>
        <v>7310.2328129203779</v>
      </c>
      <c r="F44" s="75">
        <f t="shared" si="6"/>
        <v>5718.8344068523947</v>
      </c>
      <c r="G44" s="75">
        <f t="shared" si="6"/>
        <v>0</v>
      </c>
      <c r="H44" s="75">
        <f t="shared" si="6"/>
        <v>0</v>
      </c>
      <c r="I44" s="75">
        <f t="shared" si="6"/>
        <v>0</v>
      </c>
      <c r="L44" s="85"/>
      <c r="M44" s="85"/>
      <c r="N44" s="85"/>
      <c r="O44" s="85"/>
      <c r="P44" s="85"/>
    </row>
    <row r="45" spans="1:16">
      <c r="A45" s="17" t="str">
        <f>HLOOKUP(INDICE!$F$2,Nombres!$C$3:$D$636,282,FALSE)</f>
        <v>Dotación de capital regulatorio</v>
      </c>
      <c r="B45" s="75">
        <v>10757.152387778002</v>
      </c>
      <c r="C45" s="75">
        <v>11116.7130744776</v>
      </c>
      <c r="D45" s="75">
        <v>11032.691567215999</v>
      </c>
      <c r="E45" s="76">
        <v>11050.252987461199</v>
      </c>
      <c r="F45" s="75">
        <v>11708.741353604</v>
      </c>
      <c r="G45" s="75">
        <v>0</v>
      </c>
      <c r="H45" s="75">
        <v>0</v>
      </c>
      <c r="I45" s="75">
        <v>0</v>
      </c>
      <c r="L45" s="85"/>
      <c r="M45" s="85"/>
      <c r="N45" s="85"/>
      <c r="O45" s="85"/>
      <c r="P45" s="85"/>
    </row>
    <row r="46" spans="1:16">
      <c r="A46" s="91"/>
      <c r="B46" s="83"/>
      <c r="C46" s="83"/>
      <c r="D46" s="83"/>
      <c r="E46" s="83"/>
      <c r="F46" s="101"/>
      <c r="G46" s="101"/>
      <c r="H46" s="101"/>
      <c r="I46" s="101"/>
    </row>
    <row r="47" spans="1:16">
      <c r="A47" s="17"/>
      <c r="B47" s="83"/>
      <c r="C47" s="83"/>
      <c r="D47" s="83"/>
      <c r="E47" s="83"/>
      <c r="F47" s="101"/>
      <c r="G47" s="101"/>
      <c r="H47" s="101"/>
      <c r="I47" s="101"/>
    </row>
    <row r="48" spans="1:16" ht="17">
      <c r="A48" s="65" t="str">
        <f>HLOOKUP(INDICE!$F$2,Nombres!$C$3:$D$636,65,FALSE)</f>
        <v>Indicadores relevantes y de gestión</v>
      </c>
      <c r="B48" s="66"/>
      <c r="C48" s="66"/>
      <c r="D48" s="66"/>
      <c r="E48" s="66"/>
      <c r="F48" s="111"/>
      <c r="G48" s="111"/>
      <c r="H48" s="111"/>
      <c r="I48" s="111"/>
    </row>
    <row r="49" spans="1:9">
      <c r="A49" s="67" t="str">
        <f>HLOOKUP(INDICE!$F$2,Nombres!$C$3:$D$636,32,FALSE)</f>
        <v>(Millones de euros)</v>
      </c>
      <c r="B49" s="62"/>
      <c r="C49" s="62"/>
      <c r="D49" s="62"/>
      <c r="E49" s="62"/>
      <c r="F49" s="103"/>
      <c r="G49" s="101"/>
      <c r="H49" s="101"/>
      <c r="I49" s="101"/>
    </row>
    <row r="50" spans="1:9">
      <c r="A50" s="62"/>
      <c r="B50" s="84">
        <f t="shared" ref="B50:I50" si="7">+B$30</f>
        <v>45016</v>
      </c>
      <c r="C50" s="84">
        <f t="shared" si="7"/>
        <v>45107</v>
      </c>
      <c r="D50" s="84">
        <f t="shared" si="7"/>
        <v>45199</v>
      </c>
      <c r="E50" s="98">
        <f t="shared" si="7"/>
        <v>45291</v>
      </c>
      <c r="F50" s="100">
        <f t="shared" si="7"/>
        <v>45382</v>
      </c>
      <c r="G50" s="100">
        <f t="shared" si="7"/>
        <v>45473</v>
      </c>
      <c r="H50" s="100">
        <f t="shared" si="7"/>
        <v>45565</v>
      </c>
      <c r="I50" s="100">
        <f t="shared" si="7"/>
        <v>45657</v>
      </c>
    </row>
    <row r="51" spans="1:9" ht="15" customHeight="1">
      <c r="A51" s="17" t="str">
        <f>HLOOKUP(INDICE!$F$2,Nombres!$C$3:$D$636,66,FALSE)</f>
        <v>Préstamos y anticipos a la clientela bruto (*)</v>
      </c>
      <c r="B51" s="75">
        <v>77582.161989539993</v>
      </c>
      <c r="C51" s="75">
        <v>76465.980604989993</v>
      </c>
      <c r="D51" s="75">
        <v>78881.01519505</v>
      </c>
      <c r="E51" s="76">
        <v>78275.651378330018</v>
      </c>
      <c r="F51" s="75">
        <v>82148.704175930005</v>
      </c>
      <c r="G51" s="75">
        <v>0</v>
      </c>
      <c r="H51" s="75">
        <v>0</v>
      </c>
      <c r="I51" s="75">
        <v>0</v>
      </c>
    </row>
    <row r="52" spans="1:9">
      <c r="A52" s="17" t="str">
        <f>HLOOKUP(INDICE!$F$2,Nombres!$C$3:$D$636,67,FALSE)</f>
        <v>Depósitos de clientes en gestión (**)</v>
      </c>
      <c r="B52" s="75">
        <v>49010.975332419999</v>
      </c>
      <c r="C52" s="75">
        <v>49439.137838689996</v>
      </c>
      <c r="D52" s="75">
        <v>51347.118328030003</v>
      </c>
      <c r="E52" s="76">
        <v>54482.909190760001</v>
      </c>
      <c r="F52" s="75">
        <v>57948.428958029996</v>
      </c>
      <c r="G52" s="75">
        <v>0</v>
      </c>
      <c r="H52" s="75">
        <v>0</v>
      </c>
      <c r="I52" s="75">
        <v>0</v>
      </c>
    </row>
    <row r="53" spans="1:9">
      <c r="A53" s="17" t="str">
        <f>HLOOKUP(INDICE!$F$2,Nombres!$C$3:$D$636,68,FALSE)</f>
        <v>Fondos de inversión y carteras gestionadas</v>
      </c>
      <c r="B53" s="75">
        <v>2617.7691830500003</v>
      </c>
      <c r="C53" s="75">
        <v>3704.7147958600003</v>
      </c>
      <c r="D53" s="75">
        <v>4026.8035548500002</v>
      </c>
      <c r="E53" s="76">
        <v>3964.0275243199994</v>
      </c>
      <c r="F53" s="75">
        <v>3861.0592253900004</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390.86549345999998</v>
      </c>
      <c r="C55" s="75">
        <v>461.62464199000004</v>
      </c>
      <c r="D55" s="75">
        <v>279.02559091000001</v>
      </c>
      <c r="E55" s="76">
        <v>225.41681555000002</v>
      </c>
      <c r="F55" s="75">
        <v>326.58103994999999</v>
      </c>
      <c r="G55" s="75">
        <v>0</v>
      </c>
      <c r="H55" s="75">
        <v>0</v>
      </c>
      <c r="I55" s="75">
        <v>0</v>
      </c>
    </row>
    <row r="56" spans="1:9">
      <c r="A56" s="91" t="str">
        <f>HLOOKUP(INDICE!$F$2,Nombres!$C$3:$D$636,71,FALSE)</f>
        <v>(*) No incluye las adquisiciones temporales de activos.</v>
      </c>
      <c r="B56" s="83"/>
      <c r="C56" s="83"/>
      <c r="D56" s="83"/>
      <c r="E56" s="83"/>
      <c r="F56" s="83"/>
      <c r="G56" s="83"/>
      <c r="H56" s="83"/>
      <c r="I56" s="83"/>
    </row>
    <row r="57" spans="1:9">
      <c r="A57" s="91" t="str">
        <f>HLOOKUP(INDICE!$F$2,Nombres!$C$3:$D$636,72,FALSE)</f>
        <v>(**) No incluye las cesiones temporales de activos.</v>
      </c>
      <c r="B57" s="62"/>
      <c r="C57" s="62"/>
      <c r="D57" s="62"/>
      <c r="E57" s="62"/>
      <c r="F57" s="62"/>
      <c r="G57" s="62"/>
      <c r="H57" s="62"/>
      <c r="I57" s="62"/>
    </row>
    <row r="58" spans="1:9">
      <c r="A58" s="91"/>
      <c r="B58" s="62"/>
      <c r="C58" s="62"/>
      <c r="D58" s="62"/>
      <c r="E58" s="62"/>
      <c r="F58" s="62"/>
      <c r="G58" s="62"/>
      <c r="H58" s="62"/>
      <c r="I58" s="62"/>
    </row>
    <row r="59" spans="1:9" ht="17">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c r="A62" s="70"/>
      <c r="B62" s="299">
        <f>+B$6</f>
        <v>2023</v>
      </c>
      <c r="C62" s="299"/>
      <c r="D62" s="299"/>
      <c r="E62" s="300"/>
      <c r="F62" s="299">
        <f>+F$6</f>
        <v>2024</v>
      </c>
      <c r="G62" s="299"/>
      <c r="H62" s="299"/>
      <c r="I62" s="299"/>
    </row>
    <row r="63" spans="1:9">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433.15006284779014</v>
      </c>
      <c r="C64" s="25">
        <v>482.8578452768258</v>
      </c>
      <c r="D64" s="25">
        <v>521.66077023360083</v>
      </c>
      <c r="E64" s="73">
        <v>638.02731591377506</v>
      </c>
      <c r="F64" s="74">
        <v>571.0047563300003</v>
      </c>
      <c r="G64" s="74">
        <v>0</v>
      </c>
      <c r="H64" s="74">
        <v>0</v>
      </c>
      <c r="I64" s="74">
        <v>0</v>
      </c>
    </row>
    <row r="65" spans="1:9">
      <c r="A65" s="17" t="str">
        <f>HLOOKUP(INDICE!$F$2,Nombres!$C$3:$D$636,34,FALSE)</f>
        <v>Comisiones netas</v>
      </c>
      <c r="B65" s="75">
        <v>258.32623370925614</v>
      </c>
      <c r="C65" s="75">
        <v>266.64585629757488</v>
      </c>
      <c r="D65" s="75">
        <v>247.66733166937539</v>
      </c>
      <c r="E65" s="76">
        <v>241.33219170990475</v>
      </c>
      <c r="F65" s="75">
        <v>308.39996656</v>
      </c>
      <c r="G65" s="75">
        <v>0</v>
      </c>
      <c r="H65" s="75">
        <v>0</v>
      </c>
      <c r="I65" s="75">
        <v>0</v>
      </c>
    </row>
    <row r="66" spans="1:9">
      <c r="A66" s="17" t="str">
        <f>HLOOKUP(INDICE!$F$2,Nombres!$C$3:$D$636,35,FALSE)</f>
        <v>Resultados de operaciones financieras</v>
      </c>
      <c r="B66" s="75">
        <v>380.32644382329227</v>
      </c>
      <c r="C66" s="75">
        <v>555.87301388594085</v>
      </c>
      <c r="D66" s="75">
        <v>369.98697868081081</v>
      </c>
      <c r="E66" s="76">
        <v>435.34046906713479</v>
      </c>
      <c r="F66" s="75">
        <v>512.45034656999997</v>
      </c>
      <c r="G66" s="75">
        <v>0</v>
      </c>
      <c r="H66" s="75">
        <v>0</v>
      </c>
      <c r="I66" s="75">
        <v>0</v>
      </c>
    </row>
    <row r="67" spans="1:9">
      <c r="A67" s="17" t="str">
        <f>HLOOKUP(INDICE!$F$2,Nombres!$C$3:$D$636,36,FALSE)</f>
        <v>Otros ingresos y cargas de explotación</v>
      </c>
      <c r="B67" s="75">
        <v>-25.213683186968492</v>
      </c>
      <c r="C67" s="75">
        <v>-11.126656666148927</v>
      </c>
      <c r="D67" s="75">
        <v>-16.858133984577172</v>
      </c>
      <c r="E67" s="76">
        <v>-11.752466176616309</v>
      </c>
      <c r="F67" s="75">
        <v>-22.823994330000001</v>
      </c>
      <c r="G67" s="75">
        <v>0</v>
      </c>
      <c r="H67" s="75">
        <v>0</v>
      </c>
      <c r="I67" s="75">
        <v>0</v>
      </c>
    </row>
    <row r="68" spans="1:9">
      <c r="A68" s="25" t="str">
        <f>HLOOKUP(INDICE!$F$2,Nombres!$C$3:$D$636,37,FALSE)</f>
        <v>Margen bruto</v>
      </c>
      <c r="B68" s="25">
        <f>+SUM(B64:B67)</f>
        <v>1046.5890571933701</v>
      </c>
      <c r="C68" s="25">
        <f t="shared" ref="C68:I68" si="9">+SUM(C64:C67)</f>
        <v>1294.2500587941927</v>
      </c>
      <c r="D68" s="25">
        <f t="shared" si="9"/>
        <v>1122.4569465992099</v>
      </c>
      <c r="E68" s="73">
        <f t="shared" si="9"/>
        <v>1302.9475105141983</v>
      </c>
      <c r="F68" s="74">
        <f t="shared" si="9"/>
        <v>1369.0310751300003</v>
      </c>
      <c r="G68" s="74">
        <f t="shared" si="9"/>
        <v>0</v>
      </c>
      <c r="H68" s="74">
        <f t="shared" si="9"/>
        <v>0</v>
      </c>
      <c r="I68" s="74">
        <f t="shared" si="9"/>
        <v>0</v>
      </c>
    </row>
    <row r="69" spans="1:9">
      <c r="A69" s="17" t="str">
        <f>HLOOKUP(INDICE!$F$2,Nombres!$C$3:$D$636,38,FALSE)</f>
        <v>Gastos de explotación</v>
      </c>
      <c r="B69" s="75">
        <v>-293.80602364183181</v>
      </c>
      <c r="C69" s="75">
        <v>-300.75633140402675</v>
      </c>
      <c r="D69" s="75">
        <v>-314.59178828496732</v>
      </c>
      <c r="E69" s="76">
        <v>-369.33693231280137</v>
      </c>
      <c r="F69" s="75">
        <v>-358.86400517999999</v>
      </c>
      <c r="G69" s="75">
        <v>0</v>
      </c>
      <c r="H69" s="75">
        <v>0</v>
      </c>
      <c r="I69" s="75">
        <v>0</v>
      </c>
    </row>
    <row r="70" spans="1:9">
      <c r="A70" s="17" t="str">
        <f>HLOOKUP(INDICE!$F$2,Nombres!$C$3:$D$636,39,FALSE)</f>
        <v xml:space="preserve">  Gastos de administración</v>
      </c>
      <c r="B70" s="75">
        <v>-268.02798587919926</v>
      </c>
      <c r="C70" s="75">
        <v>-274.26772455639804</v>
      </c>
      <c r="D70" s="75">
        <v>-287.11457603506409</v>
      </c>
      <c r="E70" s="76">
        <v>-341.06792247414262</v>
      </c>
      <c r="F70" s="75">
        <v>-330.67040417999999</v>
      </c>
      <c r="G70" s="75">
        <v>0</v>
      </c>
      <c r="H70" s="75">
        <v>0</v>
      </c>
      <c r="I70" s="75">
        <v>0</v>
      </c>
    </row>
    <row r="71" spans="1:9">
      <c r="A71" s="77" t="str">
        <f>HLOOKUP(INDICE!$F$2,Nombres!$C$3:$D$636,40,FALSE)</f>
        <v xml:space="preserve">  Gastos de personal</v>
      </c>
      <c r="B71" s="75">
        <v>-139.64341112979429</v>
      </c>
      <c r="C71" s="75">
        <v>-140.9117944184344</v>
      </c>
      <c r="D71" s="75">
        <v>-152.09202590594725</v>
      </c>
      <c r="E71" s="76">
        <v>-193.71111103016784</v>
      </c>
      <c r="F71" s="75">
        <v>-169.36264825999999</v>
      </c>
      <c r="G71" s="75">
        <v>0</v>
      </c>
      <c r="H71" s="75">
        <v>0</v>
      </c>
      <c r="I71" s="75">
        <v>0</v>
      </c>
    </row>
    <row r="72" spans="1:9">
      <c r="A72" s="77" t="str">
        <f>HLOOKUP(INDICE!$F$2,Nombres!$C$3:$D$636,41,FALSE)</f>
        <v xml:space="preserve">  Otros gastos de administración</v>
      </c>
      <c r="B72" s="75">
        <v>-128.38457474940492</v>
      </c>
      <c r="C72" s="75">
        <v>-133.35593013796364</v>
      </c>
      <c r="D72" s="75">
        <v>-135.02255012911689</v>
      </c>
      <c r="E72" s="76">
        <v>-147.35681144397472</v>
      </c>
      <c r="F72" s="75">
        <v>-161.30775592000001</v>
      </c>
      <c r="G72" s="75">
        <v>0</v>
      </c>
      <c r="H72" s="75">
        <v>0</v>
      </c>
      <c r="I72" s="75">
        <v>0</v>
      </c>
    </row>
    <row r="73" spans="1:9">
      <c r="A73" s="17" t="str">
        <f>HLOOKUP(INDICE!$F$2,Nombres!$C$3:$D$636,42,FALSE)</f>
        <v xml:space="preserve">  Amortización</v>
      </c>
      <c r="B73" s="75">
        <v>-25.778037762632596</v>
      </c>
      <c r="C73" s="75">
        <v>-26.488606847628777</v>
      </c>
      <c r="D73" s="75">
        <v>-27.477212249903229</v>
      </c>
      <c r="E73" s="76">
        <v>-28.269009838658825</v>
      </c>
      <c r="F73" s="75">
        <v>-28.193600999999997</v>
      </c>
      <c r="G73" s="75">
        <v>0</v>
      </c>
      <c r="H73" s="75">
        <v>0</v>
      </c>
      <c r="I73" s="75">
        <v>0</v>
      </c>
    </row>
    <row r="74" spans="1:9">
      <c r="A74" s="25" t="str">
        <f>HLOOKUP(INDICE!$F$2,Nombres!$C$3:$D$636,43,FALSE)</f>
        <v>Margen neto</v>
      </c>
      <c r="B74" s="25">
        <f>+B68+B69</f>
        <v>752.78303355153821</v>
      </c>
      <c r="C74" s="25">
        <f t="shared" ref="C74:I74" si="10">+C68+C69</f>
        <v>993.49372739016599</v>
      </c>
      <c r="D74" s="25">
        <f t="shared" si="10"/>
        <v>807.86515831424254</v>
      </c>
      <c r="E74" s="73">
        <f t="shared" si="10"/>
        <v>933.61057820139695</v>
      </c>
      <c r="F74" s="74">
        <f t="shared" si="10"/>
        <v>1010.1670699500003</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-27.832118906938767</v>
      </c>
      <c r="C75" s="75">
        <v>13.537848732378315</v>
      </c>
      <c r="D75" s="75">
        <v>-9.7891446297312683</v>
      </c>
      <c r="E75" s="76">
        <v>20.454556050586195</v>
      </c>
      <c r="F75" s="75">
        <v>34.077603109999984</v>
      </c>
      <c r="G75" s="75">
        <v>0</v>
      </c>
      <c r="H75" s="75">
        <v>0</v>
      </c>
      <c r="I75" s="75">
        <v>0</v>
      </c>
    </row>
    <row r="76" spans="1:9">
      <c r="A76" s="17" t="str">
        <f>HLOOKUP(INDICE!$F$2,Nombres!$C$3:$D$636,45,FALSE)</f>
        <v>Provisiones o reversión de provisiones y otros resultados</v>
      </c>
      <c r="B76" s="75">
        <v>14.891478711980993</v>
      </c>
      <c r="C76" s="75">
        <v>-1.9819393717200093</v>
      </c>
      <c r="D76" s="75">
        <v>1.6465990682155272</v>
      </c>
      <c r="E76" s="76">
        <v>-13.10377945750216</v>
      </c>
      <c r="F76" s="75">
        <v>-1.0305175099999995</v>
      </c>
      <c r="G76" s="75">
        <v>0</v>
      </c>
      <c r="H76" s="75">
        <v>0</v>
      </c>
      <c r="I76" s="75">
        <v>0</v>
      </c>
    </row>
    <row r="77" spans="1:9">
      <c r="A77" s="25" t="str">
        <f>HLOOKUP(INDICE!$F$2,Nombres!$C$3:$D$636,46,FALSE)</f>
        <v>Resultado antes de impuestos</v>
      </c>
      <c r="B77" s="25">
        <f>+B74+B75+B76</f>
        <v>739.84239335658049</v>
      </c>
      <c r="C77" s="25">
        <f t="shared" ref="C77:I77" si="11">+C74+C75+C76</f>
        <v>1005.0496367508242</v>
      </c>
      <c r="D77" s="25">
        <f t="shared" si="11"/>
        <v>799.72261275272683</v>
      </c>
      <c r="E77" s="73">
        <f t="shared" si="11"/>
        <v>940.96135479448105</v>
      </c>
      <c r="F77" s="74">
        <f t="shared" si="11"/>
        <v>1043.2141555500002</v>
      </c>
      <c r="G77" s="74">
        <f t="shared" si="11"/>
        <v>0</v>
      </c>
      <c r="H77" s="74">
        <f t="shared" si="11"/>
        <v>0</v>
      </c>
      <c r="I77" s="74">
        <f t="shared" si="11"/>
        <v>0</v>
      </c>
    </row>
    <row r="78" spans="1:9">
      <c r="A78" s="17" t="str">
        <f>HLOOKUP(INDICE!$F$2,Nombres!$C$3:$D$636,47,FALSE)</f>
        <v>Impuesto sobre beneficios</v>
      </c>
      <c r="B78" s="75">
        <v>-217.19105687280614</v>
      </c>
      <c r="C78" s="75">
        <v>-285.21777715159897</v>
      </c>
      <c r="D78" s="75">
        <v>-229.98497156234191</v>
      </c>
      <c r="E78" s="76">
        <v>-262.41110440482731</v>
      </c>
      <c r="F78" s="75">
        <v>-309.14400774000006</v>
      </c>
      <c r="G78" s="75">
        <v>0</v>
      </c>
      <c r="H78" s="75">
        <v>0</v>
      </c>
      <c r="I78" s="75">
        <v>0</v>
      </c>
    </row>
    <row r="79" spans="1:9">
      <c r="A79" s="25" t="str">
        <f>HLOOKUP(INDICE!$F$2,Nombres!$C$3:$D$636,48,FALSE)</f>
        <v>Resultado del ejercicio</v>
      </c>
      <c r="B79" s="25">
        <f>+B77+B78</f>
        <v>522.65133648377434</v>
      </c>
      <c r="C79" s="25">
        <f t="shared" ref="C79:I79" si="12">+C77+C78</f>
        <v>719.83185959922525</v>
      </c>
      <c r="D79" s="25">
        <f t="shared" si="12"/>
        <v>569.73764119038492</v>
      </c>
      <c r="E79" s="73">
        <f t="shared" si="12"/>
        <v>678.55025038965368</v>
      </c>
      <c r="F79" s="74">
        <f t="shared" si="12"/>
        <v>734.07014781000021</v>
      </c>
      <c r="G79" s="74">
        <f t="shared" si="12"/>
        <v>0</v>
      </c>
      <c r="H79" s="74">
        <f t="shared" si="12"/>
        <v>0</v>
      </c>
      <c r="I79" s="74">
        <f t="shared" si="12"/>
        <v>0</v>
      </c>
    </row>
    <row r="80" spans="1:9">
      <c r="A80" s="17" t="str">
        <f>HLOOKUP(INDICE!$F$2,Nombres!$C$3:$D$636,49,FALSE)</f>
        <v>Minoritarios</v>
      </c>
      <c r="B80" s="75">
        <v>-45.674329736039184</v>
      </c>
      <c r="C80" s="75">
        <v>-67.737895365783913</v>
      </c>
      <c r="D80" s="75">
        <v>-61.887360864029887</v>
      </c>
      <c r="E80" s="76">
        <v>-83.449314556187716</v>
      </c>
      <c r="F80" s="75">
        <v>-66.110600259999998</v>
      </c>
      <c r="G80" s="75">
        <v>0</v>
      </c>
      <c r="H80" s="75">
        <v>0</v>
      </c>
      <c r="I80" s="75">
        <v>0</v>
      </c>
    </row>
    <row r="81" spans="1:9">
      <c r="A81" s="19" t="str">
        <f>HLOOKUP(INDICE!$F$2,Nombres!$C$3:$D$636,50,FALSE)</f>
        <v>Resultado atribuido</v>
      </c>
      <c r="B81" s="19">
        <f>+B79+B80</f>
        <v>476.97700674773517</v>
      </c>
      <c r="C81" s="19">
        <f t="shared" ref="C81:I81" si="13">+C79+C80</f>
        <v>652.09396423344128</v>
      </c>
      <c r="D81" s="19">
        <f t="shared" si="13"/>
        <v>507.850280326355</v>
      </c>
      <c r="E81" s="19">
        <f t="shared" si="13"/>
        <v>595.100935833466</v>
      </c>
      <c r="F81" s="94">
        <f t="shared" si="13"/>
        <v>667.95954755000025</v>
      </c>
      <c r="G81" s="94">
        <f t="shared" si="13"/>
        <v>0</v>
      </c>
      <c r="H81" s="94">
        <f t="shared" si="13"/>
        <v>0</v>
      </c>
      <c r="I81" s="94">
        <f t="shared" si="13"/>
        <v>0</v>
      </c>
    </row>
    <row r="82" spans="1:9">
      <c r="A82" s="91"/>
      <c r="B82" s="99">
        <v>0</v>
      </c>
      <c r="C82" s="99">
        <v>0</v>
      </c>
      <c r="D82" s="99">
        <v>0</v>
      </c>
      <c r="E82" s="99">
        <v>0</v>
      </c>
      <c r="F82" s="99">
        <v>0</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4699.4395453157858</v>
      </c>
      <c r="C87" s="75">
        <v>5283.6134306472495</v>
      </c>
      <c r="D87" s="75">
        <v>5088.5043124738377</v>
      </c>
      <c r="E87" s="76">
        <v>5007.757393917811</v>
      </c>
      <c r="F87" s="75">
        <v>5926.2608429299999</v>
      </c>
      <c r="G87" s="75">
        <v>0</v>
      </c>
      <c r="H87" s="75">
        <v>0</v>
      </c>
      <c r="I87" s="75">
        <v>0</v>
      </c>
    </row>
    <row r="88" spans="1:9">
      <c r="A88" s="17" t="str">
        <f>HLOOKUP(INDICE!$F$2,Nombres!$C$3:$D$636,53,FALSE)</f>
        <v>Activos financieros a valor razonable</v>
      </c>
      <c r="B88" s="83">
        <v>132218.4485437329</v>
      </c>
      <c r="C88" s="83">
        <v>157821.74952541557</v>
      </c>
      <c r="D88" s="83">
        <v>146468.88609011137</v>
      </c>
      <c r="E88" s="95">
        <v>160450.45425589816</v>
      </c>
      <c r="F88" s="75">
        <v>160532.38050751001</v>
      </c>
      <c r="G88" s="75">
        <v>0</v>
      </c>
      <c r="H88" s="75">
        <v>0</v>
      </c>
      <c r="I88" s="75">
        <v>0</v>
      </c>
    </row>
    <row r="89" spans="1:9">
      <c r="A89" s="17" t="str">
        <f>HLOOKUP(INDICE!$F$2,Nombres!$C$3:$D$636,54,FALSE)</f>
        <v>Activos financieros a coste amortizado</v>
      </c>
      <c r="B89" s="75">
        <v>88766.840603532604</v>
      </c>
      <c r="C89" s="75">
        <v>88476.724071406192</v>
      </c>
      <c r="D89" s="75">
        <v>95065.261790891134</v>
      </c>
      <c r="E89" s="76">
        <v>98215.023414800453</v>
      </c>
      <c r="F89" s="75">
        <v>99642.993449010013</v>
      </c>
      <c r="G89" s="75">
        <v>0</v>
      </c>
      <c r="H89" s="75">
        <v>0</v>
      </c>
      <c r="I89" s="75">
        <v>0</v>
      </c>
    </row>
    <row r="90" spans="1:9">
      <c r="A90" s="17" t="str">
        <f>HLOOKUP(INDICE!$F$2,Nombres!$C$3:$D$636,55,FALSE)</f>
        <v xml:space="preserve">    de los que préstamos y anticipos a la clientela</v>
      </c>
      <c r="B90" s="75">
        <v>75314.79527183625</v>
      </c>
      <c r="C90" s="75">
        <v>75160.054328736602</v>
      </c>
      <c r="D90" s="75">
        <v>77228.378424879658</v>
      </c>
      <c r="E90" s="76">
        <v>79026.207571759034</v>
      </c>
      <c r="F90" s="75">
        <v>81550.177714609992</v>
      </c>
      <c r="G90" s="75">
        <v>0</v>
      </c>
      <c r="H90" s="75">
        <v>0</v>
      </c>
      <c r="I90" s="75">
        <v>0</v>
      </c>
    </row>
    <row r="91" spans="1:9">
      <c r="A91" s="17"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53.91700568338851</v>
      </c>
      <c r="C92" s="75">
        <v>53.597304814047263</v>
      </c>
      <c r="D92" s="75">
        <v>134.95263899169083</v>
      </c>
      <c r="E92" s="76">
        <v>143.35582132659752</v>
      </c>
      <c r="F92" s="75">
        <v>140.57078113</v>
      </c>
      <c r="G92" s="75">
        <v>0</v>
      </c>
      <c r="H92" s="75">
        <v>0</v>
      </c>
      <c r="I92" s="75">
        <v>0</v>
      </c>
    </row>
    <row r="93" spans="1:9">
      <c r="A93" s="17" t="str">
        <f>HLOOKUP(INDICE!$F$2,Nombres!$C$3:$D$636,57,FALSE)</f>
        <v>Otros activos</v>
      </c>
      <c r="B93" s="83">
        <f>+B94-B92-B89-B88-B87-B91</f>
        <v>1815.0141600492561</v>
      </c>
      <c r="C93" s="83">
        <f t="shared" ref="C93:I93" si="15">+C94-C92-C89-C88-C87-C91</f>
        <v>14133.239862813225</v>
      </c>
      <c r="D93" s="83">
        <f t="shared" si="15"/>
        <v>9942.4493773995855</v>
      </c>
      <c r="E93" s="95">
        <f t="shared" si="15"/>
        <v>11017.958079965771</v>
      </c>
      <c r="F93" s="83">
        <f t="shared" si="15"/>
        <v>13007.798375639979</v>
      </c>
      <c r="G93" s="83">
        <f t="shared" si="15"/>
        <v>0</v>
      </c>
      <c r="H93" s="83">
        <f t="shared" si="15"/>
        <v>0</v>
      </c>
      <c r="I93" s="83">
        <f t="shared" si="15"/>
        <v>0</v>
      </c>
    </row>
    <row r="94" spans="1:9">
      <c r="A94" s="19" t="str">
        <f>HLOOKUP(INDICE!$F$2,Nombres!$C$3:$D$636,58,FALSE)</f>
        <v>Total activo / pasivo</v>
      </c>
      <c r="B94" s="19">
        <v>227553.65985831391</v>
      </c>
      <c r="C94" s="19">
        <v>265768.92419509625</v>
      </c>
      <c r="D94" s="19">
        <v>256700.05420986764</v>
      </c>
      <c r="E94" s="93">
        <v>274834.54896590882</v>
      </c>
      <c r="F94" s="94">
        <v>279250.00395622</v>
      </c>
      <c r="G94" s="94">
        <v>0</v>
      </c>
      <c r="H94" s="94">
        <v>0</v>
      </c>
      <c r="I94" s="94">
        <v>0</v>
      </c>
    </row>
    <row r="95" spans="1:9">
      <c r="A95" s="17" t="str">
        <f>HLOOKUP(INDICE!$F$2,Nombres!$C$3:$D$636,59,FALSE)</f>
        <v>Pasivos financieros mantenidos para negociar y designados a valor razonable con cambios en resultados</v>
      </c>
      <c r="B95" s="83">
        <v>104644.26808938773</v>
      </c>
      <c r="C95" s="83">
        <v>128859.05264586722</v>
      </c>
      <c r="D95" s="83">
        <v>116756.93464125291</v>
      </c>
      <c r="E95" s="95">
        <v>130550.49047304057</v>
      </c>
      <c r="F95" s="75">
        <v>119615.75722471999</v>
      </c>
      <c r="G95" s="75">
        <v>0</v>
      </c>
      <c r="H95" s="75">
        <v>0</v>
      </c>
      <c r="I95" s="75">
        <v>0</v>
      </c>
    </row>
    <row r="96" spans="1:9">
      <c r="A96" s="17" t="str">
        <f>HLOOKUP(INDICE!$F$2,Nombres!$C$3:$D$636,60,FALSE)</f>
        <v>Depósitos de bancos centrales y entidades de crédito</v>
      </c>
      <c r="B96" s="83">
        <v>25825.423377952753</v>
      </c>
      <c r="C96" s="83">
        <v>27512.718470834221</v>
      </c>
      <c r="D96" s="83">
        <v>30206.005238728496</v>
      </c>
      <c r="E96" s="95">
        <v>28671.818261611832</v>
      </c>
      <c r="F96" s="75">
        <v>38831.981776710003</v>
      </c>
      <c r="G96" s="75">
        <v>0</v>
      </c>
      <c r="H96" s="75">
        <v>0</v>
      </c>
      <c r="I96" s="75">
        <v>0</v>
      </c>
    </row>
    <row r="97" spans="1:9">
      <c r="A97" s="17" t="str">
        <f>HLOOKUP(INDICE!$F$2,Nombres!$C$3:$D$636,61,FALSE)</f>
        <v>Depósitos de la clientela</v>
      </c>
      <c r="B97" s="83">
        <v>52788.554545326682</v>
      </c>
      <c r="C97" s="83">
        <v>54616.468559535489</v>
      </c>
      <c r="D97" s="83">
        <v>54727.51943546551</v>
      </c>
      <c r="E97" s="95">
        <v>60877.397653663495</v>
      </c>
      <c r="F97" s="75">
        <v>64700.568136609996</v>
      </c>
      <c r="G97" s="75">
        <v>0</v>
      </c>
      <c r="H97" s="75">
        <v>0</v>
      </c>
      <c r="I97" s="75">
        <v>0</v>
      </c>
    </row>
    <row r="98" spans="1:9">
      <c r="A98" s="17" t="str">
        <f>HLOOKUP(INDICE!$F$2,Nombres!$C$3:$D$636,62,FALSE)</f>
        <v>Valores representativos de deuda emitidos</v>
      </c>
      <c r="B98" s="75">
        <v>5892.8795721343204</v>
      </c>
      <c r="C98" s="75">
        <v>5784.8795707159825</v>
      </c>
      <c r="D98" s="75">
        <v>6597.074000586118</v>
      </c>
      <c r="E98" s="76">
        <v>6104.473708652682</v>
      </c>
      <c r="F98" s="75">
        <v>6278.9589588000008</v>
      </c>
      <c r="G98" s="75">
        <v>0</v>
      </c>
      <c r="H98" s="75">
        <v>0</v>
      </c>
      <c r="I98" s="75">
        <v>0</v>
      </c>
    </row>
    <row r="99" spans="1:9">
      <c r="A99" s="17" t="str">
        <f>HLOOKUP(INDICE!$F$2,Nombres!$C$3:$D$636,122,FALSE)</f>
        <v>Posiciones inter-áreas pasivo</v>
      </c>
      <c r="B99" s="75">
        <v>21896.488398401852</v>
      </c>
      <c r="C99" s="75">
        <v>31370.603409219792</v>
      </c>
      <c r="D99" s="75">
        <v>30179.084362361718</v>
      </c>
      <c r="E99" s="76">
        <v>30172.367800477852</v>
      </c>
      <c r="F99" s="75">
        <v>32395.162098923633</v>
      </c>
      <c r="G99" s="75">
        <v>0</v>
      </c>
      <c r="H99" s="75">
        <v>0</v>
      </c>
      <c r="I99" s="75">
        <v>0</v>
      </c>
    </row>
    <row r="100" spans="1:9">
      <c r="A100" s="17" t="str">
        <f>HLOOKUP(INDICE!$F$2,Nombres!$C$3:$D$636,63,FALSE)</f>
        <v>Otros pasivos</v>
      </c>
      <c r="B100" s="75">
        <f t="shared" ref="B100:I100" si="16">+B94-B95-B96-B97-B98-B101-B99</f>
        <v>6095.2547174701758</v>
      </c>
      <c r="C100" s="75">
        <f t="shared" si="16"/>
        <v>6850.2931334236382</v>
      </c>
      <c r="D100" s="75">
        <f t="shared" si="16"/>
        <v>7372.5642873776887</v>
      </c>
      <c r="E100" s="76">
        <f t="shared" si="16"/>
        <v>7342.5884342587269</v>
      </c>
      <c r="F100" s="75">
        <f t="shared" si="16"/>
        <v>5718.8344068523947</v>
      </c>
      <c r="G100" s="75">
        <f t="shared" si="16"/>
        <v>0</v>
      </c>
      <c r="H100" s="75">
        <f t="shared" si="16"/>
        <v>0</v>
      </c>
      <c r="I100" s="75">
        <f t="shared" si="16"/>
        <v>0</v>
      </c>
    </row>
    <row r="101" spans="1:9">
      <c r="A101" s="17" t="str">
        <f>HLOOKUP(INDICE!$F$2,Nombres!$C$3:$D$636,282,FALSE)</f>
        <v>Dotación de capital regulatorio</v>
      </c>
      <c r="B101" s="75">
        <v>10410.791157640399</v>
      </c>
      <c r="C101" s="75">
        <v>10774.908405499895</v>
      </c>
      <c r="D101" s="75">
        <v>10860.872244095197</v>
      </c>
      <c r="E101" s="76">
        <v>11115.412634203683</v>
      </c>
      <c r="F101" s="75">
        <v>11708.741353604</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75823.280861846142</v>
      </c>
      <c r="C107" s="75">
        <v>75685.764472403462</v>
      </c>
      <c r="D107" s="75">
        <v>77761.470210179832</v>
      </c>
      <c r="E107" s="76">
        <v>78888.18912437321</v>
      </c>
      <c r="F107" s="75">
        <v>82148.704175930005</v>
      </c>
      <c r="G107" s="75">
        <v>0</v>
      </c>
      <c r="H107" s="75">
        <v>0</v>
      </c>
      <c r="I107" s="75">
        <v>0</v>
      </c>
    </row>
    <row r="108" spans="1:9">
      <c r="A108" s="17" t="str">
        <f>HLOOKUP(INDICE!$F$2,Nombres!$C$3:$D$636,67,FALSE)</f>
        <v>Depósitos de clientes en gestión (**)</v>
      </c>
      <c r="B108" s="75">
        <v>47207.018046687626</v>
      </c>
      <c r="C108" s="75">
        <v>47716.525694822616</v>
      </c>
      <c r="D108" s="75">
        <v>49623.087365209809</v>
      </c>
      <c r="E108" s="76">
        <v>55135.604160014678</v>
      </c>
      <c r="F108" s="75">
        <v>57948.428958029996</v>
      </c>
      <c r="G108" s="75">
        <v>0</v>
      </c>
      <c r="H108" s="75">
        <v>0</v>
      </c>
      <c r="I108" s="75">
        <v>0</v>
      </c>
    </row>
    <row r="109" spans="1:9">
      <c r="A109" s="17" t="str">
        <f>HLOOKUP(INDICE!$F$2,Nombres!$C$3:$D$636,68,FALSE)</f>
        <v>Fondos de inversión y carteras gestionadas</v>
      </c>
      <c r="B109" s="75">
        <v>2127.125334400565</v>
      </c>
      <c r="C109" s="75">
        <v>3199.3430781765069</v>
      </c>
      <c r="D109" s="75">
        <v>3629.0547640132704</v>
      </c>
      <c r="E109" s="76">
        <v>4078.2267080872352</v>
      </c>
      <c r="F109" s="75">
        <v>3861.0592253900004</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428.4143565478447</v>
      </c>
      <c r="C111" s="75">
        <v>478.20334022782964</v>
      </c>
      <c r="D111" s="75">
        <v>288.13703104732031</v>
      </c>
      <c r="E111" s="76">
        <v>235.54666446489219</v>
      </c>
      <c r="F111" s="75">
        <v>326.58103994999999</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9" spans="1:9">
      <c r="B119" s="85"/>
      <c r="C119" s="85"/>
      <c r="D119" s="85"/>
      <c r="E119" s="85"/>
      <c r="F119" s="85"/>
      <c r="G119" s="85"/>
      <c r="H119" s="85"/>
      <c r="I119" s="85"/>
    </row>
    <row r="120" spans="1:9">
      <c r="F120" s="112"/>
      <c r="G120" s="112"/>
      <c r="H120" s="112"/>
      <c r="I120" s="112"/>
    </row>
    <row r="121" spans="1:9">
      <c r="F121" s="112"/>
      <c r="G121" s="112"/>
      <c r="H121" s="112"/>
      <c r="I121" s="112"/>
    </row>
    <row r="122" spans="1:9">
      <c r="F122" s="112"/>
      <c r="G122" s="112"/>
      <c r="H122" s="112"/>
      <c r="I122" s="112"/>
    </row>
    <row r="123" spans="1:9">
      <c r="F123" s="112"/>
      <c r="G123" s="112"/>
      <c r="H123" s="112"/>
      <c r="I123" s="112"/>
    </row>
    <row r="124" spans="1:9">
      <c r="F124" s="112"/>
      <c r="G124" s="112"/>
      <c r="H124" s="112"/>
      <c r="I124" s="112"/>
    </row>
    <row r="125" spans="1:9">
      <c r="F125" s="112"/>
      <c r="G125" s="112"/>
      <c r="H125" s="112"/>
      <c r="I125" s="112"/>
    </row>
    <row r="126" spans="1:9">
      <c r="F126" s="112"/>
      <c r="G126" s="112"/>
      <c r="H126" s="112"/>
      <c r="I126" s="112"/>
    </row>
    <row r="127" spans="1:9">
      <c r="F127" s="112"/>
      <c r="G127" s="112"/>
      <c r="H127" s="112"/>
      <c r="I127" s="112"/>
    </row>
    <row r="128" spans="1:9">
      <c r="F128" s="112"/>
      <c r="G128" s="112"/>
      <c r="H128" s="112"/>
      <c r="I128" s="112"/>
    </row>
    <row r="129" spans="6:9">
      <c r="F129" s="112"/>
      <c r="G129" s="112"/>
      <c r="H129" s="112"/>
      <c r="I129" s="112"/>
    </row>
    <row r="130" spans="6:9">
      <c r="F130" s="112"/>
      <c r="G130" s="112"/>
      <c r="H130" s="112"/>
      <c r="I130" s="112"/>
    </row>
    <row r="131" spans="6:9">
      <c r="F131" s="112"/>
      <c r="G131" s="112"/>
      <c r="H131" s="112"/>
      <c r="I131" s="112"/>
    </row>
    <row r="132" spans="6:9">
      <c r="F132" s="112"/>
      <c r="G132" s="112"/>
      <c r="H132" s="112"/>
      <c r="I132" s="112"/>
    </row>
    <row r="133" spans="6:9">
      <c r="F133" s="112"/>
      <c r="G133" s="112"/>
      <c r="H133" s="112"/>
      <c r="I133" s="112"/>
    </row>
    <row r="134" spans="6:9">
      <c r="F134" s="112"/>
      <c r="G134" s="112"/>
      <c r="H134" s="112"/>
      <c r="I134" s="112"/>
    </row>
    <row r="135" spans="6:9">
      <c r="F135" s="112"/>
      <c r="G135" s="112"/>
      <c r="H135" s="112"/>
      <c r="I135" s="112"/>
    </row>
    <row r="136" spans="6:9">
      <c r="F136" s="112"/>
      <c r="G136" s="112"/>
      <c r="H136" s="112"/>
      <c r="I136" s="112"/>
    </row>
    <row r="137" spans="6:9">
      <c r="F137" s="112"/>
      <c r="G137" s="112"/>
      <c r="H137" s="112"/>
      <c r="I137" s="112"/>
    </row>
    <row r="138" spans="6:9">
      <c r="F138" s="112"/>
      <c r="G138" s="112"/>
      <c r="H138" s="112"/>
      <c r="I138" s="112"/>
    </row>
    <row r="139" spans="6:9">
      <c r="F139" s="112"/>
      <c r="G139" s="112"/>
      <c r="H139" s="112"/>
      <c r="I139" s="112"/>
    </row>
    <row r="140" spans="6:9">
      <c r="F140" s="112"/>
      <c r="G140" s="112"/>
      <c r="H140" s="112"/>
      <c r="I140" s="112"/>
    </row>
    <row r="141" spans="6:9">
      <c r="F141" s="112"/>
      <c r="G141" s="112"/>
      <c r="H141" s="112"/>
      <c r="I141" s="112"/>
    </row>
    <row r="142" spans="6:9">
      <c r="F142" s="112"/>
      <c r="G142" s="112"/>
      <c r="H142" s="112"/>
      <c r="I142" s="112"/>
    </row>
    <row r="143" spans="6:9">
      <c r="F143" s="112"/>
      <c r="G143" s="112"/>
      <c r="H143" s="112"/>
      <c r="I143" s="112"/>
    </row>
    <row r="144" spans="6:9">
      <c r="F144" s="112"/>
      <c r="G144" s="112"/>
      <c r="H144" s="112"/>
      <c r="I144" s="112"/>
    </row>
    <row r="145" spans="6:9">
      <c r="F145" s="112"/>
      <c r="G145" s="112"/>
      <c r="H145" s="112"/>
      <c r="I145" s="112"/>
    </row>
    <row r="146" spans="6:9">
      <c r="F146" s="112"/>
      <c r="G146" s="112"/>
      <c r="H146" s="112"/>
      <c r="I146" s="112"/>
    </row>
    <row r="147" spans="6:9">
      <c r="F147" s="112"/>
      <c r="G147" s="112"/>
      <c r="H147" s="112"/>
      <c r="I147" s="112"/>
    </row>
    <row r="148" spans="6:9">
      <c r="F148" s="112"/>
      <c r="G148" s="112"/>
      <c r="H148" s="112"/>
      <c r="I148" s="112"/>
    </row>
    <row r="149" spans="6:9">
      <c r="F149" s="112"/>
      <c r="G149" s="112"/>
      <c r="H149" s="112"/>
      <c r="I149" s="112"/>
    </row>
    <row r="150" spans="6:9">
      <c r="F150" s="112"/>
      <c r="G150" s="112"/>
      <c r="H150" s="112"/>
      <c r="I150" s="112"/>
    </row>
    <row r="151" spans="6:9">
      <c r="F151" s="112"/>
      <c r="G151" s="112"/>
      <c r="H151" s="112"/>
      <c r="I151" s="112"/>
    </row>
    <row r="152" spans="6:9">
      <c r="F152" s="112"/>
      <c r="G152" s="112"/>
      <c r="H152" s="112"/>
      <c r="I152" s="112"/>
    </row>
    <row r="153" spans="6:9">
      <c r="F153" s="112"/>
      <c r="G153" s="112"/>
      <c r="H153" s="112"/>
      <c r="I153" s="112"/>
    </row>
    <row r="154" spans="6:9">
      <c r="F154" s="112"/>
      <c r="G154" s="112"/>
      <c r="H154" s="112"/>
      <c r="I154" s="112"/>
    </row>
    <row r="155" spans="6:9">
      <c r="F155" s="112"/>
      <c r="G155" s="112"/>
      <c r="H155" s="112"/>
      <c r="I155" s="112"/>
    </row>
    <row r="156" spans="6:9">
      <c r="F156" s="112"/>
      <c r="G156" s="112"/>
      <c r="H156" s="112"/>
      <c r="I156" s="112"/>
    </row>
    <row r="157" spans="6:9">
      <c r="F157" s="112"/>
      <c r="G157" s="112"/>
      <c r="H157" s="112"/>
      <c r="I157" s="112"/>
    </row>
    <row r="158" spans="6:9">
      <c r="F158" s="112"/>
      <c r="G158" s="112"/>
      <c r="H158" s="112"/>
      <c r="I158" s="112"/>
    </row>
    <row r="159" spans="6:9">
      <c r="F159" s="112"/>
      <c r="G159" s="112"/>
      <c r="H159" s="112"/>
      <c r="I159" s="112"/>
    </row>
    <row r="160" spans="6:9">
      <c r="F160" s="112"/>
      <c r="G160" s="112"/>
      <c r="H160" s="112"/>
      <c r="I160" s="112"/>
    </row>
    <row r="161" spans="6:9">
      <c r="F161" s="112"/>
      <c r="G161" s="112"/>
      <c r="H161" s="112"/>
      <c r="I161" s="112"/>
    </row>
    <row r="162" spans="6:9">
      <c r="F162" s="112"/>
      <c r="G162" s="112"/>
      <c r="H162" s="112"/>
      <c r="I162" s="112"/>
    </row>
    <row r="163" spans="6:9">
      <c r="F163" s="112"/>
      <c r="G163" s="112"/>
      <c r="H163" s="112"/>
      <c r="I163" s="112"/>
    </row>
    <row r="164" spans="6:9">
      <c r="F164" s="112"/>
      <c r="G164" s="112"/>
      <c r="H164" s="112"/>
      <c r="I164" s="112"/>
    </row>
    <row r="165" spans="6:9">
      <c r="F165" s="112"/>
      <c r="G165" s="112"/>
      <c r="H165" s="112"/>
      <c r="I165" s="112"/>
    </row>
    <row r="166" spans="6:9">
      <c r="F166" s="112"/>
      <c r="G166" s="112"/>
      <c r="H166" s="112"/>
      <c r="I166" s="112"/>
    </row>
    <row r="1000" spans="1:1">
      <c r="A1000" s="63" t="s">
        <v>550</v>
      </c>
    </row>
  </sheetData>
  <mergeCells count="5">
    <mergeCell ref="A2:I2"/>
    <mergeCell ref="B6:E6"/>
    <mergeCell ref="F6:I6"/>
    <mergeCell ref="B62:E62"/>
    <mergeCell ref="F62:I62"/>
  </mergeCells>
  <conditionalFormatting sqref="C82:I82">
    <cfRule type="cellIs" dxfId="27" priority="3" operator="notBetween">
      <formula>0.5</formula>
      <formula>-0.5</formula>
    </cfRule>
  </conditionalFormatting>
  <conditionalFormatting sqref="B26:I26">
    <cfRule type="cellIs" dxfId="26" priority="2" operator="notBetween">
      <formula>0.5</formula>
      <formula>-0.5</formula>
    </cfRule>
  </conditionalFormatting>
  <conditionalFormatting sqref="B82:I82">
    <cfRule type="cellIs" dxfId="25" priority="1" operator="notBetween">
      <formula>0.5</formula>
      <formula>-0.5</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workbookViewId="0">
      <selection activeCell="A41" sqref="A41"/>
    </sheetView>
  </sheetViews>
  <sheetFormatPr baseColWidth="10" defaultColWidth="12.54296875" defaultRowHeight="12.5"/>
  <cols>
    <col min="1" max="1" width="40.7265625" style="132" customWidth="1"/>
    <col min="2" max="6" width="10" style="132" customWidth="1"/>
    <col min="7" max="9" width="10" style="132" hidden="1" customWidth="1"/>
    <col min="10" max="256" width="12.54296875" style="132"/>
    <col min="257" max="257" width="40.7265625" style="132" customWidth="1"/>
    <col min="258" max="265" width="12.7265625" style="132" customWidth="1"/>
    <col min="266" max="512" width="12.54296875" style="132"/>
    <col min="513" max="513" width="40.7265625" style="132" customWidth="1"/>
    <col min="514" max="521" width="12.7265625" style="132" customWidth="1"/>
    <col min="522" max="768" width="12.54296875" style="132"/>
    <col min="769" max="769" width="40.7265625" style="132" customWidth="1"/>
    <col min="770" max="777" width="12.7265625" style="132" customWidth="1"/>
    <col min="778" max="1024" width="12.54296875" style="132"/>
    <col min="1025" max="1025" width="40.7265625" style="132" customWidth="1"/>
    <col min="1026" max="1033" width="12.7265625" style="132" customWidth="1"/>
    <col min="1034" max="1280" width="12.54296875" style="132"/>
    <col min="1281" max="1281" width="40.7265625" style="132" customWidth="1"/>
    <col min="1282" max="1289" width="12.7265625" style="132" customWidth="1"/>
    <col min="1290" max="1536" width="12.54296875" style="132"/>
    <col min="1537" max="1537" width="40.7265625" style="132" customWidth="1"/>
    <col min="1538" max="1545" width="12.7265625" style="132" customWidth="1"/>
    <col min="1546" max="1792" width="12.54296875" style="132"/>
    <col min="1793" max="1793" width="40.7265625" style="132" customWidth="1"/>
    <col min="1794" max="1801" width="12.7265625" style="132" customWidth="1"/>
    <col min="1802" max="2048" width="12.54296875" style="132"/>
    <col min="2049" max="2049" width="40.7265625" style="132" customWidth="1"/>
    <col min="2050" max="2057" width="12.7265625" style="132" customWidth="1"/>
    <col min="2058" max="2304" width="12.54296875" style="132"/>
    <col min="2305" max="2305" width="40.7265625" style="132" customWidth="1"/>
    <col min="2306" max="2313" width="12.7265625" style="132" customWidth="1"/>
    <col min="2314" max="2560" width="12.54296875" style="132"/>
    <col min="2561" max="2561" width="40.7265625" style="132" customWidth="1"/>
    <col min="2562" max="2569" width="12.7265625" style="132" customWidth="1"/>
    <col min="2570" max="2816" width="12.54296875" style="132"/>
    <col min="2817" max="2817" width="40.7265625" style="132" customWidth="1"/>
    <col min="2818" max="2825" width="12.7265625" style="132" customWidth="1"/>
    <col min="2826" max="3072" width="12.54296875" style="132"/>
    <col min="3073" max="3073" width="40.7265625" style="132" customWidth="1"/>
    <col min="3074" max="3081" width="12.7265625" style="132" customWidth="1"/>
    <col min="3082" max="3328" width="12.54296875" style="132"/>
    <col min="3329" max="3329" width="40.7265625" style="132" customWidth="1"/>
    <col min="3330" max="3337" width="12.7265625" style="132" customWidth="1"/>
    <col min="3338" max="3584" width="12.54296875" style="132"/>
    <col min="3585" max="3585" width="40.7265625" style="132" customWidth="1"/>
    <col min="3586" max="3593" width="12.7265625" style="132" customWidth="1"/>
    <col min="3594" max="3840" width="12.54296875" style="132"/>
    <col min="3841" max="3841" width="40.7265625" style="132" customWidth="1"/>
    <col min="3842" max="3849" width="12.7265625" style="132" customWidth="1"/>
    <col min="3850" max="4096" width="12.54296875" style="132"/>
    <col min="4097" max="4097" width="40.7265625" style="132" customWidth="1"/>
    <col min="4098" max="4105" width="12.7265625" style="132" customWidth="1"/>
    <col min="4106" max="4352" width="12.54296875" style="132"/>
    <col min="4353" max="4353" width="40.7265625" style="132" customWidth="1"/>
    <col min="4354" max="4361" width="12.7265625" style="132" customWidth="1"/>
    <col min="4362" max="4608" width="12.54296875" style="132"/>
    <col min="4609" max="4609" width="40.7265625" style="132" customWidth="1"/>
    <col min="4610" max="4617" width="12.7265625" style="132" customWidth="1"/>
    <col min="4618" max="4864" width="12.54296875" style="132"/>
    <col min="4865" max="4865" width="40.7265625" style="132" customWidth="1"/>
    <col min="4866" max="4873" width="12.7265625" style="132" customWidth="1"/>
    <col min="4874" max="5120" width="12.54296875" style="132"/>
    <col min="5121" max="5121" width="40.7265625" style="132" customWidth="1"/>
    <col min="5122" max="5129" width="12.7265625" style="132" customWidth="1"/>
    <col min="5130" max="5376" width="12.54296875" style="132"/>
    <col min="5377" max="5377" width="40.7265625" style="132" customWidth="1"/>
    <col min="5378" max="5385" width="12.7265625" style="132" customWidth="1"/>
    <col min="5386" max="5632" width="12.54296875" style="132"/>
    <col min="5633" max="5633" width="40.7265625" style="132" customWidth="1"/>
    <col min="5634" max="5641" width="12.7265625" style="132" customWidth="1"/>
    <col min="5642" max="5888" width="12.54296875" style="132"/>
    <col min="5889" max="5889" width="40.7265625" style="132" customWidth="1"/>
    <col min="5890" max="5897" width="12.7265625" style="132" customWidth="1"/>
    <col min="5898" max="6144" width="12.54296875" style="132"/>
    <col min="6145" max="6145" width="40.7265625" style="132" customWidth="1"/>
    <col min="6146" max="6153" width="12.7265625" style="132" customWidth="1"/>
    <col min="6154" max="6400" width="12.54296875" style="132"/>
    <col min="6401" max="6401" width="40.7265625" style="132" customWidth="1"/>
    <col min="6402" max="6409" width="12.7265625" style="132" customWidth="1"/>
    <col min="6410" max="6656" width="12.54296875" style="132"/>
    <col min="6657" max="6657" width="40.7265625" style="132" customWidth="1"/>
    <col min="6658" max="6665" width="12.7265625" style="132" customWidth="1"/>
    <col min="6666" max="6912" width="12.54296875" style="132"/>
    <col min="6913" max="6913" width="40.7265625" style="132" customWidth="1"/>
    <col min="6914" max="6921" width="12.7265625" style="132" customWidth="1"/>
    <col min="6922" max="7168" width="12.54296875" style="132"/>
    <col min="7169" max="7169" width="40.7265625" style="132" customWidth="1"/>
    <col min="7170" max="7177" width="12.7265625" style="132" customWidth="1"/>
    <col min="7178" max="7424" width="12.54296875" style="132"/>
    <col min="7425" max="7425" width="40.7265625" style="132" customWidth="1"/>
    <col min="7426" max="7433" width="12.7265625" style="132" customWidth="1"/>
    <col min="7434" max="7680" width="12.54296875" style="132"/>
    <col min="7681" max="7681" width="40.7265625" style="132" customWidth="1"/>
    <col min="7682" max="7689" width="12.7265625" style="132" customWidth="1"/>
    <col min="7690" max="7936" width="12.54296875" style="132"/>
    <col min="7937" max="7937" width="40.7265625" style="132" customWidth="1"/>
    <col min="7938" max="7945" width="12.7265625" style="132" customWidth="1"/>
    <col min="7946" max="8192" width="12.54296875" style="132"/>
    <col min="8193" max="8193" width="40.7265625" style="132" customWidth="1"/>
    <col min="8194" max="8201" width="12.7265625" style="132" customWidth="1"/>
    <col min="8202" max="8448" width="12.54296875" style="132"/>
    <col min="8449" max="8449" width="40.7265625" style="132" customWidth="1"/>
    <col min="8450" max="8457" width="12.7265625" style="132" customWidth="1"/>
    <col min="8458" max="8704" width="12.54296875" style="132"/>
    <col min="8705" max="8705" width="40.7265625" style="132" customWidth="1"/>
    <col min="8706" max="8713" width="12.7265625" style="132" customWidth="1"/>
    <col min="8714" max="8960" width="12.54296875" style="132"/>
    <col min="8961" max="8961" width="40.7265625" style="132" customWidth="1"/>
    <col min="8962" max="8969" width="12.7265625" style="132" customWidth="1"/>
    <col min="8970" max="9216" width="12.54296875" style="132"/>
    <col min="9217" max="9217" width="40.7265625" style="132" customWidth="1"/>
    <col min="9218" max="9225" width="12.7265625" style="132" customWidth="1"/>
    <col min="9226" max="9472" width="12.54296875" style="132"/>
    <col min="9473" max="9473" width="40.7265625" style="132" customWidth="1"/>
    <col min="9474" max="9481" width="12.7265625" style="132" customWidth="1"/>
    <col min="9482" max="9728" width="12.54296875" style="132"/>
    <col min="9729" max="9729" width="40.7265625" style="132" customWidth="1"/>
    <col min="9730" max="9737" width="12.7265625" style="132" customWidth="1"/>
    <col min="9738" max="9984" width="12.54296875" style="132"/>
    <col min="9985" max="9985" width="40.7265625" style="132" customWidth="1"/>
    <col min="9986" max="9993" width="12.7265625" style="132" customWidth="1"/>
    <col min="9994" max="10240" width="12.54296875" style="132"/>
    <col min="10241" max="10241" width="40.7265625" style="132" customWidth="1"/>
    <col min="10242" max="10249" width="12.7265625" style="132" customWidth="1"/>
    <col min="10250" max="10496" width="12.54296875" style="132"/>
    <col min="10497" max="10497" width="40.7265625" style="132" customWidth="1"/>
    <col min="10498" max="10505" width="12.7265625" style="132" customWidth="1"/>
    <col min="10506" max="10752" width="12.54296875" style="132"/>
    <col min="10753" max="10753" width="40.7265625" style="132" customWidth="1"/>
    <col min="10754" max="10761" width="12.7265625" style="132" customWidth="1"/>
    <col min="10762" max="11008" width="12.54296875" style="132"/>
    <col min="11009" max="11009" width="40.7265625" style="132" customWidth="1"/>
    <col min="11010" max="11017" width="12.7265625" style="132" customWidth="1"/>
    <col min="11018" max="11264" width="12.54296875" style="132"/>
    <col min="11265" max="11265" width="40.7265625" style="132" customWidth="1"/>
    <col min="11266" max="11273" width="12.7265625" style="132" customWidth="1"/>
    <col min="11274" max="11520" width="12.54296875" style="132"/>
    <col min="11521" max="11521" width="40.7265625" style="132" customWidth="1"/>
    <col min="11522" max="11529" width="12.7265625" style="132" customWidth="1"/>
    <col min="11530" max="11776" width="12.54296875" style="132"/>
    <col min="11777" max="11777" width="40.7265625" style="132" customWidth="1"/>
    <col min="11778" max="11785" width="12.7265625" style="132" customWidth="1"/>
    <col min="11786" max="12032" width="12.54296875" style="132"/>
    <col min="12033" max="12033" width="40.7265625" style="132" customWidth="1"/>
    <col min="12034" max="12041" width="12.7265625" style="132" customWidth="1"/>
    <col min="12042" max="12288" width="12.54296875" style="132"/>
    <col min="12289" max="12289" width="40.7265625" style="132" customWidth="1"/>
    <col min="12290" max="12297" width="12.7265625" style="132" customWidth="1"/>
    <col min="12298" max="12544" width="12.54296875" style="132"/>
    <col min="12545" max="12545" width="40.7265625" style="132" customWidth="1"/>
    <col min="12546" max="12553" width="12.7265625" style="132" customWidth="1"/>
    <col min="12554" max="12800" width="12.54296875" style="132"/>
    <col min="12801" max="12801" width="40.7265625" style="132" customWidth="1"/>
    <col min="12802" max="12809" width="12.7265625" style="132" customWidth="1"/>
    <col min="12810" max="13056" width="12.54296875" style="132"/>
    <col min="13057" max="13057" width="40.7265625" style="132" customWidth="1"/>
    <col min="13058" max="13065" width="12.7265625" style="132" customWidth="1"/>
    <col min="13066" max="13312" width="12.54296875" style="132"/>
    <col min="13313" max="13313" width="40.7265625" style="132" customWidth="1"/>
    <col min="13314" max="13321" width="12.7265625" style="132" customWidth="1"/>
    <col min="13322" max="13568" width="12.54296875" style="132"/>
    <col min="13569" max="13569" width="40.7265625" style="132" customWidth="1"/>
    <col min="13570" max="13577" width="12.7265625" style="132" customWidth="1"/>
    <col min="13578" max="13824" width="12.54296875" style="132"/>
    <col min="13825" max="13825" width="40.7265625" style="132" customWidth="1"/>
    <col min="13826" max="13833" width="12.7265625" style="132" customWidth="1"/>
    <col min="13834" max="14080" width="12.54296875" style="132"/>
    <col min="14081" max="14081" width="40.7265625" style="132" customWidth="1"/>
    <col min="14082" max="14089" width="12.7265625" style="132" customWidth="1"/>
    <col min="14090" max="14336" width="12.54296875" style="132"/>
    <col min="14337" max="14337" width="40.7265625" style="132" customWidth="1"/>
    <col min="14338" max="14345" width="12.7265625" style="132" customWidth="1"/>
    <col min="14346" max="14592" width="12.54296875" style="132"/>
    <col min="14593" max="14593" width="40.7265625" style="132" customWidth="1"/>
    <col min="14594" max="14601" width="12.7265625" style="132" customWidth="1"/>
    <col min="14602" max="14848" width="12.54296875" style="132"/>
    <col min="14849" max="14849" width="40.7265625" style="132" customWidth="1"/>
    <col min="14850" max="14857" width="12.7265625" style="132" customWidth="1"/>
    <col min="14858" max="15104" width="12.54296875" style="132"/>
    <col min="15105" max="15105" width="40.7265625" style="132" customWidth="1"/>
    <col min="15106" max="15113" width="12.7265625" style="132" customWidth="1"/>
    <col min="15114" max="15360" width="12.54296875" style="132"/>
    <col min="15361" max="15361" width="40.7265625" style="132" customWidth="1"/>
    <col min="15362" max="15369" width="12.7265625" style="132" customWidth="1"/>
    <col min="15370" max="15616" width="12.54296875" style="132"/>
    <col min="15617" max="15617" width="40.7265625" style="132" customWidth="1"/>
    <col min="15618" max="15625" width="12.7265625" style="132" customWidth="1"/>
    <col min="15626" max="15872" width="12.54296875" style="132"/>
    <col min="15873" max="15873" width="40.7265625" style="132" customWidth="1"/>
    <col min="15874" max="15881" width="12.7265625" style="132" customWidth="1"/>
    <col min="15882" max="16128" width="12.54296875" style="132"/>
    <col min="16129" max="16129" width="40.7265625" style="132" customWidth="1"/>
    <col min="16130" max="16137" width="12.7265625" style="132" customWidth="1"/>
    <col min="16138" max="16384" width="12.54296875" style="132"/>
  </cols>
  <sheetData>
    <row r="1" spans="1:12" ht="17">
      <c r="A1" s="130" t="str">
        <f>HLOOKUP(INDICE!$F$2,Nombres!$C$3:$D$636,82,FALSE)</f>
        <v>Eficiencia (*)</v>
      </c>
      <c r="B1" s="131"/>
      <c r="C1" s="131"/>
      <c r="D1" s="131"/>
      <c r="E1" s="131"/>
      <c r="F1" s="131"/>
      <c r="G1" s="131"/>
      <c r="H1" s="131"/>
      <c r="I1" s="131"/>
    </row>
    <row r="2" spans="1:12">
      <c r="A2" s="133" t="str">
        <f>HLOOKUP(INDICE!$F$2,Nombres!$C$3:$D$636,84,FALSE)</f>
        <v>(Porcentaje)</v>
      </c>
      <c r="B2" s="134"/>
      <c r="C2" s="134"/>
      <c r="D2" s="134"/>
      <c r="E2" s="134"/>
      <c r="F2" s="134"/>
      <c r="G2" s="134"/>
      <c r="H2" s="134"/>
      <c r="I2" s="134"/>
    </row>
    <row r="3" spans="1:12" ht="13.5">
      <c r="A3" s="135"/>
      <c r="B3" s="136">
        <f>+España!B32</f>
        <v>45016</v>
      </c>
      <c r="C3" s="136">
        <f>+España!C32</f>
        <v>45107</v>
      </c>
      <c r="D3" s="136">
        <f>+España!D32</f>
        <v>45199</v>
      </c>
      <c r="E3" s="136">
        <f>+España!E32</f>
        <v>45291</v>
      </c>
      <c r="F3" s="136">
        <f>+España!F32</f>
        <v>45382</v>
      </c>
      <c r="G3" s="136">
        <f>+España!G32</f>
        <v>45473</v>
      </c>
      <c r="H3" s="136">
        <f>+España!H32</f>
        <v>45565</v>
      </c>
      <c r="I3" s="136">
        <f>+España!I32</f>
        <v>45657</v>
      </c>
    </row>
    <row r="4" spans="1:12">
      <c r="A4" s="134"/>
      <c r="B4" s="137"/>
      <c r="C4" s="137"/>
      <c r="D4" s="137"/>
      <c r="E4" s="138"/>
      <c r="F4" s="137"/>
      <c r="G4" s="137"/>
      <c r="H4" s="134"/>
      <c r="I4" s="134"/>
    </row>
    <row r="5" spans="1:12" customFormat="1" ht="14.5">
      <c r="A5" s="18" t="str">
        <f>HLOOKUP(INDICE!$F$2,Nombres!$C$3:$D$636,276,FALSE)</f>
        <v>Grupo BBVA  (**)</v>
      </c>
      <c r="B5" s="139">
        <v>43.346369409421492</v>
      </c>
      <c r="C5" s="139">
        <v>41.973478290250135</v>
      </c>
      <c r="D5" s="139">
        <v>41.806308033403454</v>
      </c>
      <c r="E5" s="140">
        <v>41.664741411358648</v>
      </c>
      <c r="F5" s="141">
        <v>41.163561234571567</v>
      </c>
      <c r="G5" s="141">
        <v>0</v>
      </c>
      <c r="H5" s="141">
        <v>0</v>
      </c>
      <c r="I5" s="141">
        <v>0</v>
      </c>
      <c r="J5" s="142"/>
      <c r="K5" s="142"/>
    </row>
    <row r="6" spans="1:12">
      <c r="A6" s="134"/>
      <c r="B6" s="143"/>
      <c r="C6" s="143"/>
      <c r="D6" s="143"/>
      <c r="E6" s="144"/>
      <c r="F6" s="143"/>
      <c r="G6" s="143"/>
      <c r="H6" s="143"/>
      <c r="I6" s="143"/>
      <c r="J6" s="145"/>
      <c r="K6" s="145"/>
      <c r="L6" s="145"/>
    </row>
    <row r="7" spans="1:12" customFormat="1" ht="14.5">
      <c r="A7" s="7" t="str">
        <f>HLOOKUP(INDICE!$F$2,Nombres!$C$3:$D$636,7,FALSE)</f>
        <v>España</v>
      </c>
      <c r="B7" s="146">
        <v>44.40946320701353</v>
      </c>
      <c r="C7" s="146">
        <v>42.553592658741955</v>
      </c>
      <c r="D7" s="146">
        <v>40.098269343657982</v>
      </c>
      <c r="E7" s="147">
        <v>40.507909301825023</v>
      </c>
      <c r="F7" s="148">
        <v>37.829800340620864</v>
      </c>
      <c r="G7" s="148">
        <v>0</v>
      </c>
      <c r="H7" s="148">
        <v>0</v>
      </c>
      <c r="I7" s="148">
        <v>0</v>
      </c>
      <c r="J7" s="142"/>
      <c r="K7" s="142"/>
    </row>
    <row r="8" spans="1:12" ht="14.25" customHeight="1">
      <c r="A8" s="134"/>
      <c r="B8" s="143"/>
      <c r="C8" s="143"/>
      <c r="D8" s="143"/>
      <c r="E8" s="144"/>
      <c r="F8" s="143"/>
      <c r="G8" s="143"/>
      <c r="H8" s="143"/>
      <c r="I8" s="143"/>
      <c r="J8" s="149"/>
      <c r="K8" s="145"/>
      <c r="L8" s="145"/>
    </row>
    <row r="9" spans="1:12" ht="14.25" customHeight="1">
      <c r="A9" s="7" t="str">
        <f>HLOOKUP(INDICE!$F$2,Nombres!$C$3:$D$636,11,FALSE)</f>
        <v>México</v>
      </c>
      <c r="B9" s="146">
        <v>30.115107205550455</v>
      </c>
      <c r="C9" s="146">
        <v>30.587652688052447</v>
      </c>
      <c r="D9" s="146">
        <v>30.522892526981433</v>
      </c>
      <c r="E9" s="147">
        <v>30.941337688277272</v>
      </c>
      <c r="F9" s="148">
        <v>30.093921488298982</v>
      </c>
      <c r="G9" s="148">
        <v>0</v>
      </c>
      <c r="H9" s="148">
        <v>0</v>
      </c>
      <c r="I9" s="148">
        <v>0</v>
      </c>
      <c r="J9" s="149"/>
      <c r="K9" s="145"/>
      <c r="L9" s="145"/>
    </row>
    <row r="10" spans="1:12" ht="14.25" customHeight="1">
      <c r="A10" s="134"/>
      <c r="B10" s="143"/>
      <c r="C10" s="143"/>
      <c r="D10" s="143"/>
      <c r="E10" s="144"/>
      <c r="F10" s="143"/>
      <c r="G10" s="143"/>
      <c r="H10" s="143"/>
      <c r="I10" s="143"/>
      <c r="J10" s="149"/>
      <c r="K10" s="145"/>
      <c r="L10" s="145"/>
    </row>
    <row r="11" spans="1:12" customFormat="1" ht="14.5">
      <c r="A11" s="7" t="str">
        <f>HLOOKUP(INDICE!$F$2,Nombres!$C$3:$D$636,12,FALSE)</f>
        <v xml:space="preserve">Turquía </v>
      </c>
      <c r="B11" s="146">
        <v>49.785403548694305</v>
      </c>
      <c r="C11" s="146">
        <v>40.009121039447784</v>
      </c>
      <c r="D11" s="146">
        <v>45.343942626898418</v>
      </c>
      <c r="E11" s="147">
        <v>47.031929694005179</v>
      </c>
      <c r="F11" s="148">
        <v>49.532380964246386</v>
      </c>
      <c r="G11" s="148">
        <v>0</v>
      </c>
      <c r="H11" s="148">
        <v>0</v>
      </c>
      <c r="I11" s="148">
        <v>0</v>
      </c>
      <c r="J11" s="142"/>
      <c r="K11" s="142"/>
    </row>
    <row r="12" spans="1:12" ht="14.25" customHeight="1">
      <c r="A12" s="134"/>
      <c r="B12" s="143"/>
      <c r="C12" s="143"/>
      <c r="D12" s="143"/>
      <c r="E12" s="144"/>
      <c r="F12" s="143"/>
      <c r="G12" s="143"/>
      <c r="H12" s="143"/>
      <c r="I12" s="143"/>
      <c r="J12" s="145"/>
      <c r="K12" s="145"/>
      <c r="L12" s="145"/>
    </row>
    <row r="13" spans="1:12" customFormat="1" ht="14.5">
      <c r="A13" s="7" t="str">
        <f>HLOOKUP(INDICE!$F$2,Nombres!$C$3:$D$636,13,FALSE)</f>
        <v xml:space="preserve">América del Sur </v>
      </c>
      <c r="B13" s="146">
        <v>45.735953685668086</v>
      </c>
      <c r="C13" s="146">
        <v>45.179777471382607</v>
      </c>
      <c r="D13" s="146">
        <v>47.227175403621402</v>
      </c>
      <c r="E13" s="147">
        <v>45.032729226912522</v>
      </c>
      <c r="F13" s="148">
        <v>49.996487555626487</v>
      </c>
      <c r="G13" s="148">
        <v>0</v>
      </c>
      <c r="H13" s="148">
        <v>0</v>
      </c>
      <c r="I13" s="148">
        <v>0</v>
      </c>
      <c r="J13" s="142"/>
      <c r="K13" s="142"/>
    </row>
    <row r="14" spans="1:12">
      <c r="A14" s="134"/>
      <c r="B14" s="143"/>
      <c r="C14" s="143"/>
      <c r="D14" s="143"/>
      <c r="E14" s="144"/>
      <c r="F14" s="143"/>
      <c r="G14" s="143"/>
      <c r="H14" s="143"/>
      <c r="I14" s="143"/>
      <c r="J14" s="145"/>
      <c r="K14" s="145"/>
      <c r="L14" s="145"/>
    </row>
    <row r="15" spans="1:12">
      <c r="A15" s="7" t="str">
        <f>HLOOKUP(INDICE!$F$2,Nombres!$C$3:$D$636,263,FALSE)</f>
        <v>Resto de Negocios</v>
      </c>
      <c r="B15" s="146">
        <v>52.130604089705948</v>
      </c>
      <c r="C15" s="146">
        <v>48.141267521766693</v>
      </c>
      <c r="D15" s="146">
        <v>49.373687016629255</v>
      </c>
      <c r="E15" s="147">
        <v>53.120586884249086</v>
      </c>
      <c r="F15" s="148">
        <v>47.590250238961723</v>
      </c>
      <c r="G15" s="148">
        <v>0</v>
      </c>
      <c r="H15" s="148">
        <v>0</v>
      </c>
      <c r="I15" s="148">
        <v>0</v>
      </c>
    </row>
    <row r="16" spans="1:12">
      <c r="A16" s="134"/>
      <c r="B16" s="150"/>
      <c r="C16" s="150"/>
      <c r="D16" s="150"/>
      <c r="E16" s="150"/>
      <c r="F16" s="150"/>
      <c r="G16" s="150"/>
      <c r="H16" s="134"/>
      <c r="I16" s="151"/>
      <c r="J16" s="145"/>
      <c r="K16" s="145"/>
      <c r="L16" s="145"/>
    </row>
    <row r="17" spans="1:12">
      <c r="A17" s="20" t="str">
        <f>HLOOKUP(INDICE!$F$2,Nombres!$C$3:$D$636,83,FALSE)</f>
        <v>(*) Gastos de explotación / Margen bruto. Incluye amortizaciones</v>
      </c>
      <c r="B17" s="134"/>
      <c r="C17" s="134"/>
      <c r="D17" s="134"/>
      <c r="E17" s="134"/>
      <c r="F17" s="134"/>
      <c r="G17" s="134"/>
      <c r="H17" s="134"/>
      <c r="I17" s="151"/>
      <c r="J17" s="145"/>
      <c r="K17" s="145"/>
      <c r="L17" s="145"/>
    </row>
    <row r="18" spans="1:12">
      <c r="A18" s="152"/>
      <c r="B18" s="152"/>
      <c r="C18" s="152"/>
      <c r="D18" s="152"/>
      <c r="E18" s="152"/>
      <c r="F18" s="152"/>
      <c r="G18" s="152"/>
      <c r="H18" s="152"/>
      <c r="I18" s="153"/>
      <c r="J18" s="145"/>
      <c r="K18" s="145"/>
      <c r="L18" s="145"/>
    </row>
    <row r="19" spans="1:12">
      <c r="A19" s="20"/>
      <c r="B19" s="152"/>
      <c r="C19" s="152"/>
      <c r="D19" s="152"/>
      <c r="E19" s="152"/>
      <c r="F19" s="152"/>
      <c r="G19" s="152"/>
      <c r="H19" s="152"/>
      <c r="I19" s="152"/>
    </row>
    <row r="998" spans="1:1">
      <c r="A998" s="132" t="s">
        <v>550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94"/>
  <sheetViews>
    <sheetView showGridLines="0" workbookViewId="0">
      <selection activeCell="A41" sqref="A41"/>
    </sheetView>
  </sheetViews>
  <sheetFormatPr baseColWidth="10" defaultColWidth="12.54296875" defaultRowHeight="12.5"/>
  <cols>
    <col min="1" max="1" width="45.7265625" style="199" customWidth="1"/>
    <col min="2" max="6" width="10.81640625" style="132" customWidth="1" collapsed="1"/>
    <col min="7" max="7" width="10.81640625" style="132" hidden="1" customWidth="1"/>
    <col min="8" max="9" width="10.81640625" style="155" hidden="1" customWidth="1"/>
    <col min="10" max="11" width="9.54296875" style="155" customWidth="1"/>
    <col min="12" max="256" width="12.54296875" style="155"/>
    <col min="257" max="257" width="45.7265625" style="155" customWidth="1"/>
    <col min="258" max="265" width="12.7265625" style="155" customWidth="1"/>
    <col min="266" max="267" width="9.54296875" style="155" customWidth="1"/>
    <col min="268" max="512" width="12.54296875" style="155"/>
    <col min="513" max="513" width="45.7265625" style="155" customWidth="1"/>
    <col min="514" max="521" width="12.7265625" style="155" customWidth="1"/>
    <col min="522" max="523" width="9.54296875" style="155" customWidth="1"/>
    <col min="524" max="768" width="12.54296875" style="155"/>
    <col min="769" max="769" width="45.7265625" style="155" customWidth="1"/>
    <col min="770" max="777" width="12.7265625" style="155" customWidth="1"/>
    <col min="778" max="779" width="9.54296875" style="155" customWidth="1"/>
    <col min="780" max="1024" width="12.54296875" style="155"/>
    <col min="1025" max="1025" width="45.7265625" style="155" customWidth="1"/>
    <col min="1026" max="1033" width="12.7265625" style="155" customWidth="1"/>
    <col min="1034" max="1035" width="9.54296875" style="155" customWidth="1"/>
    <col min="1036" max="1280" width="12.54296875" style="155"/>
    <col min="1281" max="1281" width="45.7265625" style="155" customWidth="1"/>
    <col min="1282" max="1289" width="12.7265625" style="155" customWidth="1"/>
    <col min="1290" max="1291" width="9.54296875" style="155" customWidth="1"/>
    <col min="1292" max="1536" width="12.54296875" style="155"/>
    <col min="1537" max="1537" width="45.7265625" style="155" customWidth="1"/>
    <col min="1538" max="1545" width="12.7265625" style="155" customWidth="1"/>
    <col min="1546" max="1547" width="9.54296875" style="155" customWidth="1"/>
    <col min="1548" max="1792" width="12.54296875" style="155"/>
    <col min="1793" max="1793" width="45.7265625" style="155" customWidth="1"/>
    <col min="1794" max="1801" width="12.7265625" style="155" customWidth="1"/>
    <col min="1802" max="1803" width="9.54296875" style="155" customWidth="1"/>
    <col min="1804" max="2048" width="12.54296875" style="155"/>
    <col min="2049" max="2049" width="45.7265625" style="155" customWidth="1"/>
    <col min="2050" max="2057" width="12.7265625" style="155" customWidth="1"/>
    <col min="2058" max="2059" width="9.54296875" style="155" customWidth="1"/>
    <col min="2060" max="2304" width="12.54296875" style="155"/>
    <col min="2305" max="2305" width="45.7265625" style="155" customWidth="1"/>
    <col min="2306" max="2313" width="12.7265625" style="155" customWidth="1"/>
    <col min="2314" max="2315" width="9.54296875" style="155" customWidth="1"/>
    <col min="2316" max="2560" width="12.54296875" style="155"/>
    <col min="2561" max="2561" width="45.7265625" style="155" customWidth="1"/>
    <col min="2562" max="2569" width="12.7265625" style="155" customWidth="1"/>
    <col min="2570" max="2571" width="9.54296875" style="155" customWidth="1"/>
    <col min="2572" max="2816" width="12.54296875" style="155"/>
    <col min="2817" max="2817" width="45.7265625" style="155" customWidth="1"/>
    <col min="2818" max="2825" width="12.7265625" style="155" customWidth="1"/>
    <col min="2826" max="2827" width="9.54296875" style="155" customWidth="1"/>
    <col min="2828" max="3072" width="12.54296875" style="155"/>
    <col min="3073" max="3073" width="45.7265625" style="155" customWidth="1"/>
    <col min="3074" max="3081" width="12.7265625" style="155" customWidth="1"/>
    <col min="3082" max="3083" width="9.54296875" style="155" customWidth="1"/>
    <col min="3084" max="3328" width="12.54296875" style="155"/>
    <col min="3329" max="3329" width="45.7265625" style="155" customWidth="1"/>
    <col min="3330" max="3337" width="12.7265625" style="155" customWidth="1"/>
    <col min="3338" max="3339" width="9.54296875" style="155" customWidth="1"/>
    <col min="3340" max="3584" width="12.54296875" style="155"/>
    <col min="3585" max="3585" width="45.7265625" style="155" customWidth="1"/>
    <col min="3586" max="3593" width="12.7265625" style="155" customWidth="1"/>
    <col min="3594" max="3595" width="9.54296875" style="155" customWidth="1"/>
    <col min="3596" max="3840" width="12.54296875" style="155"/>
    <col min="3841" max="3841" width="45.7265625" style="155" customWidth="1"/>
    <col min="3842" max="3849" width="12.7265625" style="155" customWidth="1"/>
    <col min="3850" max="3851" width="9.54296875" style="155" customWidth="1"/>
    <col min="3852" max="4096" width="12.54296875" style="155"/>
    <col min="4097" max="4097" width="45.7265625" style="155" customWidth="1"/>
    <col min="4098" max="4105" width="12.7265625" style="155" customWidth="1"/>
    <col min="4106" max="4107" width="9.54296875" style="155" customWidth="1"/>
    <col min="4108" max="4352" width="12.54296875" style="155"/>
    <col min="4353" max="4353" width="45.7265625" style="155" customWidth="1"/>
    <col min="4354" max="4361" width="12.7265625" style="155" customWidth="1"/>
    <col min="4362" max="4363" width="9.54296875" style="155" customWidth="1"/>
    <col min="4364" max="4608" width="12.54296875" style="155"/>
    <col min="4609" max="4609" width="45.7265625" style="155" customWidth="1"/>
    <col min="4610" max="4617" width="12.7265625" style="155" customWidth="1"/>
    <col min="4618" max="4619" width="9.54296875" style="155" customWidth="1"/>
    <col min="4620" max="4864" width="12.54296875" style="155"/>
    <col min="4865" max="4865" width="45.7265625" style="155" customWidth="1"/>
    <col min="4866" max="4873" width="12.7265625" style="155" customWidth="1"/>
    <col min="4874" max="4875" width="9.54296875" style="155" customWidth="1"/>
    <col min="4876" max="5120" width="12.54296875" style="155"/>
    <col min="5121" max="5121" width="45.7265625" style="155" customWidth="1"/>
    <col min="5122" max="5129" width="12.7265625" style="155" customWidth="1"/>
    <col min="5130" max="5131" width="9.54296875" style="155" customWidth="1"/>
    <col min="5132" max="5376" width="12.54296875" style="155"/>
    <col min="5377" max="5377" width="45.7265625" style="155" customWidth="1"/>
    <col min="5378" max="5385" width="12.7265625" style="155" customWidth="1"/>
    <col min="5386" max="5387" width="9.54296875" style="155" customWidth="1"/>
    <col min="5388" max="5632" width="12.54296875" style="155"/>
    <col min="5633" max="5633" width="45.7265625" style="155" customWidth="1"/>
    <col min="5634" max="5641" width="12.7265625" style="155" customWidth="1"/>
    <col min="5642" max="5643" width="9.54296875" style="155" customWidth="1"/>
    <col min="5644" max="5888" width="12.54296875" style="155"/>
    <col min="5889" max="5889" width="45.7265625" style="155" customWidth="1"/>
    <col min="5890" max="5897" width="12.7265625" style="155" customWidth="1"/>
    <col min="5898" max="5899" width="9.54296875" style="155" customWidth="1"/>
    <col min="5900" max="6144" width="12.54296875" style="155"/>
    <col min="6145" max="6145" width="45.7265625" style="155" customWidth="1"/>
    <col min="6146" max="6153" width="12.7265625" style="155" customWidth="1"/>
    <col min="6154" max="6155" width="9.54296875" style="155" customWidth="1"/>
    <col min="6156" max="6400" width="12.54296875" style="155"/>
    <col min="6401" max="6401" width="45.7265625" style="155" customWidth="1"/>
    <col min="6402" max="6409" width="12.7265625" style="155" customWidth="1"/>
    <col min="6410" max="6411" width="9.54296875" style="155" customWidth="1"/>
    <col min="6412" max="6656" width="12.54296875" style="155"/>
    <col min="6657" max="6657" width="45.7265625" style="155" customWidth="1"/>
    <col min="6658" max="6665" width="12.7265625" style="155" customWidth="1"/>
    <col min="6666" max="6667" width="9.54296875" style="155" customWidth="1"/>
    <col min="6668" max="6912" width="12.54296875" style="155"/>
    <col min="6913" max="6913" width="45.7265625" style="155" customWidth="1"/>
    <col min="6914" max="6921" width="12.7265625" style="155" customWidth="1"/>
    <col min="6922" max="6923" width="9.54296875" style="155" customWidth="1"/>
    <col min="6924" max="7168" width="12.54296875" style="155"/>
    <col min="7169" max="7169" width="45.7265625" style="155" customWidth="1"/>
    <col min="7170" max="7177" width="12.7265625" style="155" customWidth="1"/>
    <col min="7178" max="7179" width="9.54296875" style="155" customWidth="1"/>
    <col min="7180" max="7424" width="12.54296875" style="155"/>
    <col min="7425" max="7425" width="45.7265625" style="155" customWidth="1"/>
    <col min="7426" max="7433" width="12.7265625" style="155" customWidth="1"/>
    <col min="7434" max="7435" width="9.54296875" style="155" customWidth="1"/>
    <col min="7436" max="7680" width="12.54296875" style="155"/>
    <col min="7681" max="7681" width="45.7265625" style="155" customWidth="1"/>
    <col min="7682" max="7689" width="12.7265625" style="155" customWidth="1"/>
    <col min="7690" max="7691" width="9.54296875" style="155" customWidth="1"/>
    <col min="7692" max="7936" width="12.54296875" style="155"/>
    <col min="7937" max="7937" width="45.7265625" style="155" customWidth="1"/>
    <col min="7938" max="7945" width="12.7265625" style="155" customWidth="1"/>
    <col min="7946" max="7947" width="9.54296875" style="155" customWidth="1"/>
    <col min="7948" max="8192" width="12.54296875" style="155"/>
    <col min="8193" max="8193" width="45.7265625" style="155" customWidth="1"/>
    <col min="8194" max="8201" width="12.7265625" style="155" customWidth="1"/>
    <col min="8202" max="8203" width="9.54296875" style="155" customWidth="1"/>
    <col min="8204" max="8448" width="12.54296875" style="155"/>
    <col min="8449" max="8449" width="45.7265625" style="155" customWidth="1"/>
    <col min="8450" max="8457" width="12.7265625" style="155" customWidth="1"/>
    <col min="8458" max="8459" width="9.54296875" style="155" customWidth="1"/>
    <col min="8460" max="8704" width="12.54296875" style="155"/>
    <col min="8705" max="8705" width="45.7265625" style="155" customWidth="1"/>
    <col min="8706" max="8713" width="12.7265625" style="155" customWidth="1"/>
    <col min="8714" max="8715" width="9.54296875" style="155" customWidth="1"/>
    <col min="8716" max="8960" width="12.54296875" style="155"/>
    <col min="8961" max="8961" width="45.7265625" style="155" customWidth="1"/>
    <col min="8962" max="8969" width="12.7265625" style="155" customWidth="1"/>
    <col min="8970" max="8971" width="9.54296875" style="155" customWidth="1"/>
    <col min="8972" max="9216" width="12.54296875" style="155"/>
    <col min="9217" max="9217" width="45.7265625" style="155" customWidth="1"/>
    <col min="9218" max="9225" width="12.7265625" style="155" customWidth="1"/>
    <col min="9226" max="9227" width="9.54296875" style="155" customWidth="1"/>
    <col min="9228" max="9472" width="12.54296875" style="155"/>
    <col min="9473" max="9473" width="45.7265625" style="155" customWidth="1"/>
    <col min="9474" max="9481" width="12.7265625" style="155" customWidth="1"/>
    <col min="9482" max="9483" width="9.54296875" style="155" customWidth="1"/>
    <col min="9484" max="9728" width="12.54296875" style="155"/>
    <col min="9729" max="9729" width="45.7265625" style="155" customWidth="1"/>
    <col min="9730" max="9737" width="12.7265625" style="155" customWidth="1"/>
    <col min="9738" max="9739" width="9.54296875" style="155" customWidth="1"/>
    <col min="9740" max="9984" width="12.54296875" style="155"/>
    <col min="9985" max="9985" width="45.7265625" style="155" customWidth="1"/>
    <col min="9986" max="9993" width="12.7265625" style="155" customWidth="1"/>
    <col min="9994" max="9995" width="9.54296875" style="155" customWidth="1"/>
    <col min="9996" max="10240" width="12.54296875" style="155"/>
    <col min="10241" max="10241" width="45.7265625" style="155" customWidth="1"/>
    <col min="10242" max="10249" width="12.7265625" style="155" customWidth="1"/>
    <col min="10250" max="10251" width="9.54296875" style="155" customWidth="1"/>
    <col min="10252" max="10496" width="12.54296875" style="155"/>
    <col min="10497" max="10497" width="45.7265625" style="155" customWidth="1"/>
    <col min="10498" max="10505" width="12.7265625" style="155" customWidth="1"/>
    <col min="10506" max="10507" width="9.54296875" style="155" customWidth="1"/>
    <col min="10508" max="10752" width="12.54296875" style="155"/>
    <col min="10753" max="10753" width="45.7265625" style="155" customWidth="1"/>
    <col min="10754" max="10761" width="12.7265625" style="155" customWidth="1"/>
    <col min="10762" max="10763" width="9.54296875" style="155" customWidth="1"/>
    <col min="10764" max="11008" width="12.54296875" style="155"/>
    <col min="11009" max="11009" width="45.7265625" style="155" customWidth="1"/>
    <col min="11010" max="11017" width="12.7265625" style="155" customWidth="1"/>
    <col min="11018" max="11019" width="9.54296875" style="155" customWidth="1"/>
    <col min="11020" max="11264" width="12.54296875" style="155"/>
    <col min="11265" max="11265" width="45.7265625" style="155" customWidth="1"/>
    <col min="11266" max="11273" width="12.7265625" style="155" customWidth="1"/>
    <col min="11274" max="11275" width="9.54296875" style="155" customWidth="1"/>
    <col min="11276" max="11520" width="12.54296875" style="155"/>
    <col min="11521" max="11521" width="45.7265625" style="155" customWidth="1"/>
    <col min="11522" max="11529" width="12.7265625" style="155" customWidth="1"/>
    <col min="11530" max="11531" width="9.54296875" style="155" customWidth="1"/>
    <col min="11532" max="11776" width="12.54296875" style="155"/>
    <col min="11777" max="11777" width="45.7265625" style="155" customWidth="1"/>
    <col min="11778" max="11785" width="12.7265625" style="155" customWidth="1"/>
    <col min="11786" max="11787" width="9.54296875" style="155" customWidth="1"/>
    <col min="11788" max="12032" width="12.54296875" style="155"/>
    <col min="12033" max="12033" width="45.7265625" style="155" customWidth="1"/>
    <col min="12034" max="12041" width="12.7265625" style="155" customWidth="1"/>
    <col min="12042" max="12043" width="9.54296875" style="155" customWidth="1"/>
    <col min="12044" max="12288" width="12.54296875" style="155"/>
    <col min="12289" max="12289" width="45.7265625" style="155" customWidth="1"/>
    <col min="12290" max="12297" width="12.7265625" style="155" customWidth="1"/>
    <col min="12298" max="12299" width="9.54296875" style="155" customWidth="1"/>
    <col min="12300" max="12544" width="12.54296875" style="155"/>
    <col min="12545" max="12545" width="45.7265625" style="155" customWidth="1"/>
    <col min="12546" max="12553" width="12.7265625" style="155" customWidth="1"/>
    <col min="12554" max="12555" width="9.54296875" style="155" customWidth="1"/>
    <col min="12556" max="12800" width="12.54296875" style="155"/>
    <col min="12801" max="12801" width="45.7265625" style="155" customWidth="1"/>
    <col min="12802" max="12809" width="12.7265625" style="155" customWidth="1"/>
    <col min="12810" max="12811" width="9.54296875" style="155" customWidth="1"/>
    <col min="12812" max="13056" width="12.54296875" style="155"/>
    <col min="13057" max="13057" width="45.7265625" style="155" customWidth="1"/>
    <col min="13058" max="13065" width="12.7265625" style="155" customWidth="1"/>
    <col min="13066" max="13067" width="9.54296875" style="155" customWidth="1"/>
    <col min="13068" max="13312" width="12.54296875" style="155"/>
    <col min="13313" max="13313" width="45.7265625" style="155" customWidth="1"/>
    <col min="13314" max="13321" width="12.7265625" style="155" customWidth="1"/>
    <col min="13322" max="13323" width="9.54296875" style="155" customWidth="1"/>
    <col min="13324" max="13568" width="12.54296875" style="155"/>
    <col min="13569" max="13569" width="45.7265625" style="155" customWidth="1"/>
    <col min="13570" max="13577" width="12.7265625" style="155" customWidth="1"/>
    <col min="13578" max="13579" width="9.54296875" style="155" customWidth="1"/>
    <col min="13580" max="13824" width="12.54296875" style="155"/>
    <col min="13825" max="13825" width="45.7265625" style="155" customWidth="1"/>
    <col min="13826" max="13833" width="12.7265625" style="155" customWidth="1"/>
    <col min="13834" max="13835" width="9.54296875" style="155" customWidth="1"/>
    <col min="13836" max="14080" width="12.54296875" style="155"/>
    <col min="14081" max="14081" width="45.7265625" style="155" customWidth="1"/>
    <col min="14082" max="14089" width="12.7265625" style="155" customWidth="1"/>
    <col min="14090" max="14091" width="9.54296875" style="155" customWidth="1"/>
    <col min="14092" max="14336" width="12.54296875" style="155"/>
    <col min="14337" max="14337" width="45.7265625" style="155" customWidth="1"/>
    <col min="14338" max="14345" width="12.7265625" style="155" customWidth="1"/>
    <col min="14346" max="14347" width="9.54296875" style="155" customWidth="1"/>
    <col min="14348" max="14592" width="12.54296875" style="155"/>
    <col min="14593" max="14593" width="45.7265625" style="155" customWidth="1"/>
    <col min="14594" max="14601" width="12.7265625" style="155" customWidth="1"/>
    <col min="14602" max="14603" width="9.54296875" style="155" customWidth="1"/>
    <col min="14604" max="14848" width="12.54296875" style="155"/>
    <col min="14849" max="14849" width="45.7265625" style="155" customWidth="1"/>
    <col min="14850" max="14857" width="12.7265625" style="155" customWidth="1"/>
    <col min="14858" max="14859" width="9.54296875" style="155" customWidth="1"/>
    <col min="14860" max="15104" width="12.54296875" style="155"/>
    <col min="15105" max="15105" width="45.7265625" style="155" customWidth="1"/>
    <col min="15106" max="15113" width="12.7265625" style="155" customWidth="1"/>
    <col min="15114" max="15115" width="9.54296875" style="155" customWidth="1"/>
    <col min="15116" max="15360" width="12.54296875" style="155"/>
    <col min="15361" max="15361" width="45.7265625" style="155" customWidth="1"/>
    <col min="15362" max="15369" width="12.7265625" style="155" customWidth="1"/>
    <col min="15370" max="15371" width="9.54296875" style="155" customWidth="1"/>
    <col min="15372" max="15616" width="12.54296875" style="155"/>
    <col min="15617" max="15617" width="45.7265625" style="155" customWidth="1"/>
    <col min="15618" max="15625" width="12.7265625" style="155" customWidth="1"/>
    <col min="15626" max="15627" width="9.54296875" style="155" customWidth="1"/>
    <col min="15628" max="15872" width="12.54296875" style="155"/>
    <col min="15873" max="15873" width="45.7265625" style="155" customWidth="1"/>
    <col min="15874" max="15881" width="12.7265625" style="155" customWidth="1"/>
    <col min="15882" max="15883" width="9.54296875" style="155" customWidth="1"/>
    <col min="15884" max="16128" width="12.54296875" style="155"/>
    <col min="16129" max="16129" width="45.7265625" style="155" customWidth="1"/>
    <col min="16130" max="16137" width="12.7265625" style="155" customWidth="1"/>
    <col min="16138" max="16139" width="9.54296875" style="155" customWidth="1"/>
    <col min="16140" max="16384" width="12.54296875" style="155"/>
  </cols>
  <sheetData>
    <row r="1" spans="1:11" ht="19.5">
      <c r="A1" s="130" t="str">
        <f>HLOOKUP(INDICE!$F$2,Nombres!$C$3:$D$636,85,FALSE)</f>
        <v>Tasa de mora</v>
      </c>
      <c r="B1" s="154"/>
      <c r="C1" s="154"/>
      <c r="D1" s="154"/>
      <c r="E1" s="154"/>
      <c r="F1" s="154"/>
      <c r="G1" s="131"/>
      <c r="H1" s="131"/>
      <c r="I1" s="131"/>
    </row>
    <row r="2" spans="1:11" ht="14.25" customHeight="1">
      <c r="A2" s="133" t="str">
        <f>HLOOKUP(INDICE!$F$2,Nombres!$C$3:$D$636,84,FALSE)</f>
        <v>(Porcentaje)</v>
      </c>
      <c r="B2" s="134"/>
      <c r="C2" s="134"/>
      <c r="D2" s="134"/>
      <c r="E2" s="134"/>
      <c r="F2" s="134"/>
      <c r="G2" s="134"/>
      <c r="H2" s="134"/>
      <c r="I2" s="134"/>
    </row>
    <row r="3" spans="1:11" ht="13.5">
      <c r="A3" s="134"/>
      <c r="B3" s="156">
        <f>+España!B$32</f>
        <v>45016</v>
      </c>
      <c r="C3" s="156">
        <f>+España!C$32</f>
        <v>45107</v>
      </c>
      <c r="D3" s="156">
        <f>+España!D$32</f>
        <v>45199</v>
      </c>
      <c r="E3" s="156">
        <f>+España!E$32</f>
        <v>45291</v>
      </c>
      <c r="F3" s="156">
        <f>+España!F$32</f>
        <v>45382</v>
      </c>
      <c r="G3" s="156">
        <f>+España!G$32</f>
        <v>45473</v>
      </c>
      <c r="H3" s="156">
        <f>+España!H$32</f>
        <v>45565</v>
      </c>
      <c r="I3" s="156">
        <f>+España!I$32</f>
        <v>45657</v>
      </c>
    </row>
    <row r="4" spans="1:11" ht="6.75" customHeight="1">
      <c r="A4" s="134"/>
      <c r="B4" s="137"/>
      <c r="C4" s="137"/>
      <c r="D4" s="134"/>
      <c r="E4" s="157"/>
      <c r="F4" s="137"/>
      <c r="G4" s="137"/>
      <c r="H4" s="134"/>
      <c r="I4" s="134"/>
    </row>
    <row r="5" spans="1:11" customFormat="1" ht="14.5">
      <c r="A5" s="18" t="str">
        <f>HLOOKUP(INDICE!$F$2,Nombres!$C$3:$D$636,275,FALSE)</f>
        <v>Grupo BBVA  (*)</v>
      </c>
      <c r="B5" s="139">
        <v>3.3007497365772789</v>
      </c>
      <c r="C5" s="139">
        <v>3.3681816396138924</v>
      </c>
      <c r="D5" s="139">
        <v>3.3404294018556615</v>
      </c>
      <c r="E5" s="140">
        <v>3.4099588627857198</v>
      </c>
      <c r="F5" s="139">
        <v>3.3984504861761287</v>
      </c>
      <c r="G5" s="141">
        <v>0</v>
      </c>
      <c r="H5" s="141">
        <v>0</v>
      </c>
      <c r="I5" s="141">
        <v>0</v>
      </c>
      <c r="J5" s="158"/>
      <c r="K5" s="159"/>
    </row>
    <row r="6" spans="1:11" s="160" customFormat="1" ht="6.75" customHeight="1">
      <c r="A6" s="134"/>
      <c r="B6" s="143"/>
      <c r="C6" s="143"/>
      <c r="D6" s="143"/>
      <c r="E6" s="144"/>
      <c r="F6" s="143"/>
      <c r="G6" s="143"/>
      <c r="H6" s="143"/>
      <c r="I6" s="143"/>
      <c r="J6" s="158"/>
      <c r="K6" s="159"/>
    </row>
    <row r="7" spans="1:11" customFormat="1" ht="14.5">
      <c r="A7" s="7" t="str">
        <f>HLOOKUP(INDICE!$F$2,Nombres!$C$3:$D$636,7,FALSE)</f>
        <v>España</v>
      </c>
      <c r="B7" s="146">
        <v>3.8913949634903133</v>
      </c>
      <c r="C7" s="146">
        <v>4.0442982598718817</v>
      </c>
      <c r="D7" s="146">
        <v>3.9699841376147673</v>
      </c>
      <c r="E7" s="147">
        <v>4.0962565389389871</v>
      </c>
      <c r="F7" s="146">
        <v>4.1135105798226625</v>
      </c>
      <c r="G7" s="148">
        <v>0</v>
      </c>
      <c r="H7" s="148">
        <v>0</v>
      </c>
      <c r="I7" s="148">
        <v>0</v>
      </c>
      <c r="J7" s="158"/>
      <c r="K7" s="159"/>
    </row>
    <row r="8" spans="1:11" ht="6" customHeight="1">
      <c r="A8" s="134"/>
      <c r="B8" s="143"/>
      <c r="C8" s="143"/>
      <c r="D8" s="143"/>
      <c r="E8" s="144"/>
      <c r="F8" s="143"/>
      <c r="G8" s="143"/>
      <c r="H8" s="143"/>
      <c r="I8" s="143"/>
      <c r="J8" s="158"/>
      <c r="K8" s="161"/>
    </row>
    <row r="9" spans="1:11" ht="14.5">
      <c r="A9" s="7" t="str">
        <f>HLOOKUP(INDICE!$F$2,Nombres!$C$3:$D$636,11,FALSE)</f>
        <v>México</v>
      </c>
      <c r="B9" s="146">
        <v>2.3333530903875235</v>
      </c>
      <c r="C9" s="146">
        <v>2.466013262493771</v>
      </c>
      <c r="D9" s="146">
        <v>2.5548160169240899</v>
      </c>
      <c r="E9" s="147">
        <v>2.6081906311057015</v>
      </c>
      <c r="F9" s="146">
        <v>2.6768109236494886</v>
      </c>
      <c r="G9" s="148">
        <v>0</v>
      </c>
      <c r="H9" s="148">
        <v>0</v>
      </c>
      <c r="I9" s="148">
        <v>0</v>
      </c>
      <c r="J9" s="158"/>
      <c r="K9" s="161"/>
    </row>
    <row r="10" spans="1:11" ht="6" customHeight="1">
      <c r="A10" s="134"/>
      <c r="B10" s="143"/>
      <c r="C10" s="143"/>
      <c r="D10" s="143"/>
      <c r="E10" s="144"/>
      <c r="F10" s="143"/>
      <c r="G10" s="143"/>
      <c r="H10" s="143"/>
      <c r="I10" s="143"/>
      <c r="J10" s="158"/>
      <c r="K10" s="161"/>
    </row>
    <row r="11" spans="1:11" customFormat="1" ht="14.5">
      <c r="A11" s="7" t="str">
        <f>HLOOKUP(INDICE!$F$2,Nombres!$C$3:$D$636,12,FALSE)</f>
        <v xml:space="preserve">Turquía </v>
      </c>
      <c r="B11" s="146">
        <v>4.3094744169425256</v>
      </c>
      <c r="C11" s="146">
        <v>4.1897697481609999</v>
      </c>
      <c r="D11" s="146">
        <v>3.8270099722481299</v>
      </c>
      <c r="E11" s="147">
        <v>3.7950683998186996</v>
      </c>
      <c r="F11" s="146">
        <v>3.4314633012220006</v>
      </c>
      <c r="G11" s="148">
        <v>0</v>
      </c>
      <c r="H11" s="148">
        <v>0</v>
      </c>
      <c r="I11" s="148">
        <v>0</v>
      </c>
      <c r="J11" s="158"/>
    </row>
    <row r="12" spans="1:11" ht="6" customHeight="1">
      <c r="A12" s="134"/>
      <c r="B12" s="143"/>
      <c r="C12" s="143"/>
      <c r="D12" s="143"/>
      <c r="E12" s="144"/>
      <c r="F12" s="143"/>
      <c r="G12" s="143"/>
      <c r="H12" s="143"/>
      <c r="I12" s="143"/>
      <c r="J12" s="158"/>
      <c r="K12" s="161"/>
    </row>
    <row r="13" spans="1:11" customFormat="1" ht="14.5">
      <c r="A13" s="7" t="str">
        <f>HLOOKUP(INDICE!$F$2,Nombres!$C$3:$D$636,13,FALSE)</f>
        <v xml:space="preserve">América del Sur </v>
      </c>
      <c r="B13" s="146">
        <v>4.25658640482325</v>
      </c>
      <c r="C13" s="146">
        <v>4.3491030769515007</v>
      </c>
      <c r="D13" s="146">
        <v>4.6294529974701168</v>
      </c>
      <c r="E13" s="147">
        <v>4.8293017661273261</v>
      </c>
      <c r="F13" s="146">
        <v>4.9743331838639397</v>
      </c>
      <c r="G13" s="148">
        <v>0</v>
      </c>
      <c r="H13" s="148">
        <v>0</v>
      </c>
      <c r="I13" s="148">
        <v>0</v>
      </c>
      <c r="J13" s="158"/>
    </row>
    <row r="14" spans="1:11" s="160" customFormat="1" ht="6" customHeight="1">
      <c r="A14" s="134"/>
      <c r="B14" s="162"/>
      <c r="C14" s="162"/>
      <c r="D14" s="162"/>
      <c r="E14" s="163"/>
      <c r="F14" s="162"/>
      <c r="G14" s="164"/>
      <c r="H14" s="164"/>
      <c r="I14" s="164"/>
      <c r="J14" s="158"/>
      <c r="K14" s="161"/>
    </row>
    <row r="15" spans="1:11">
      <c r="A15" s="7" t="str">
        <f>HLOOKUP(INDICE!$F$2,Nombres!$C$3:$D$636,263,FALSE)</f>
        <v>Resto de Negocios</v>
      </c>
      <c r="B15" s="146">
        <v>0.50093806456605983</v>
      </c>
      <c r="C15" s="146">
        <v>0.4944907644175156</v>
      </c>
      <c r="D15" s="146">
        <v>0.55154735153881362</v>
      </c>
      <c r="E15" s="147">
        <v>0.65001870075974078</v>
      </c>
      <c r="F15" s="146">
        <v>0.72306163976191984</v>
      </c>
      <c r="G15" s="148">
        <v>0</v>
      </c>
      <c r="H15" s="148">
        <v>0</v>
      </c>
      <c r="I15" s="148">
        <v>0</v>
      </c>
    </row>
    <row r="16" spans="1:11" s="160" customFormat="1" ht="13">
      <c r="A16" s="165"/>
      <c r="B16" s="162"/>
      <c r="C16" s="162"/>
      <c r="D16" s="166"/>
      <c r="E16" s="166"/>
      <c r="F16" s="162"/>
      <c r="G16" s="162"/>
      <c r="H16" s="166"/>
      <c r="I16" s="166"/>
      <c r="J16" s="161"/>
      <c r="K16" s="161"/>
    </row>
    <row r="17" spans="1:11">
      <c r="A17" s="134"/>
      <c r="B17" s="162"/>
      <c r="C17" s="162"/>
      <c r="D17" s="167"/>
      <c r="E17" s="167"/>
      <c r="F17" s="162"/>
      <c r="G17" s="162"/>
      <c r="H17" s="167"/>
      <c r="I17" s="167"/>
      <c r="J17" s="161"/>
      <c r="K17" s="161"/>
    </row>
    <row r="18" spans="1:11" s="170" customFormat="1" ht="17">
      <c r="A18" s="130" t="str">
        <f>HLOOKUP(INDICE!$F$2,Nombres!$C$3:$D$636,86,FALSE)</f>
        <v>Tasa de cobertura</v>
      </c>
      <c r="B18" s="168"/>
      <c r="C18" s="168"/>
      <c r="D18" s="169"/>
      <c r="E18" s="169"/>
      <c r="F18" s="168"/>
      <c r="G18" s="168"/>
      <c r="H18" s="169"/>
      <c r="I18" s="169"/>
      <c r="J18" s="161"/>
      <c r="K18" s="161"/>
    </row>
    <row r="19" spans="1:11" ht="13.5" customHeight="1">
      <c r="A19" s="133" t="str">
        <f>HLOOKUP(INDICE!$F$2,Nombres!$C$3:$D$636,84,FALSE)</f>
        <v>(Porcentaje)</v>
      </c>
      <c r="B19" s="150"/>
      <c r="C19" s="150"/>
      <c r="D19" s="167"/>
      <c r="E19" s="167"/>
      <c r="F19" s="150"/>
      <c r="G19" s="150"/>
      <c r="H19" s="167"/>
      <c r="I19" s="167"/>
      <c r="J19" s="161"/>
      <c r="K19" s="161"/>
    </row>
    <row r="20" spans="1:11" ht="13.5">
      <c r="A20" s="134"/>
      <c r="B20" s="156">
        <f>+B$3</f>
        <v>45016</v>
      </c>
      <c r="C20" s="156">
        <f t="shared" ref="C20:I20" si="0">+C$3</f>
        <v>45107</v>
      </c>
      <c r="D20" s="156">
        <f t="shared" si="0"/>
        <v>45199</v>
      </c>
      <c r="E20" s="156">
        <f t="shared" si="0"/>
        <v>45291</v>
      </c>
      <c r="F20" s="156">
        <f t="shared" si="0"/>
        <v>45382</v>
      </c>
      <c r="G20" s="156">
        <f t="shared" si="0"/>
        <v>45473</v>
      </c>
      <c r="H20" s="156">
        <f t="shared" si="0"/>
        <v>45565</v>
      </c>
      <c r="I20" s="156">
        <f t="shared" si="0"/>
        <v>45657</v>
      </c>
      <c r="J20" s="161"/>
      <c r="K20" s="161"/>
    </row>
    <row r="21" spans="1:11" ht="6.75" customHeight="1">
      <c r="A21" s="134"/>
      <c r="B21" s="171"/>
      <c r="C21" s="171"/>
      <c r="D21" s="167"/>
      <c r="E21" s="167"/>
      <c r="F21" s="171"/>
      <c r="G21" s="171"/>
      <c r="H21" s="167"/>
      <c r="I21" s="167"/>
      <c r="J21" s="161"/>
      <c r="K21" s="161"/>
    </row>
    <row r="22" spans="1:11" customFormat="1" ht="14.5">
      <c r="A22" s="18" t="str">
        <f>HLOOKUP(INDICE!$F$2,Nombres!$C$3:$D$636,275,FALSE)</f>
        <v>Grupo BBVA  (*)</v>
      </c>
      <c r="B22" s="172">
        <v>82.463982087039838</v>
      </c>
      <c r="C22" s="172">
        <v>79.621385302934684</v>
      </c>
      <c r="D22" s="172">
        <v>79.055996889600152</v>
      </c>
      <c r="E22" s="173">
        <v>76.849131534316001</v>
      </c>
      <c r="F22" s="172">
        <v>75.990405920669062</v>
      </c>
      <c r="G22" s="174">
        <v>0</v>
      </c>
      <c r="H22" s="174">
        <v>0</v>
      </c>
      <c r="I22" s="174">
        <v>0</v>
      </c>
      <c r="J22" s="175"/>
    </row>
    <row r="23" spans="1:11" s="160" customFormat="1" ht="6.75" customHeight="1">
      <c r="A23" s="134"/>
      <c r="B23" s="176"/>
      <c r="C23" s="176"/>
      <c r="D23" s="176"/>
      <c r="E23" s="177"/>
      <c r="F23" s="176"/>
      <c r="G23" s="176"/>
      <c r="H23" s="176"/>
      <c r="I23" s="176"/>
      <c r="J23" s="175"/>
      <c r="K23" s="161"/>
    </row>
    <row r="24" spans="1:11" customFormat="1" ht="14.5">
      <c r="A24" s="7" t="str">
        <f>HLOOKUP(INDICE!$F$2,Nombres!$C$3:$D$636,7,FALSE)</f>
        <v>España</v>
      </c>
      <c r="B24" s="178">
        <v>58.654757460244767</v>
      </c>
      <c r="C24" s="178">
        <v>56.629907332603956</v>
      </c>
      <c r="D24" s="178">
        <v>55.095567234147715</v>
      </c>
      <c r="E24" s="179">
        <v>54.958212796935122</v>
      </c>
      <c r="F24" s="178">
        <v>55.2994239563684</v>
      </c>
      <c r="G24" s="180">
        <v>0</v>
      </c>
      <c r="H24" s="180">
        <v>0</v>
      </c>
      <c r="I24" s="180">
        <v>0</v>
      </c>
      <c r="J24" s="175"/>
      <c r="K24" s="181"/>
    </row>
    <row r="25" spans="1:11" ht="6" customHeight="1">
      <c r="A25" s="134"/>
      <c r="B25" s="176"/>
      <c r="C25" s="176"/>
      <c r="D25" s="176"/>
      <c r="E25" s="177"/>
      <c r="F25" s="176"/>
      <c r="G25" s="176"/>
      <c r="H25" s="176"/>
      <c r="I25" s="176"/>
      <c r="J25" s="175"/>
      <c r="K25" s="161"/>
    </row>
    <row r="26" spans="1:11" customFormat="1" ht="14.5">
      <c r="A26" s="7" t="str">
        <f>HLOOKUP(INDICE!$F$2,Nombres!$C$3:$D$636,11,FALSE)</f>
        <v>México</v>
      </c>
      <c r="B26" s="178">
        <v>137.06742757462104</v>
      </c>
      <c r="C26" s="178">
        <v>129.24640407780984</v>
      </c>
      <c r="D26" s="178">
        <v>126.67282691395425</v>
      </c>
      <c r="E26" s="179">
        <v>123.39901049335091</v>
      </c>
      <c r="F26" s="178">
        <v>118.73017120194351</v>
      </c>
      <c r="G26" s="180">
        <v>0</v>
      </c>
      <c r="H26" s="180">
        <v>0</v>
      </c>
      <c r="I26" s="180">
        <v>0</v>
      </c>
      <c r="J26" s="175"/>
    </row>
    <row r="27" spans="1:11" customFormat="1" ht="5.25" customHeight="1">
      <c r="A27" s="134"/>
      <c r="B27" s="176"/>
      <c r="C27" s="176"/>
      <c r="D27" s="176"/>
      <c r="E27" s="177"/>
      <c r="F27" s="176"/>
      <c r="G27" s="176"/>
      <c r="H27" s="176"/>
      <c r="I27" s="176"/>
      <c r="J27" s="175"/>
    </row>
    <row r="28" spans="1:11" customFormat="1" ht="14.5">
      <c r="A28" s="7" t="str">
        <f>HLOOKUP(INDICE!$F$2,Nombres!$C$3:$D$636,12,FALSE)</f>
        <v xml:space="preserve">Turquía </v>
      </c>
      <c r="B28" s="178">
        <v>98.559991976381752</v>
      </c>
      <c r="C28" s="178">
        <v>97.197117641193515</v>
      </c>
      <c r="D28" s="178">
        <v>100.26403445858119</v>
      </c>
      <c r="E28" s="179">
        <v>97.060625520953622</v>
      </c>
      <c r="F28" s="178">
        <v>95.880446889661457</v>
      </c>
      <c r="G28" s="180">
        <v>0</v>
      </c>
      <c r="H28" s="180">
        <v>0</v>
      </c>
      <c r="I28" s="180">
        <v>0</v>
      </c>
      <c r="J28" s="175"/>
    </row>
    <row r="29" spans="1:11" ht="6.75" customHeight="1">
      <c r="A29" s="134"/>
      <c r="B29" s="176"/>
      <c r="C29" s="176"/>
      <c r="D29" s="176"/>
      <c r="E29" s="177"/>
      <c r="F29" s="176"/>
      <c r="G29" s="176"/>
      <c r="H29" s="176"/>
      <c r="I29" s="176"/>
      <c r="J29" s="175"/>
      <c r="K29" s="161"/>
    </row>
    <row r="30" spans="1:11" customFormat="1" ht="14.5">
      <c r="A30" s="7" t="str">
        <f>HLOOKUP(INDICE!$F$2,Nombres!$C$3:$D$636,13,FALSE)</f>
        <v xml:space="preserve">América del Sur </v>
      </c>
      <c r="B30" s="178">
        <v>99.177880490150599</v>
      </c>
      <c r="C30" s="178">
        <v>95.209980202804957</v>
      </c>
      <c r="D30" s="178">
        <v>92.92232042409006</v>
      </c>
      <c r="E30" s="179">
        <v>88.108956818596397</v>
      </c>
      <c r="F30" s="178">
        <v>85.752701900492269</v>
      </c>
      <c r="G30" s="180">
        <v>0</v>
      </c>
      <c r="H30" s="180">
        <v>0</v>
      </c>
      <c r="I30" s="180">
        <v>0</v>
      </c>
      <c r="J30" s="175"/>
    </row>
    <row r="31" spans="1:11" s="160" customFormat="1" ht="6" customHeight="1">
      <c r="A31" s="134"/>
      <c r="B31" s="182"/>
      <c r="C31" s="182"/>
      <c r="D31" s="182"/>
      <c r="E31" s="183"/>
      <c r="F31" s="182"/>
      <c r="G31" s="184"/>
      <c r="H31" s="184"/>
      <c r="I31" s="184"/>
      <c r="J31" s="175"/>
      <c r="K31" s="161"/>
    </row>
    <row r="32" spans="1:11">
      <c r="A32" s="7" t="str">
        <f>HLOOKUP(INDICE!$F$2,Nombres!$C$3:$D$636,263,FALSE)</f>
        <v>Resto de Negocios</v>
      </c>
      <c r="B32" s="178">
        <v>100.79750278394653</v>
      </c>
      <c r="C32" s="178">
        <v>96.273035693226234</v>
      </c>
      <c r="D32" s="178">
        <v>81.885456141848778</v>
      </c>
      <c r="E32" s="179">
        <v>68.642424986218074</v>
      </c>
      <c r="F32" s="178">
        <v>59.747940111667695</v>
      </c>
      <c r="G32" s="180">
        <v>0</v>
      </c>
      <c r="H32" s="180">
        <v>0</v>
      </c>
      <c r="I32" s="180">
        <v>0</v>
      </c>
    </row>
    <row r="33" spans="1:11" s="160" customFormat="1" ht="13">
      <c r="A33" s="165"/>
      <c r="B33" s="185"/>
      <c r="C33" s="185"/>
      <c r="D33" s="167"/>
      <c r="E33" s="167"/>
      <c r="F33" s="185"/>
      <c r="G33" s="185"/>
      <c r="H33" s="167"/>
      <c r="I33" s="167"/>
      <c r="J33" s="161"/>
      <c r="K33" s="161"/>
    </row>
    <row r="34" spans="1:11" ht="12" customHeight="1">
      <c r="A34" s="134"/>
      <c r="B34" s="185"/>
      <c r="C34" s="185"/>
      <c r="D34" s="167"/>
      <c r="E34" s="167"/>
      <c r="F34" s="185"/>
      <c r="G34" s="185"/>
      <c r="H34" s="167"/>
      <c r="I34" s="167"/>
      <c r="J34" s="161"/>
      <c r="K34" s="161"/>
    </row>
    <row r="35" spans="1:11" ht="17">
      <c r="A35" s="130" t="str">
        <f>HLOOKUP(INDICE!$F$2,Nombres!$C$3:$D$636,87,FALSE)</f>
        <v>Coste del riesgo acumulado</v>
      </c>
      <c r="B35" s="168"/>
      <c r="C35" s="168"/>
      <c r="D35" s="169"/>
      <c r="E35" s="169"/>
      <c r="F35" s="168"/>
      <c r="G35" s="168"/>
      <c r="H35" s="169"/>
      <c r="I35" s="169"/>
      <c r="J35" s="161"/>
      <c r="K35" s="161"/>
    </row>
    <row r="36" spans="1:11" ht="12.75" customHeight="1">
      <c r="A36" s="133" t="str">
        <f>HLOOKUP(INDICE!$F$2,Nombres!$C$3:$D$636,84,FALSE)</f>
        <v>(Porcentaje)</v>
      </c>
      <c r="B36" s="185"/>
      <c r="C36" s="185"/>
      <c r="D36" s="167"/>
      <c r="E36" s="167"/>
      <c r="F36" s="185"/>
      <c r="G36" s="185"/>
      <c r="H36" s="167"/>
      <c r="I36" s="167"/>
      <c r="J36" s="161"/>
      <c r="K36" s="161"/>
    </row>
    <row r="37" spans="1:11" ht="13.5">
      <c r="A37" s="134"/>
      <c r="B37" s="156">
        <f>+B$3</f>
        <v>45016</v>
      </c>
      <c r="C37" s="156">
        <f t="shared" ref="C37:I37" si="1">+C$3</f>
        <v>45107</v>
      </c>
      <c r="D37" s="156">
        <f t="shared" si="1"/>
        <v>45199</v>
      </c>
      <c r="E37" s="156">
        <f t="shared" si="1"/>
        <v>45291</v>
      </c>
      <c r="F37" s="156">
        <f t="shared" si="1"/>
        <v>45382</v>
      </c>
      <c r="G37" s="156">
        <f t="shared" si="1"/>
        <v>45473</v>
      </c>
      <c r="H37" s="156">
        <f t="shared" si="1"/>
        <v>45565</v>
      </c>
      <c r="I37" s="156">
        <f t="shared" si="1"/>
        <v>45657</v>
      </c>
      <c r="J37" s="161"/>
      <c r="K37" s="161"/>
    </row>
    <row r="38" spans="1:11">
      <c r="A38" s="134"/>
      <c r="B38" s="171"/>
      <c r="C38" s="171"/>
      <c r="D38" s="167"/>
      <c r="E38" s="167"/>
      <c r="F38" s="171"/>
      <c r="G38" s="171"/>
      <c r="H38" s="167"/>
      <c r="I38" s="167"/>
      <c r="J38" s="161"/>
      <c r="K38" s="161"/>
    </row>
    <row r="39" spans="1:11" customFormat="1" ht="14.5">
      <c r="A39" s="18" t="str">
        <f>HLOOKUP(INDICE!$F$2,Nombres!$C$3:$D$636,275,FALSE)</f>
        <v>Grupo BBVA  (*)</v>
      </c>
      <c r="B39" s="186">
        <v>1.0461780866511008</v>
      </c>
      <c r="C39" s="186">
        <v>1.0397676564185583</v>
      </c>
      <c r="D39" s="186">
        <v>1.1117851917208879</v>
      </c>
      <c r="E39" s="187">
        <v>1.1481633623229133</v>
      </c>
      <c r="F39" s="186">
        <v>1.386929135249485</v>
      </c>
      <c r="G39" s="186">
        <v>0</v>
      </c>
      <c r="H39" s="188">
        <v>0</v>
      </c>
      <c r="I39" s="188">
        <v>0</v>
      </c>
      <c r="J39" s="142"/>
    </row>
    <row r="40" spans="1:11" s="160" customFormat="1" ht="6.75" customHeight="1">
      <c r="A40" s="134"/>
      <c r="B40" s="189"/>
      <c r="C40" s="189"/>
      <c r="D40" s="189"/>
      <c r="E40" s="190"/>
      <c r="F40" s="189"/>
      <c r="G40" s="189"/>
      <c r="H40" s="189"/>
      <c r="I40" s="189"/>
      <c r="J40" s="161"/>
      <c r="K40" s="161"/>
    </row>
    <row r="41" spans="1:11" customFormat="1" ht="14.5">
      <c r="A41" s="7" t="str">
        <f>HLOOKUP(INDICE!$F$2,Nombres!$C$3:$D$636,7,FALSE)</f>
        <v>España</v>
      </c>
      <c r="B41" s="191">
        <v>0.26676041702825232</v>
      </c>
      <c r="C41" s="191">
        <v>0.27491554275537511</v>
      </c>
      <c r="D41" s="191">
        <v>0.31162764512611218</v>
      </c>
      <c r="E41" s="192">
        <v>0.36943241235886254</v>
      </c>
      <c r="F41" s="191">
        <v>0.37736241094197137</v>
      </c>
      <c r="G41" s="193">
        <v>0</v>
      </c>
      <c r="H41" s="193">
        <v>0</v>
      </c>
      <c r="I41" s="193">
        <v>0</v>
      </c>
      <c r="J41" s="142"/>
    </row>
    <row r="42" spans="1:11" customFormat="1" ht="8.25" customHeight="1">
      <c r="A42" s="134"/>
      <c r="B42" s="189"/>
      <c r="C42" s="189"/>
      <c r="D42" s="189"/>
      <c r="E42" s="190"/>
      <c r="F42" s="189"/>
      <c r="G42" s="189"/>
      <c r="H42" s="189"/>
      <c r="I42" s="189"/>
      <c r="J42" s="142"/>
    </row>
    <row r="43" spans="1:11" customFormat="1" ht="14.5">
      <c r="A43" s="7" t="str">
        <f>HLOOKUP(INDICE!$F$2,Nombres!$C$3:$D$636,11,FALSE)</f>
        <v>México</v>
      </c>
      <c r="B43" s="191">
        <v>2.8817354348087667</v>
      </c>
      <c r="C43" s="191">
        <v>2.8607913671654992</v>
      </c>
      <c r="D43" s="191">
        <v>2.9444678630064178</v>
      </c>
      <c r="E43" s="192">
        <v>2.9559919416958884</v>
      </c>
      <c r="F43" s="191">
        <v>3.2652358277011113</v>
      </c>
      <c r="G43" s="193">
        <v>0</v>
      </c>
      <c r="H43" s="193">
        <v>0</v>
      </c>
      <c r="I43" s="193">
        <v>0</v>
      </c>
      <c r="J43" s="142"/>
    </row>
    <row r="44" spans="1:11" ht="6" customHeight="1">
      <c r="A44" s="134"/>
      <c r="B44" s="189"/>
      <c r="C44" s="189"/>
      <c r="D44" s="189"/>
      <c r="E44" s="190"/>
      <c r="F44" s="189"/>
      <c r="G44" s="189"/>
      <c r="H44" s="189"/>
      <c r="I44" s="189"/>
      <c r="J44" s="161"/>
      <c r="K44" s="161"/>
    </row>
    <row r="45" spans="1:11" customFormat="1" ht="14.5">
      <c r="A45" s="7" t="str">
        <f>HLOOKUP(INDICE!$F$2,Nombres!$C$3:$D$636,12,FALSE)</f>
        <v xml:space="preserve">Turquía </v>
      </c>
      <c r="B45" s="191">
        <v>0.51789519565141973</v>
      </c>
      <c r="C45" s="191">
        <v>0.22820085532949758</v>
      </c>
      <c r="D45" s="191">
        <v>0.26133458313306335</v>
      </c>
      <c r="E45" s="192">
        <v>0.25187476576361939</v>
      </c>
      <c r="F45" s="191">
        <v>0.76857165185843535</v>
      </c>
      <c r="G45" s="193">
        <v>0</v>
      </c>
      <c r="H45" s="193">
        <v>0</v>
      </c>
      <c r="I45" s="193">
        <v>0</v>
      </c>
      <c r="J45" s="142"/>
    </row>
    <row r="46" spans="1:11" ht="6.75" customHeight="1">
      <c r="A46" s="134"/>
      <c r="B46" s="189"/>
      <c r="C46" s="189"/>
      <c r="D46" s="189"/>
      <c r="E46" s="190"/>
      <c r="F46" s="189"/>
      <c r="G46" s="189"/>
      <c r="H46" s="189"/>
      <c r="I46" s="189"/>
      <c r="J46" s="161"/>
      <c r="K46" s="161"/>
    </row>
    <row r="47" spans="1:11" customFormat="1" ht="14.5">
      <c r="A47" s="7" t="str">
        <f>HLOOKUP(INDICE!$F$2,Nombres!$C$3:$D$636,13,FALSE)</f>
        <v xml:space="preserve">América del Sur </v>
      </c>
      <c r="B47" s="191">
        <v>2.1834736726407722</v>
      </c>
      <c r="C47" s="191">
        <v>2.3360372185084475</v>
      </c>
      <c r="D47" s="191">
        <v>2.5036703352777807</v>
      </c>
      <c r="E47" s="192">
        <v>2.5129104035120133</v>
      </c>
      <c r="F47" s="191">
        <v>3.1060384733981161</v>
      </c>
      <c r="G47" s="193">
        <v>0</v>
      </c>
      <c r="H47" s="193">
        <v>0</v>
      </c>
      <c r="I47" s="193">
        <v>0</v>
      </c>
      <c r="J47" s="142"/>
    </row>
    <row r="48" spans="1:11" s="160" customFormat="1" ht="6" customHeight="1">
      <c r="A48" s="134"/>
      <c r="B48" s="194"/>
      <c r="C48" s="194"/>
      <c r="D48" s="194"/>
      <c r="E48" s="195"/>
      <c r="F48" s="194"/>
      <c r="G48" s="196"/>
      <c r="H48" s="196"/>
      <c r="I48" s="196"/>
      <c r="J48" s="161"/>
      <c r="K48" s="161"/>
    </row>
    <row r="49" spans="1:9">
      <c r="A49" s="7" t="str">
        <f>HLOOKUP(INDICE!$F$2,Nombres!$C$3:$D$636,263,FALSE)</f>
        <v>Resto de Negocios</v>
      </c>
      <c r="B49" s="191">
        <v>0.20705541056865984</v>
      </c>
      <c r="C49" s="191">
        <v>0.12919843091876945</v>
      </c>
      <c r="D49" s="191">
        <v>9.135935383963692E-2</v>
      </c>
      <c r="E49" s="192">
        <v>7.5725634323044272E-2</v>
      </c>
      <c r="F49" s="191">
        <v>0.16428550619866045</v>
      </c>
      <c r="G49" s="193">
        <v>0</v>
      </c>
      <c r="H49" s="193">
        <v>0</v>
      </c>
      <c r="I49" s="193">
        <v>0</v>
      </c>
    </row>
    <row r="50" spans="1:9">
      <c r="A50" s="165"/>
      <c r="B50" s="134"/>
      <c r="C50" s="185"/>
      <c r="D50" s="185"/>
      <c r="E50" s="185"/>
      <c r="F50" s="134"/>
      <c r="G50" s="197"/>
      <c r="H50" s="197"/>
      <c r="I50" s="197"/>
    </row>
    <row r="51" spans="1:9">
      <c r="A51" s="20"/>
      <c r="B51" s="134"/>
      <c r="C51" s="134"/>
      <c r="D51" s="134"/>
      <c r="E51" s="134"/>
      <c r="F51" s="134"/>
      <c r="G51" s="134"/>
      <c r="H51" s="134"/>
      <c r="I51" s="134"/>
    </row>
    <row r="52" spans="1:9">
      <c r="A52" s="134"/>
      <c r="B52" s="134"/>
      <c r="C52" s="134"/>
      <c r="D52" s="134"/>
      <c r="E52" s="134"/>
      <c r="F52" s="134"/>
      <c r="G52" s="134"/>
      <c r="H52" s="134"/>
      <c r="I52" s="134"/>
    </row>
    <row r="53" spans="1:9">
      <c r="A53" s="198"/>
      <c r="B53" s="152"/>
      <c r="C53" s="152"/>
      <c r="D53" s="152"/>
      <c r="E53" s="152"/>
      <c r="F53" s="152"/>
      <c r="G53" s="152"/>
      <c r="H53" s="198"/>
      <c r="I53" s="198"/>
    </row>
    <row r="994" spans="1:1">
      <c r="A994" s="199" t="s">
        <v>550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P997"/>
  <sheetViews>
    <sheetView showGridLines="0" workbookViewId="0">
      <selection activeCell="O17" sqref="O17"/>
    </sheetView>
  </sheetViews>
  <sheetFormatPr baseColWidth="10" defaultRowHeight="14.5"/>
  <cols>
    <col min="1" max="1" width="23.81640625" customWidth="1"/>
    <col min="7" max="9" width="0" hidden="1" customWidth="1"/>
  </cols>
  <sheetData>
    <row r="1" spans="1:42" ht="17">
      <c r="A1" s="200" t="str">
        <f>HLOOKUP(INDICE!$F$2,Nombres!$C$3:$D$636,123,FALSE)</f>
        <v>Oficinas</v>
      </c>
      <c r="B1" s="201"/>
      <c r="C1" s="201"/>
      <c r="D1" s="202"/>
      <c r="E1" s="202"/>
      <c r="F1" s="202"/>
      <c r="G1" s="202"/>
      <c r="H1" s="202"/>
      <c r="I1" s="202"/>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42" ht="33.75" customHeight="1">
      <c r="A2" s="203"/>
      <c r="B2" s="136">
        <f>+España!B32</f>
        <v>45016</v>
      </c>
      <c r="C2" s="136">
        <f>+España!C32</f>
        <v>45107</v>
      </c>
      <c r="D2" s="136">
        <f>+España!D32</f>
        <v>45199</v>
      </c>
      <c r="E2" s="136">
        <f>+España!E32</f>
        <v>45291</v>
      </c>
      <c r="F2" s="136">
        <f>+España!F32</f>
        <v>45382</v>
      </c>
      <c r="G2" s="136">
        <f>+España!G32</f>
        <v>45473</v>
      </c>
      <c r="H2" s="136">
        <f>+España!H32</f>
        <v>45565</v>
      </c>
      <c r="I2" s="136">
        <f>+España!I32</f>
        <v>45657</v>
      </c>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2">
      <c r="A3" s="204" t="str">
        <f>HLOOKUP(INDICE!$F$2,Nombres!$C$3:$D$636,7,FALSE)</f>
        <v>España</v>
      </c>
      <c r="B3" s="25">
        <v>1883</v>
      </c>
      <c r="C3" s="25">
        <v>1883</v>
      </c>
      <c r="D3" s="25">
        <v>1883</v>
      </c>
      <c r="E3" s="25">
        <v>1882</v>
      </c>
      <c r="F3" s="25">
        <v>1881</v>
      </c>
      <c r="G3" s="25">
        <v>0</v>
      </c>
      <c r="H3" s="25">
        <v>0</v>
      </c>
      <c r="I3" s="25">
        <v>0</v>
      </c>
      <c r="J3" s="85"/>
      <c r="K3" s="63"/>
      <c r="L3" s="152"/>
      <c r="M3" s="152"/>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row>
    <row r="4" spans="1:42">
      <c r="A4" s="204" t="str">
        <f>HLOOKUP(INDICE!$F$2,Nombres!$C$3:$D$636,11,FALSE)</f>
        <v>México</v>
      </c>
      <c r="B4" s="25">
        <v>1735</v>
      </c>
      <c r="C4" s="25">
        <v>1736</v>
      </c>
      <c r="D4" s="25">
        <v>1740</v>
      </c>
      <c r="E4" s="25">
        <v>1706</v>
      </c>
      <c r="F4" s="25">
        <v>1693</v>
      </c>
      <c r="G4" s="25">
        <v>0</v>
      </c>
      <c r="H4" s="25">
        <v>0</v>
      </c>
      <c r="I4" s="25">
        <v>0</v>
      </c>
      <c r="J4" s="85"/>
      <c r="K4" s="63"/>
      <c r="L4" s="152"/>
      <c r="M4" s="152"/>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row>
    <row r="5" spans="1:42">
      <c r="A5" s="204" t="str">
        <f>HLOOKUP(INDICE!$F$2,Nombres!$C$3:$D$636,12,FALSE)</f>
        <v xml:space="preserve">Turquía </v>
      </c>
      <c r="B5" s="25">
        <v>969</v>
      </c>
      <c r="C5" s="25">
        <v>958</v>
      </c>
      <c r="D5" s="25">
        <v>956</v>
      </c>
      <c r="E5" s="25">
        <v>935</v>
      </c>
      <c r="F5" s="25">
        <v>935</v>
      </c>
      <c r="G5" s="25">
        <v>0</v>
      </c>
      <c r="H5" s="25">
        <v>0</v>
      </c>
      <c r="I5" s="25">
        <v>0</v>
      </c>
      <c r="J5" s="85"/>
      <c r="K5" s="63"/>
      <c r="L5" s="152"/>
      <c r="M5" s="152"/>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row>
    <row r="6" spans="1:42">
      <c r="A6" s="204" t="str">
        <f>HLOOKUP(INDICE!$F$2,Nombres!$C$3:$D$636,13,FALSE)</f>
        <v xml:space="preserve">América del Sur </v>
      </c>
      <c r="B6" s="25">
        <v>1433</v>
      </c>
      <c r="C6" s="25">
        <v>1400</v>
      </c>
      <c r="D6" s="25">
        <v>1407</v>
      </c>
      <c r="E6" s="25">
        <v>1395</v>
      </c>
      <c r="F6" s="25">
        <v>1373</v>
      </c>
      <c r="G6" s="25">
        <v>0</v>
      </c>
      <c r="H6" s="25">
        <v>0</v>
      </c>
      <c r="I6" s="25">
        <v>0</v>
      </c>
      <c r="J6" s="85"/>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c r="A7" s="205" t="str">
        <f>HLOOKUP(INDICE!$F$2,Nombres!$C$3:$D$636,14,FALSE)</f>
        <v>Argentina</v>
      </c>
      <c r="B7" s="206">
        <v>243</v>
      </c>
      <c r="C7" s="206">
        <v>243</v>
      </c>
      <c r="D7" s="206">
        <v>243</v>
      </c>
      <c r="E7" s="206">
        <v>243</v>
      </c>
      <c r="F7" s="206">
        <v>242</v>
      </c>
      <c r="G7" s="206">
        <v>0</v>
      </c>
      <c r="H7" s="206">
        <v>0</v>
      </c>
      <c r="I7" s="206">
        <v>0</v>
      </c>
      <c r="J7" s="85"/>
      <c r="K7" s="63"/>
      <c r="L7" s="152"/>
      <c r="M7" s="152"/>
      <c r="N7" s="207"/>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c r="A8" s="205" t="str">
        <f>HLOOKUP(INDICE!$F$2,Nombres!$C$3:$D$636,15,FALSE)</f>
        <v>Chile</v>
      </c>
      <c r="B8" s="75">
        <v>10</v>
      </c>
      <c r="C8" s="75">
        <v>10</v>
      </c>
      <c r="D8" s="75">
        <v>10</v>
      </c>
      <c r="E8" s="75">
        <v>10</v>
      </c>
      <c r="F8" s="75">
        <v>8</v>
      </c>
      <c r="G8" s="75">
        <v>0</v>
      </c>
      <c r="H8" s="75">
        <v>0</v>
      </c>
      <c r="I8" s="75">
        <v>0</v>
      </c>
      <c r="J8" s="85"/>
      <c r="K8" s="63"/>
      <c r="L8" s="152"/>
      <c r="M8" s="152"/>
      <c r="N8" s="207"/>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2">
      <c r="A9" s="208" t="str">
        <f>HLOOKUP(INDICE!$F$2,Nombres!$C$3:$D$636,16,FALSE)</f>
        <v>Colombia</v>
      </c>
      <c r="B9" s="75">
        <v>528</v>
      </c>
      <c r="C9" s="75">
        <v>508</v>
      </c>
      <c r="D9" s="75">
        <v>521</v>
      </c>
      <c r="E9" s="75">
        <v>514</v>
      </c>
      <c r="F9" s="75">
        <v>514</v>
      </c>
      <c r="G9" s="75">
        <v>0</v>
      </c>
      <c r="H9" s="75">
        <v>0</v>
      </c>
      <c r="I9" s="75">
        <v>0</v>
      </c>
      <c r="J9" s="85"/>
      <c r="K9" s="152"/>
      <c r="L9" s="152"/>
      <c r="M9" s="152"/>
      <c r="N9" s="207"/>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2">
      <c r="A10" s="208" t="str">
        <f>HLOOKUP(INDICE!$F$2,Nombres!$C$3:$D$636,17,FALSE)</f>
        <v>Perú</v>
      </c>
      <c r="B10" s="75">
        <v>314</v>
      </c>
      <c r="C10" s="75">
        <v>308</v>
      </c>
      <c r="D10" s="75">
        <v>305</v>
      </c>
      <c r="E10" s="75">
        <v>305</v>
      </c>
      <c r="F10" s="75">
        <v>307</v>
      </c>
      <c r="G10" s="75">
        <v>0</v>
      </c>
      <c r="H10" s="75">
        <v>0</v>
      </c>
      <c r="I10" s="75">
        <v>0</v>
      </c>
      <c r="J10" s="85"/>
      <c r="K10" s="152"/>
      <c r="L10" s="152"/>
      <c r="M10" s="152"/>
      <c r="N10" s="207"/>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row>
    <row r="11" spans="1:42">
      <c r="A11" s="208" t="str">
        <f>HLOOKUP(INDICE!$F$2,Nombres!$C$3:$D$636,89,FALSE)</f>
        <v>Resto de América del Sur</v>
      </c>
      <c r="B11" s="75">
        <v>338</v>
      </c>
      <c r="C11" s="75">
        <v>331</v>
      </c>
      <c r="D11" s="75">
        <v>328</v>
      </c>
      <c r="E11" s="75">
        <v>323</v>
      </c>
      <c r="F11" s="75">
        <v>302</v>
      </c>
      <c r="G11" s="75">
        <v>0</v>
      </c>
      <c r="H11" s="75">
        <v>0</v>
      </c>
      <c r="I11" s="75">
        <v>0</v>
      </c>
      <c r="J11" s="85"/>
      <c r="K11" s="152"/>
      <c r="L11" s="152"/>
      <c r="M11" s="152"/>
      <c r="N11" s="207"/>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row>
    <row r="12" spans="1:42">
      <c r="A12" s="204" t="str">
        <f>HLOOKUP(INDICE!$F$2,Nombres!$C$3:$D$636,279,FALSE)</f>
        <v>Resto de geografías</v>
      </c>
      <c r="B12" s="25">
        <v>31</v>
      </c>
      <c r="C12" s="25">
        <v>31</v>
      </c>
      <c r="D12" s="25">
        <v>31</v>
      </c>
      <c r="E12" s="25">
        <v>31</v>
      </c>
      <c r="F12" s="25">
        <v>30</v>
      </c>
      <c r="G12" s="25">
        <v>0</v>
      </c>
      <c r="H12" s="25">
        <v>0</v>
      </c>
      <c r="I12" s="25">
        <v>0</v>
      </c>
      <c r="J12" s="85"/>
      <c r="K12" s="152"/>
      <c r="L12" s="152"/>
      <c r="M12" s="152"/>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row>
    <row r="13" spans="1:42">
      <c r="A13" s="204" t="s">
        <v>553</v>
      </c>
      <c r="B13" s="25">
        <f t="shared" ref="B13:I13" si="0">+SUM(B3:B5,B7:B12)</f>
        <v>6051</v>
      </c>
      <c r="C13" s="25">
        <f t="shared" si="0"/>
        <v>6008</v>
      </c>
      <c r="D13" s="25">
        <f t="shared" si="0"/>
        <v>6017</v>
      </c>
      <c r="E13" s="25">
        <f t="shared" si="0"/>
        <v>5949</v>
      </c>
      <c r="F13" s="25">
        <f t="shared" si="0"/>
        <v>5912</v>
      </c>
      <c r="G13" s="25">
        <f t="shared" si="0"/>
        <v>0</v>
      </c>
      <c r="H13" s="25">
        <f t="shared" si="0"/>
        <v>0</v>
      </c>
      <c r="I13" s="25">
        <f t="shared" si="0"/>
        <v>0</v>
      </c>
      <c r="J13" s="85"/>
      <c r="K13" s="152"/>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row>
    <row r="14" spans="1:42">
      <c r="A14" s="209"/>
      <c r="B14" s="210">
        <v>0</v>
      </c>
      <c r="C14" s="210">
        <v>0</v>
      </c>
      <c r="D14" s="210">
        <v>0</v>
      </c>
      <c r="E14" s="210">
        <v>0</v>
      </c>
      <c r="F14" s="210">
        <v>0</v>
      </c>
      <c r="G14" s="210">
        <v>0</v>
      </c>
      <c r="H14" s="210">
        <v>0</v>
      </c>
      <c r="I14" s="210">
        <v>0</v>
      </c>
      <c r="J14" s="63"/>
      <c r="K14" s="152"/>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row>
    <row r="15" spans="1:42">
      <c r="A15" s="209"/>
      <c r="B15" s="210"/>
      <c r="C15" s="210"/>
      <c r="D15" s="210"/>
      <c r="E15" s="210"/>
      <c r="F15" s="210"/>
      <c r="G15" s="210"/>
      <c r="H15" s="210"/>
      <c r="I15" s="210"/>
      <c r="J15" s="63"/>
      <c r="K15" s="152"/>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row>
    <row r="16" spans="1:42" ht="17">
      <c r="A16" s="200" t="str">
        <f>HLOOKUP(INDICE!$F$2,Nombres!$C$3:$D$636,124,FALSE)</f>
        <v>Empleados</v>
      </c>
      <c r="B16" s="201"/>
      <c r="C16" s="201"/>
      <c r="D16" s="202"/>
      <c r="E16" s="202"/>
      <c r="F16" s="202"/>
      <c r="G16" s="202"/>
      <c r="H16" s="202"/>
      <c r="I16" s="202"/>
      <c r="J16" s="211"/>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row>
    <row r="17" spans="1:42" ht="33.75" customHeight="1">
      <c r="A17" s="203"/>
      <c r="B17" s="136">
        <f t="shared" ref="B17:I17" si="1">+B$2</f>
        <v>45016</v>
      </c>
      <c r="C17" s="136">
        <f t="shared" si="1"/>
        <v>45107</v>
      </c>
      <c r="D17" s="136">
        <f t="shared" si="1"/>
        <v>45199</v>
      </c>
      <c r="E17" s="136">
        <f t="shared" si="1"/>
        <v>45291</v>
      </c>
      <c r="F17" s="136">
        <f t="shared" si="1"/>
        <v>45382</v>
      </c>
      <c r="G17" s="136">
        <f t="shared" si="1"/>
        <v>45473</v>
      </c>
      <c r="H17" s="136">
        <f t="shared" si="1"/>
        <v>45565</v>
      </c>
      <c r="I17" s="136">
        <f t="shared" si="1"/>
        <v>45657</v>
      </c>
      <c r="J17" s="211"/>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row>
    <row r="18" spans="1:42">
      <c r="A18" s="204" t="str">
        <f>HLOOKUP(INDICE!$F$2,Nombres!$C$3:$D$636,7,FALSE)</f>
        <v>España</v>
      </c>
      <c r="B18" s="25">
        <v>26380</v>
      </c>
      <c r="C18" s="25">
        <v>26764</v>
      </c>
      <c r="D18" s="25">
        <v>27080</v>
      </c>
      <c r="E18" s="25">
        <v>27410</v>
      </c>
      <c r="F18" s="25">
        <v>27735</v>
      </c>
      <c r="G18" s="25">
        <v>0</v>
      </c>
      <c r="H18" s="25">
        <v>0</v>
      </c>
      <c r="I18" s="25">
        <v>0</v>
      </c>
      <c r="J18" s="152"/>
      <c r="K18" s="25"/>
      <c r="L18" s="63"/>
      <c r="M18" s="85"/>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row>
    <row r="19" spans="1:42">
      <c r="A19" s="204" t="str">
        <f>HLOOKUP(INDICE!$F$2,Nombres!$C$3:$D$636,11,FALSE)</f>
        <v>México</v>
      </c>
      <c r="B19" s="25">
        <v>44158</v>
      </c>
      <c r="C19" s="25">
        <v>45515</v>
      </c>
      <c r="D19" s="25">
        <v>46328</v>
      </c>
      <c r="E19" s="25">
        <v>46891</v>
      </c>
      <c r="F19" s="25">
        <v>46811</v>
      </c>
      <c r="G19" s="25">
        <v>0</v>
      </c>
      <c r="H19" s="25">
        <v>0</v>
      </c>
      <c r="I19" s="25">
        <v>0</v>
      </c>
      <c r="J19" s="152"/>
      <c r="K19" s="25"/>
      <c r="L19" s="63"/>
      <c r="M19" s="85"/>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row>
    <row r="20" spans="1:42">
      <c r="A20" s="204" t="str">
        <f>HLOOKUP(INDICE!$F$2,Nombres!$C$3:$D$636,12,FALSE)</f>
        <v xml:space="preserve">Turquía </v>
      </c>
      <c r="B20" s="25">
        <v>21610</v>
      </c>
      <c r="C20" s="25">
        <v>21775</v>
      </c>
      <c r="D20" s="25">
        <v>21970</v>
      </c>
      <c r="E20" s="25">
        <v>22016</v>
      </c>
      <c r="F20" s="25">
        <v>22062</v>
      </c>
      <c r="G20" s="25">
        <v>0</v>
      </c>
      <c r="H20" s="25">
        <v>0</v>
      </c>
      <c r="I20" s="25">
        <v>0</v>
      </c>
      <c r="J20" s="152"/>
      <c r="K20" s="25"/>
      <c r="L20" s="63"/>
      <c r="M20" s="85"/>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row>
    <row r="21" spans="1:42">
      <c r="A21" s="204" t="str">
        <f>HLOOKUP(INDICE!$F$2,Nombres!$C$3:$D$636,13,FALSE)</f>
        <v xml:space="preserve">América del Sur </v>
      </c>
      <c r="B21" s="25">
        <v>23361</v>
      </c>
      <c r="C21" s="25">
        <v>23588</v>
      </c>
      <c r="D21" s="25">
        <v>23624</v>
      </c>
      <c r="E21" s="25">
        <v>23679</v>
      </c>
      <c r="F21" s="25">
        <v>23418</v>
      </c>
      <c r="G21" s="25">
        <v>0</v>
      </c>
      <c r="H21" s="25">
        <v>0</v>
      </c>
      <c r="I21" s="25">
        <v>0</v>
      </c>
      <c r="J21" s="85"/>
      <c r="K21" s="75"/>
      <c r="L21" s="63"/>
      <c r="M21" s="85"/>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row>
    <row r="22" spans="1:42">
      <c r="A22" s="205" t="str">
        <f>HLOOKUP(INDICE!$F$2,Nombres!$C$3:$D$636,14,FALSE)</f>
        <v>Argentina</v>
      </c>
      <c r="B22" s="75">
        <v>5916</v>
      </c>
      <c r="C22" s="75">
        <v>5970</v>
      </c>
      <c r="D22" s="75">
        <v>6000</v>
      </c>
      <c r="E22" s="75">
        <v>5996</v>
      </c>
      <c r="F22" s="75">
        <v>6044</v>
      </c>
      <c r="G22" s="75">
        <v>0</v>
      </c>
      <c r="H22" s="75">
        <v>0</v>
      </c>
      <c r="I22" s="75">
        <v>0</v>
      </c>
      <c r="J22" s="85"/>
      <c r="K22" s="75"/>
      <c r="L22" s="152"/>
      <c r="M22" s="85"/>
      <c r="N22" s="212"/>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row>
    <row r="23" spans="1:42">
      <c r="A23" s="205" t="str">
        <f>HLOOKUP(INDICE!$F$2,Nombres!$C$3:$D$636,15,FALSE)</f>
        <v>Chile</v>
      </c>
      <c r="B23" s="75">
        <v>784</v>
      </c>
      <c r="C23" s="75">
        <v>784</v>
      </c>
      <c r="D23" s="75">
        <v>790</v>
      </c>
      <c r="E23" s="75">
        <v>786</v>
      </c>
      <c r="F23" s="75">
        <v>774</v>
      </c>
      <c r="G23" s="75">
        <v>0</v>
      </c>
      <c r="H23" s="75">
        <v>0</v>
      </c>
      <c r="I23" s="75">
        <v>0</v>
      </c>
      <c r="J23" s="85"/>
      <c r="K23" s="75"/>
      <c r="L23" s="152"/>
      <c r="M23" s="85"/>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row>
    <row r="24" spans="1:42">
      <c r="A24" s="208" t="str">
        <f>HLOOKUP(INDICE!$F$2,Nombres!$C$3:$D$636,16,FALSE)</f>
        <v>Colombia</v>
      </c>
      <c r="B24" s="75">
        <v>6727</v>
      </c>
      <c r="C24" s="75">
        <v>6735</v>
      </c>
      <c r="D24" s="75">
        <v>6774</v>
      </c>
      <c r="E24" s="75">
        <v>6830</v>
      </c>
      <c r="F24" s="75">
        <v>6620</v>
      </c>
      <c r="G24" s="75">
        <v>0</v>
      </c>
      <c r="H24" s="75">
        <v>0</v>
      </c>
      <c r="I24" s="75">
        <v>0</v>
      </c>
      <c r="J24" s="85"/>
      <c r="K24" s="75"/>
      <c r="L24" s="152"/>
      <c r="M24" s="85"/>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row>
    <row r="25" spans="1:42">
      <c r="A25" s="208" t="str">
        <f>HLOOKUP(INDICE!$F$2,Nombres!$C$3:$D$636,17,FALSE)</f>
        <v>Perú</v>
      </c>
      <c r="B25" s="75">
        <v>7098</v>
      </c>
      <c r="C25" s="75">
        <v>7286</v>
      </c>
      <c r="D25" s="75">
        <v>7555</v>
      </c>
      <c r="E25" s="75">
        <v>7547</v>
      </c>
      <c r="F25" s="75">
        <v>7486</v>
      </c>
      <c r="G25" s="75">
        <v>0</v>
      </c>
      <c r="H25" s="75">
        <v>0</v>
      </c>
      <c r="I25" s="75">
        <v>0</v>
      </c>
      <c r="J25" s="85"/>
      <c r="K25" s="75"/>
      <c r="L25" s="152"/>
      <c r="M25" s="85"/>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row>
    <row r="26" spans="1:42">
      <c r="A26" s="208" t="str">
        <f>HLOOKUP(INDICE!$F$2,Nombres!$C$3:$D$636,89,FALSE)</f>
        <v>Resto de América del Sur</v>
      </c>
      <c r="B26" s="75">
        <v>2836</v>
      </c>
      <c r="C26" s="75">
        <v>2813</v>
      </c>
      <c r="D26" s="75">
        <v>2505</v>
      </c>
      <c r="E26" s="75">
        <v>2520</v>
      </c>
      <c r="F26" s="75">
        <v>2494</v>
      </c>
      <c r="G26" s="75">
        <v>0</v>
      </c>
      <c r="H26" s="75">
        <v>0</v>
      </c>
      <c r="I26" s="75">
        <v>0</v>
      </c>
      <c r="J26" s="85"/>
      <c r="K26" s="75"/>
      <c r="L26" s="152"/>
      <c r="M26" s="85"/>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row>
    <row r="27" spans="1:42">
      <c r="A27" s="204" t="str">
        <f>HLOOKUP(INDICE!$F$2,Nombres!$C$3:$D$636,279,FALSE)</f>
        <v>Resto de geografías</v>
      </c>
      <c r="B27" s="25">
        <v>1414</v>
      </c>
      <c r="C27" s="25">
        <v>1428</v>
      </c>
      <c r="D27" s="25">
        <v>1455</v>
      </c>
      <c r="E27" s="25">
        <v>1490</v>
      </c>
      <c r="F27" s="25">
        <v>1537</v>
      </c>
      <c r="G27" s="25">
        <v>0</v>
      </c>
      <c r="H27" s="25">
        <v>0</v>
      </c>
      <c r="I27" s="25">
        <v>0</v>
      </c>
      <c r="J27" s="152"/>
      <c r="K27" s="75"/>
      <c r="L27" s="63"/>
      <c r="M27" s="85"/>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row>
    <row r="28" spans="1:42">
      <c r="A28" s="204" t="s">
        <v>553</v>
      </c>
      <c r="B28" s="25">
        <f t="shared" ref="B28:I28" si="2">+SUM(B18:B20,B22:B27)</f>
        <v>116923</v>
      </c>
      <c r="C28" s="25">
        <f t="shared" si="2"/>
        <v>119070</v>
      </c>
      <c r="D28" s="25">
        <f t="shared" si="2"/>
        <v>120457</v>
      </c>
      <c r="E28" s="25">
        <f t="shared" si="2"/>
        <v>121486</v>
      </c>
      <c r="F28" s="25">
        <f t="shared" si="2"/>
        <v>121563</v>
      </c>
      <c r="G28" s="25">
        <f t="shared" si="2"/>
        <v>0</v>
      </c>
      <c r="H28" s="25">
        <f t="shared" si="2"/>
        <v>0</v>
      </c>
      <c r="I28" s="25">
        <f t="shared" si="2"/>
        <v>0</v>
      </c>
      <c r="J28" s="85"/>
      <c r="K28" s="63"/>
      <c r="L28" s="63"/>
      <c r="M28" s="85"/>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c r="A29" s="209"/>
      <c r="B29" s="210">
        <v>0</v>
      </c>
      <c r="C29" s="210">
        <v>0</v>
      </c>
      <c r="D29" s="210">
        <v>0</v>
      </c>
      <c r="E29" s="210">
        <v>0</v>
      </c>
      <c r="F29" s="210">
        <v>0</v>
      </c>
      <c r="G29" s="210">
        <v>0</v>
      </c>
      <c r="H29" s="210">
        <v>0</v>
      </c>
      <c r="I29" s="210">
        <v>0</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c r="A30" s="209"/>
      <c r="B30" s="210"/>
      <c r="C30" s="210"/>
      <c r="D30" s="210"/>
      <c r="E30" s="210"/>
      <c r="F30" s="210"/>
      <c r="G30" s="210"/>
      <c r="H30" s="210"/>
      <c r="I30" s="210"/>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ht="17">
      <c r="A31" s="200" t="str">
        <f>HLOOKUP(INDICE!$F$2,Nombres!$C$3:$D$636,125,FALSE)</f>
        <v>Cajeros automáticos</v>
      </c>
      <c r="B31" s="201"/>
      <c r="C31" s="201"/>
      <c r="D31" s="202"/>
      <c r="E31" s="202"/>
      <c r="F31" s="202"/>
      <c r="G31" s="202"/>
      <c r="H31" s="202"/>
      <c r="I31" s="202"/>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ht="30" customHeight="1">
      <c r="A32" s="185"/>
      <c r="B32" s="136">
        <f t="shared" ref="B32:I32" si="3">+B$2</f>
        <v>45016</v>
      </c>
      <c r="C32" s="136">
        <f t="shared" si="3"/>
        <v>45107</v>
      </c>
      <c r="D32" s="136">
        <f t="shared" si="3"/>
        <v>45199</v>
      </c>
      <c r="E32" s="136">
        <f t="shared" si="3"/>
        <v>45291</v>
      </c>
      <c r="F32" s="136">
        <f t="shared" si="3"/>
        <v>45382</v>
      </c>
      <c r="G32" s="136">
        <f t="shared" si="3"/>
        <v>45473</v>
      </c>
      <c r="H32" s="136">
        <f t="shared" si="3"/>
        <v>45565</v>
      </c>
      <c r="I32" s="136">
        <f t="shared" si="3"/>
        <v>45657</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row>
    <row r="33" spans="1:42">
      <c r="A33" s="204" t="str">
        <f>HLOOKUP(INDICE!$F$2,Nombres!$C$3:$D$636,7,FALSE)</f>
        <v>España</v>
      </c>
      <c r="B33" s="25">
        <v>4754</v>
      </c>
      <c r="C33" s="25">
        <v>4732</v>
      </c>
      <c r="D33" s="25">
        <v>4727</v>
      </c>
      <c r="E33" s="25">
        <v>4720</v>
      </c>
      <c r="F33" s="25">
        <v>4719</v>
      </c>
      <c r="G33" s="25">
        <v>0</v>
      </c>
      <c r="H33" s="25">
        <v>0</v>
      </c>
      <c r="I33" s="25">
        <v>0</v>
      </c>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row>
    <row r="34" spans="1:42">
      <c r="A34" s="204" t="str">
        <f>HLOOKUP(INDICE!$F$2,Nombres!$C$3:$D$636,11,FALSE)</f>
        <v>México</v>
      </c>
      <c r="B34" s="25">
        <v>14160</v>
      </c>
      <c r="C34" s="25">
        <v>14232</v>
      </c>
      <c r="D34" s="25">
        <v>14417</v>
      </c>
      <c r="E34" s="25">
        <v>14500</v>
      </c>
      <c r="F34" s="25">
        <v>14612</v>
      </c>
      <c r="G34" s="25">
        <v>0</v>
      </c>
      <c r="H34" s="25">
        <v>0</v>
      </c>
      <c r="I34" s="25">
        <v>0</v>
      </c>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row>
    <row r="35" spans="1:42">
      <c r="A35" s="204" t="str">
        <f>HLOOKUP(INDICE!$F$2,Nombres!$C$3:$D$636,12,FALSE)</f>
        <v xml:space="preserve">Turquía </v>
      </c>
      <c r="B35" s="25">
        <v>5606</v>
      </c>
      <c r="C35" s="25">
        <v>5593</v>
      </c>
      <c r="D35" s="25">
        <v>5579</v>
      </c>
      <c r="E35" s="25">
        <v>5718</v>
      </c>
      <c r="F35" s="25">
        <v>5744</v>
      </c>
      <c r="G35" s="25">
        <v>0</v>
      </c>
      <c r="H35" s="25">
        <v>0</v>
      </c>
      <c r="I35" s="25">
        <v>0</v>
      </c>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row>
    <row r="36" spans="1:42">
      <c r="A36" s="204" t="str">
        <f>HLOOKUP(INDICE!$F$2,Nombres!$C$3:$D$636,13,FALSE)</f>
        <v xml:space="preserve">América del Sur </v>
      </c>
      <c r="B36" s="25">
        <v>5340</v>
      </c>
      <c r="C36" s="25">
        <v>5312</v>
      </c>
      <c r="D36" s="25">
        <v>5313</v>
      </c>
      <c r="E36" s="25">
        <v>5341</v>
      </c>
      <c r="F36" s="25">
        <v>5335</v>
      </c>
      <c r="G36" s="25">
        <v>0</v>
      </c>
      <c r="H36" s="25">
        <v>0</v>
      </c>
      <c r="I36" s="25">
        <v>0</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row>
    <row r="37" spans="1:42">
      <c r="A37" s="205" t="str">
        <f>HLOOKUP(INDICE!$F$2,Nombres!$C$3:$D$636,14,FALSE)</f>
        <v>Argentina</v>
      </c>
      <c r="B37" s="75">
        <v>1703</v>
      </c>
      <c r="C37" s="75">
        <v>1700</v>
      </c>
      <c r="D37" s="75">
        <v>1697</v>
      </c>
      <c r="E37" s="75">
        <v>1697</v>
      </c>
      <c r="F37" s="75">
        <v>1691</v>
      </c>
      <c r="G37" s="75">
        <v>0</v>
      </c>
      <c r="H37" s="75">
        <v>0</v>
      </c>
      <c r="I37" s="75">
        <v>0</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row>
    <row r="38" spans="1:42" hidden="1">
      <c r="A38" s="205" t="str">
        <f>HLOOKUP(INDICE!$F$2,Nombres!$C$3:$D$636,15,FALSE)</f>
        <v>Chile</v>
      </c>
      <c r="B38" s="75">
        <v>0</v>
      </c>
      <c r="C38" s="75">
        <v>0</v>
      </c>
      <c r="D38" s="75">
        <v>0</v>
      </c>
      <c r="E38" s="75">
        <v>0</v>
      </c>
      <c r="F38" s="75">
        <v>0</v>
      </c>
      <c r="G38" s="75">
        <v>0</v>
      </c>
      <c r="H38" s="75">
        <v>0</v>
      </c>
      <c r="I38" s="75">
        <v>0</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row>
    <row r="39" spans="1:42">
      <c r="A39" s="208" t="str">
        <f>HLOOKUP(INDICE!$F$2,Nombres!$C$3:$D$636,16,FALSE)</f>
        <v>Colombia</v>
      </c>
      <c r="B39" s="75">
        <v>1493</v>
      </c>
      <c r="C39" s="75">
        <v>1483</v>
      </c>
      <c r="D39" s="75">
        <v>1482</v>
      </c>
      <c r="E39" s="75">
        <v>1485</v>
      </c>
      <c r="F39" s="75">
        <v>1489</v>
      </c>
      <c r="G39" s="75">
        <v>0</v>
      </c>
      <c r="H39" s="75">
        <v>0</v>
      </c>
      <c r="I39" s="75">
        <v>0</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row>
    <row r="40" spans="1:42">
      <c r="A40" s="208" t="str">
        <f>HLOOKUP(INDICE!$F$2,Nombres!$C$3:$D$636,17,FALSE)</f>
        <v>Perú</v>
      </c>
      <c r="B40" s="75">
        <v>1918</v>
      </c>
      <c r="C40" s="75">
        <v>1914</v>
      </c>
      <c r="D40" s="75">
        <v>1919</v>
      </c>
      <c r="E40" s="75">
        <v>1950</v>
      </c>
      <c r="F40" s="75">
        <v>1951</v>
      </c>
      <c r="G40" s="75">
        <v>0</v>
      </c>
      <c r="H40" s="75">
        <v>0</v>
      </c>
      <c r="I40" s="75">
        <v>0</v>
      </c>
      <c r="J40" s="63"/>
      <c r="K40" s="63"/>
      <c r="L40" s="211"/>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row>
    <row r="41" spans="1:42">
      <c r="A41" s="208" t="str">
        <f>HLOOKUP(INDICE!$F$2,Nombres!$C$3:$D$636,89,FALSE)</f>
        <v>Resto de América del Sur</v>
      </c>
      <c r="B41" s="75">
        <v>226</v>
      </c>
      <c r="C41" s="75">
        <v>215</v>
      </c>
      <c r="D41" s="75">
        <v>215</v>
      </c>
      <c r="E41" s="75">
        <v>209</v>
      </c>
      <c r="F41" s="75">
        <v>204</v>
      </c>
      <c r="G41" s="75">
        <v>0</v>
      </c>
      <c r="H41" s="75">
        <v>0</v>
      </c>
      <c r="I41" s="75">
        <v>0</v>
      </c>
      <c r="J41" s="63"/>
      <c r="K41" s="63"/>
      <c r="L41" s="211"/>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row>
    <row r="42" spans="1:42">
      <c r="A42" s="204" t="str">
        <f>HLOOKUP(INDICE!$F$2,Nombres!$C$3:$D$636,279,FALSE)</f>
        <v>Resto de geografías</v>
      </c>
      <c r="B42" s="25">
        <v>22</v>
      </c>
      <c r="C42" s="25">
        <v>22</v>
      </c>
      <c r="D42" s="25">
        <v>22</v>
      </c>
      <c r="E42" s="25">
        <v>22</v>
      </c>
      <c r="F42" s="25">
        <v>22</v>
      </c>
      <c r="G42" s="25">
        <v>0</v>
      </c>
      <c r="H42" s="25">
        <v>0</v>
      </c>
      <c r="I42" s="25">
        <v>0</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row>
    <row r="43" spans="1:42">
      <c r="A43" s="204" t="s">
        <v>553</v>
      </c>
      <c r="B43" s="25">
        <f t="shared" ref="B43:I43" si="4">+SUM(B33:B35,B37:B42)</f>
        <v>29882</v>
      </c>
      <c r="C43" s="25">
        <f t="shared" si="4"/>
        <v>29891</v>
      </c>
      <c r="D43" s="25">
        <f t="shared" si="4"/>
        <v>30058</v>
      </c>
      <c r="E43" s="25">
        <f t="shared" si="4"/>
        <v>30301</v>
      </c>
      <c r="F43" s="25">
        <f t="shared" si="4"/>
        <v>30432</v>
      </c>
      <c r="G43" s="25">
        <f t="shared" si="4"/>
        <v>0</v>
      </c>
      <c r="H43" s="25">
        <f t="shared" si="4"/>
        <v>0</v>
      </c>
      <c r="I43" s="25">
        <f t="shared" si="4"/>
        <v>0</v>
      </c>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row>
    <row r="44" spans="1:42">
      <c r="A44" s="134"/>
      <c r="B44" s="210">
        <v>0</v>
      </c>
      <c r="C44" s="210">
        <v>0</v>
      </c>
      <c r="D44" s="210">
        <v>0</v>
      </c>
      <c r="E44" s="210">
        <v>0</v>
      </c>
      <c r="F44" s="210">
        <v>0</v>
      </c>
      <c r="G44" s="210">
        <v>0</v>
      </c>
      <c r="H44" s="210">
        <v>0</v>
      </c>
      <c r="I44" s="210">
        <v>0</v>
      </c>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row>
    <row r="45" spans="1:42">
      <c r="A45" s="213"/>
      <c r="B45" s="134"/>
      <c r="C45" s="134"/>
      <c r="D45" s="134"/>
      <c r="E45" s="134"/>
      <c r="F45" s="134"/>
      <c r="G45" s="134"/>
      <c r="H45" s="134"/>
      <c r="I45" s="134"/>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row>
    <row r="46" spans="1:42">
      <c r="A46" s="213"/>
      <c r="B46" s="134"/>
      <c r="C46" s="134"/>
      <c r="D46" s="134"/>
      <c r="E46" s="134"/>
      <c r="F46" s="134"/>
      <c r="G46" s="134"/>
      <c r="H46" s="134"/>
      <c r="I46" s="134"/>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row>
    <row r="47" spans="1:42">
      <c r="A47" s="134"/>
      <c r="B47" s="134"/>
      <c r="C47" s="134"/>
      <c r="D47" s="134"/>
      <c r="E47" s="134"/>
      <c r="F47" s="134"/>
      <c r="G47" s="134"/>
      <c r="H47" s="134"/>
      <c r="I47" s="134"/>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row>
    <row r="48" spans="1:42">
      <c r="A48" s="134"/>
      <c r="B48" s="134"/>
      <c r="C48" s="134"/>
      <c r="D48" s="134"/>
      <c r="E48" s="134"/>
      <c r="F48" s="134"/>
      <c r="G48" s="134"/>
      <c r="H48" s="134"/>
      <c r="I48" s="134"/>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row>
    <row r="49" spans="1:42">
      <c r="A49" s="134"/>
      <c r="B49" s="134"/>
      <c r="C49" s="134"/>
      <c r="D49" s="134"/>
      <c r="E49" s="134"/>
      <c r="F49" s="134"/>
      <c r="G49" s="134"/>
      <c r="H49" s="134"/>
      <c r="I49" s="134"/>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row>
    <row r="50" spans="1:42">
      <c r="A50" s="134"/>
      <c r="B50" s="134"/>
      <c r="C50" s="134"/>
      <c r="D50" s="134"/>
      <c r="E50" s="134"/>
      <c r="F50" s="134"/>
      <c r="G50" s="134"/>
      <c r="H50" s="134"/>
      <c r="I50" s="134"/>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row>
    <row r="51" spans="1:42">
      <c r="A51" s="134"/>
      <c r="B51" s="134"/>
      <c r="C51" s="134"/>
      <c r="D51" s="134"/>
      <c r="E51" s="134"/>
      <c r="F51" s="134"/>
      <c r="G51" s="134"/>
      <c r="H51" s="134"/>
      <c r="I51" s="134"/>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row>
    <row r="52" spans="1:42">
      <c r="A52" s="134"/>
      <c r="B52" s="134"/>
      <c r="C52" s="134"/>
      <c r="D52" s="134"/>
      <c r="E52" s="134"/>
      <c r="F52" s="134"/>
      <c r="G52" s="134"/>
      <c r="H52" s="134"/>
      <c r="I52" s="134"/>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row>
    <row r="53" spans="1:42">
      <c r="A53" s="134"/>
      <c r="B53" s="134"/>
      <c r="C53" s="134"/>
      <c r="D53" s="134"/>
      <c r="E53" s="134"/>
      <c r="F53" s="134"/>
      <c r="G53" s="134"/>
      <c r="H53" s="134"/>
      <c r="I53" s="134"/>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row>
    <row r="54" spans="1:42">
      <c r="A54" s="134"/>
      <c r="B54" s="134"/>
      <c r="C54" s="134"/>
      <c r="D54" s="134"/>
      <c r="E54" s="134"/>
      <c r="F54" s="134"/>
      <c r="G54" s="134"/>
      <c r="H54" s="134"/>
      <c r="I54" s="134"/>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row>
    <row r="55" spans="1:42">
      <c r="A55" s="134"/>
      <c r="B55" s="134"/>
      <c r="C55" s="134"/>
      <c r="D55" s="134"/>
      <c r="E55" s="134"/>
      <c r="F55" s="134"/>
      <c r="G55" s="134"/>
      <c r="H55" s="134"/>
      <c r="I55" s="134"/>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pans="1:42">
      <c r="A56" s="134"/>
      <c r="B56" s="134"/>
      <c r="C56" s="134"/>
      <c r="D56" s="134"/>
      <c r="E56" s="134"/>
      <c r="F56" s="134"/>
      <c r="G56" s="134"/>
      <c r="H56" s="134"/>
      <c r="I56" s="134"/>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row>
    <row r="57" spans="1:42">
      <c r="A57" s="134"/>
      <c r="B57" s="134"/>
      <c r="C57" s="134"/>
      <c r="D57" s="134"/>
      <c r="E57" s="134"/>
      <c r="F57" s="134"/>
      <c r="G57" s="134"/>
      <c r="H57" s="134"/>
      <c r="I57" s="134"/>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row>
    <row r="58" spans="1:4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row>
    <row r="59" spans="1:4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row>
    <row r="60" spans="1:4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row>
    <row r="61" spans="1:4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row>
    <row r="62" spans="1:4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1:4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row>
    <row r="64" spans="1:4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row>
    <row r="65" spans="1:4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row>
    <row r="66" spans="1:4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row>
    <row r="67" spans="1:42" s="63" customFormat="1"/>
    <row r="68" spans="1:42" s="63" customFormat="1"/>
    <row r="69" spans="1:42" s="63" customFormat="1"/>
    <row r="70" spans="1:42" s="63" customFormat="1"/>
    <row r="71" spans="1:42" s="63" customFormat="1"/>
    <row r="72" spans="1:42" s="63" customFormat="1"/>
    <row r="73" spans="1:42" s="63" customFormat="1"/>
    <row r="74" spans="1:42" s="63" customFormat="1"/>
    <row r="75" spans="1:42" s="63" customFormat="1"/>
    <row r="76" spans="1:42" s="63" customFormat="1"/>
    <row r="77" spans="1:42" s="63" customFormat="1"/>
    <row r="78" spans="1:42" s="63" customFormat="1"/>
    <row r="79" spans="1:42" s="63" customFormat="1"/>
    <row r="80" spans="1:42"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997" spans="1:1">
      <c r="A997" t="s">
        <v>550</v>
      </c>
    </row>
  </sheetData>
  <conditionalFormatting sqref="B14:B15">
    <cfRule type="cellIs" dxfId="24" priority="6" operator="notEqual">
      <formula>0</formula>
    </cfRule>
  </conditionalFormatting>
  <conditionalFormatting sqref="C14:C15">
    <cfRule type="cellIs" dxfId="23" priority="5" operator="notEqual">
      <formula>0</formula>
    </cfRule>
  </conditionalFormatting>
  <conditionalFormatting sqref="D14:D15">
    <cfRule type="cellIs" dxfId="22" priority="4" operator="notEqual">
      <formula>0</formula>
    </cfRule>
  </conditionalFormatting>
  <conditionalFormatting sqref="E14:I15">
    <cfRule type="cellIs" dxfId="21" priority="3" operator="notEqual">
      <formula>0</formula>
    </cfRule>
  </conditionalFormatting>
  <conditionalFormatting sqref="B29:I30">
    <cfRule type="cellIs" dxfId="20" priority="2" operator="notEqual">
      <formula>0</formula>
    </cfRule>
  </conditionalFormatting>
  <conditionalFormatting sqref="B44:I44">
    <cfRule type="cellIs" dxfId="19" priority="1" operator="notEqual">
      <formula>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00"/>
  <sheetViews>
    <sheetView showGridLines="0" workbookViewId="0">
      <selection activeCell="A41" sqref="A41"/>
    </sheetView>
  </sheetViews>
  <sheetFormatPr baseColWidth="10" defaultRowHeight="14.5"/>
  <cols>
    <col min="1" max="1" width="13.453125" customWidth="1"/>
    <col min="2" max="2" width="32.1796875" customWidth="1"/>
    <col min="6" max="6" width="8.1796875" customWidth="1"/>
    <col min="7" max="7" width="7.453125" customWidth="1"/>
    <col min="8" max="9" width="14.1796875" customWidth="1"/>
  </cols>
  <sheetData>
    <row r="1" spans="1:24" ht="17">
      <c r="A1" s="130" t="str">
        <f>HLOOKUP(INDICE!$F$2,Nombres!$C$3:$D$636,161,FALSE)</f>
        <v>Tipos de cambio</v>
      </c>
      <c r="B1" s="130"/>
      <c r="C1" s="131"/>
      <c r="D1" s="131"/>
      <c r="E1" s="131"/>
      <c r="F1" s="131"/>
      <c r="G1" s="131"/>
      <c r="H1" s="131"/>
      <c r="I1" s="131"/>
      <c r="J1" s="152"/>
      <c r="K1" s="132"/>
      <c r="L1" s="132"/>
      <c r="M1" s="132"/>
      <c r="N1" s="214"/>
      <c r="O1" s="214"/>
      <c r="P1" s="214"/>
      <c r="Q1" s="214"/>
      <c r="R1" s="214"/>
      <c r="S1" s="214"/>
      <c r="T1" s="214"/>
      <c r="U1" s="214"/>
      <c r="V1" s="214"/>
      <c r="W1" s="214"/>
      <c r="X1" s="214"/>
    </row>
    <row r="2" spans="1:24">
      <c r="A2" s="9" t="str">
        <f>HLOOKUP(INDICE!$F$2,Nombres!$C$3:$D$636,162,FALSE)</f>
        <v>(Expresados en divisa/euro)</v>
      </c>
      <c r="B2" s="9"/>
      <c r="C2" s="215"/>
      <c r="D2" s="215"/>
      <c r="E2" s="215"/>
      <c r="F2" s="215"/>
      <c r="G2" s="215"/>
      <c r="H2" s="215"/>
      <c r="I2" s="215"/>
      <c r="J2" s="152"/>
      <c r="K2" s="132"/>
      <c r="L2" s="132"/>
      <c r="M2" s="132"/>
    </row>
    <row r="3" spans="1:24" ht="19.5">
      <c r="A3" s="216"/>
      <c r="B3" s="216"/>
      <c r="C3" s="302" t="str">
        <f>HLOOKUP(INDICE!$F$2,Nombres!$C$3:$D$636,163,FALSE)</f>
        <v>Cambios finales (*)</v>
      </c>
      <c r="D3" s="302"/>
      <c r="E3" s="302"/>
      <c r="F3" s="217"/>
      <c r="G3" s="218"/>
      <c r="H3" s="302" t="str">
        <f>HLOOKUP(INDICE!$F$2,Nombres!$C$3:$D$636,164,FALSE)</f>
        <v>Cambios medios (**)</v>
      </c>
      <c r="I3" s="302"/>
    </row>
    <row r="4" spans="1:24">
      <c r="A4" s="135"/>
      <c r="B4" s="135"/>
      <c r="C4" s="100"/>
      <c r="D4" s="219" t="str">
        <f>HLOOKUP(INDICE!$F$2,Nombres!$C$3:$D$636,165,FALSE)</f>
        <v>∆% sobre</v>
      </c>
      <c r="E4" s="219" t="str">
        <f>HLOOKUP(INDICE!$F$2,Nombres!$C$3:$D$636,165,FALSE)</f>
        <v>∆% sobre</v>
      </c>
      <c r="F4" s="217"/>
      <c r="G4" s="218"/>
      <c r="H4" s="220"/>
      <c r="I4" s="219" t="str">
        <f>HLOOKUP(INDICE!$F$2,Nombres!$C$3:$D$636,165,FALSE)</f>
        <v>∆% sobre</v>
      </c>
    </row>
    <row r="5" spans="1:24">
      <c r="A5" s="135"/>
      <c r="B5" s="135"/>
      <c r="C5" s="221">
        <v>45382</v>
      </c>
      <c r="D5" s="221">
        <f>DATE(YEAR(C5),MONTH(C5)-12,DAY(C5))</f>
        <v>45016</v>
      </c>
      <c r="E5" s="221">
        <v>45291</v>
      </c>
      <c r="F5" s="222"/>
      <c r="G5" s="223"/>
      <c r="H5" s="221">
        <f>+C5</f>
        <v>45382</v>
      </c>
      <c r="I5" s="224">
        <f>+D5</f>
        <v>45016</v>
      </c>
    </row>
    <row r="6" spans="1:24">
      <c r="A6" s="7" t="str">
        <f>HLOOKUP(INDICE!$F$2,Nombres!$C$3:$D$636,152,FALSE)</f>
        <v>Peso mexicano</v>
      </c>
      <c r="B6" s="7"/>
      <c r="C6" s="225">
        <v>17.917900000010743</v>
      </c>
      <c r="D6" s="226">
        <v>9.6065945232096439E-2</v>
      </c>
      <c r="E6" s="226">
        <v>4.4938301919384749E-2</v>
      </c>
      <c r="F6" s="227"/>
      <c r="G6" s="83"/>
      <c r="H6" s="225">
        <v>18.440942999844584</v>
      </c>
      <c r="I6" s="226">
        <v>8.6881565654273629E-2</v>
      </c>
    </row>
    <row r="7" spans="1:24">
      <c r="A7" s="7" t="str">
        <f>HLOOKUP(INDICE!$F$2,Nombres!$C$3:$D$636,153,FALSE)</f>
        <v>Dólar estadounidense</v>
      </c>
      <c r="B7" s="7"/>
      <c r="C7" s="225">
        <v>1.0811000000003228</v>
      </c>
      <c r="D7" s="226">
        <v>5.9198964015754196E-3</v>
      </c>
      <c r="E7" s="226">
        <v>2.2107113124775424E-2</v>
      </c>
      <c r="F7" s="185"/>
      <c r="G7" s="83"/>
      <c r="H7" s="225">
        <v>1.0857140000003331</v>
      </c>
      <c r="I7" s="226">
        <v>-1.1704739922396845E-2</v>
      </c>
    </row>
    <row r="8" spans="1:24">
      <c r="A8" s="7" t="str">
        <f>HLOOKUP(INDICE!$F$2,Nombres!$C$3:$D$636,154,FALSE)</f>
        <v>Peso argentino</v>
      </c>
      <c r="B8" s="228" t="s">
        <v>554</v>
      </c>
      <c r="C8" s="229">
        <v>926.95319433827137</v>
      </c>
      <c r="D8" s="226">
        <v>-0.75527280945865582</v>
      </c>
      <c r="E8" s="226">
        <v>-3.6831222820112752E-2</v>
      </c>
      <c r="F8" s="185"/>
      <c r="G8" s="83"/>
      <c r="H8" s="230" t="s">
        <v>555</v>
      </c>
      <c r="I8" s="230" t="s">
        <v>555</v>
      </c>
    </row>
    <row r="9" spans="1:24">
      <c r="A9" s="7" t="str">
        <f>HLOOKUP(INDICE!$F$2,Nombres!$C$3:$D$636,155,FALSE)</f>
        <v>Peso chileno</v>
      </c>
      <c r="B9" s="7"/>
      <c r="C9" s="225">
        <v>1061.3266809999614</v>
      </c>
      <c r="D9" s="226">
        <v>-0.19121462269313405</v>
      </c>
      <c r="E9" s="226">
        <v>-7.9009349968837239E-2</v>
      </c>
      <c r="F9" s="185"/>
      <c r="G9" s="83"/>
      <c r="H9" s="225">
        <v>1027.0561415148777</v>
      </c>
      <c r="I9" s="226">
        <v>-0.15152594032639877</v>
      </c>
    </row>
    <row r="10" spans="1:24">
      <c r="A10" s="7" t="str">
        <f>HLOOKUP(INDICE!$F$2,Nombres!$C$3:$D$636,156,FALSE)</f>
        <v>Peso colombiano</v>
      </c>
      <c r="B10" s="7"/>
      <c r="C10" s="225">
        <v>4153.9105266780543</v>
      </c>
      <c r="D10" s="226">
        <v>0.21142622103784059</v>
      </c>
      <c r="E10" s="226">
        <v>1.6720324170313106E-2</v>
      </c>
      <c r="F10" s="185"/>
      <c r="G10" s="83"/>
      <c r="H10" s="225">
        <v>4253.7328866902462</v>
      </c>
      <c r="I10" s="226">
        <v>0.20072558285473474</v>
      </c>
    </row>
    <row r="11" spans="1:24">
      <c r="A11" s="7" t="str">
        <f>HLOOKUP(INDICE!$F$2,Nombres!$C$3:$D$636,157,FALSE)</f>
        <v>Sol peruano</v>
      </c>
      <c r="B11" s="7"/>
      <c r="C11" s="225">
        <v>4.0144490000072786</v>
      </c>
      <c r="D11" s="226">
        <v>1.8868591925891742E-2</v>
      </c>
      <c r="E11" s="226">
        <v>2.2354749056817003E-2</v>
      </c>
      <c r="F11" s="185"/>
      <c r="G11" s="83"/>
      <c r="H11" s="225">
        <v>4.0788910000044014</v>
      </c>
      <c r="I11" s="226">
        <v>2.7647220767623715E-3</v>
      </c>
    </row>
    <row r="12" spans="1:24">
      <c r="A12" s="7" t="str">
        <f>HLOOKUP(INDICE!$F$2,Nombres!$C$3:$D$636,158,FALSE)</f>
        <v>Lira turca</v>
      </c>
      <c r="B12" s="228" t="s">
        <v>554</v>
      </c>
      <c r="C12" s="225">
        <v>34.948700000088103</v>
      </c>
      <c r="D12" s="226">
        <v>-0.40303358923611554</v>
      </c>
      <c r="E12" s="226">
        <v>-6.5684846653414453E-2</v>
      </c>
      <c r="F12" s="185"/>
      <c r="G12" s="83"/>
      <c r="H12" s="230" t="s">
        <v>555</v>
      </c>
      <c r="I12" s="230" t="s">
        <v>555</v>
      </c>
    </row>
    <row r="13" spans="1:24">
      <c r="A13" s="134"/>
      <c r="B13" s="134"/>
      <c r="D13" s="231"/>
      <c r="E13" s="231"/>
      <c r="F13" s="231"/>
      <c r="G13" s="231"/>
      <c r="H13" s="134"/>
      <c r="I13" s="134"/>
    </row>
    <row r="14" spans="1:24">
      <c r="A14" s="134"/>
      <c r="B14" s="134"/>
      <c r="C14" s="232"/>
      <c r="D14" s="231"/>
      <c r="E14" s="231"/>
      <c r="F14" s="231"/>
      <c r="G14" s="231"/>
      <c r="H14" s="134"/>
      <c r="I14" s="134"/>
    </row>
    <row r="15" spans="1:24">
      <c r="A15" s="20" t="str">
        <f>HLOOKUP(INDICE!$F$2,Nombres!$C$3:$D$636,159,FALSE)</f>
        <v>(*) Utilizados en el cálculo de euros constantes de los datos de balance y actividad</v>
      </c>
      <c r="B15" s="20"/>
      <c r="C15" s="165"/>
      <c r="D15" s="165"/>
      <c r="E15" s="165"/>
      <c r="F15" s="231"/>
      <c r="G15" s="231"/>
      <c r="H15" s="134"/>
      <c r="I15" s="134"/>
    </row>
    <row r="16" spans="1:24">
      <c r="A16" s="20" t="str">
        <f>HLOOKUP(INDICE!$F$2,Nombres!$C$3:$D$636,160,FALSE)</f>
        <v>(**) Utilizados en el cálculo de euros constantes de los datos de resultados</v>
      </c>
      <c r="B16" s="20"/>
      <c r="C16" s="165"/>
      <c r="D16" s="165"/>
      <c r="E16" s="165"/>
      <c r="F16" s="231"/>
      <c r="G16" s="231"/>
      <c r="H16" s="134"/>
      <c r="I16" s="134"/>
    </row>
    <row r="17" spans="1:5">
      <c r="A17" s="20" t="str">
        <f>HLOOKUP(INDICE!$F$2,Nombres!$C$3:$D$636,313,FALSE)</f>
        <v>(1) En aplicación de la NIC 21 "Efectos de las variaciones en los tipos de cambio de la moneda extranjera", la conversión de la cuenta de resultados de Turquía y Argentina se hace empleando el tipo de cambio final.</v>
      </c>
    </row>
    <row r="20" spans="1:5">
      <c r="D20" s="231"/>
    </row>
    <row r="25" spans="1:5">
      <c r="C25" s="233"/>
      <c r="D25" s="233"/>
      <c r="E25" s="233"/>
    </row>
    <row r="27" spans="1:5">
      <c r="E27" s="233"/>
    </row>
    <row r="1000" spans="1:1">
      <c r="A1000" t="s">
        <v>550</v>
      </c>
    </row>
  </sheetData>
  <mergeCells count="2">
    <mergeCell ref="C3:E3"/>
    <mergeCell ref="H3:I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'H:\CA81G369\BUDGET &amp; GROUP ANALYSIS\Series WEB\[Series_web_SPG24 oficial.xlsx]Control'!#REF!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showGridLines="0" tabSelected="1" zoomScale="80" zoomScaleNormal="80" workbookViewId="0">
      <selection activeCell="J17" sqref="J17"/>
    </sheetView>
  </sheetViews>
  <sheetFormatPr baseColWidth="10" defaultColWidth="12.54296875" defaultRowHeight="23.25" customHeight="1"/>
  <cols>
    <col min="1" max="1" width="40.453125" style="30" customWidth="1"/>
    <col min="2" max="2" width="21.81640625" style="30" customWidth="1"/>
    <col min="3" max="3" width="115.7265625" style="59" customWidth="1"/>
    <col min="4" max="4" width="13.26953125" style="30" customWidth="1"/>
    <col min="5" max="5" width="18.1796875" style="30" hidden="1" customWidth="1"/>
    <col min="6" max="6" width="6.81640625" style="30" hidden="1" customWidth="1"/>
    <col min="7" max="256" width="12.54296875" style="30"/>
    <col min="257" max="257" width="40.453125" style="30" customWidth="1"/>
    <col min="258" max="258" width="21.81640625" style="30" customWidth="1"/>
    <col min="259" max="259" width="115.7265625" style="30" customWidth="1"/>
    <col min="260" max="260" width="13.26953125" style="30" customWidth="1"/>
    <col min="261" max="262" width="0" style="30" hidden="1" customWidth="1"/>
    <col min="263" max="512" width="12.54296875" style="30"/>
    <col min="513" max="513" width="40.453125" style="30" customWidth="1"/>
    <col min="514" max="514" width="21.81640625" style="30" customWidth="1"/>
    <col min="515" max="515" width="115.7265625" style="30" customWidth="1"/>
    <col min="516" max="516" width="13.26953125" style="30" customWidth="1"/>
    <col min="517" max="518" width="0" style="30" hidden="1" customWidth="1"/>
    <col min="519" max="768" width="12.54296875" style="30"/>
    <col min="769" max="769" width="40.453125" style="30" customWidth="1"/>
    <col min="770" max="770" width="21.81640625" style="30" customWidth="1"/>
    <col min="771" max="771" width="115.7265625" style="30" customWidth="1"/>
    <col min="772" max="772" width="13.26953125" style="30" customWidth="1"/>
    <col min="773" max="774" width="0" style="30" hidden="1" customWidth="1"/>
    <col min="775" max="1024" width="12.54296875" style="30"/>
    <col min="1025" max="1025" width="40.453125" style="30" customWidth="1"/>
    <col min="1026" max="1026" width="21.81640625" style="30" customWidth="1"/>
    <col min="1027" max="1027" width="115.7265625" style="30" customWidth="1"/>
    <col min="1028" max="1028" width="13.26953125" style="30" customWidth="1"/>
    <col min="1029" max="1030" width="0" style="30" hidden="1" customWidth="1"/>
    <col min="1031" max="1280" width="12.54296875" style="30"/>
    <col min="1281" max="1281" width="40.453125" style="30" customWidth="1"/>
    <col min="1282" max="1282" width="21.81640625" style="30" customWidth="1"/>
    <col min="1283" max="1283" width="115.7265625" style="30" customWidth="1"/>
    <col min="1284" max="1284" width="13.26953125" style="30" customWidth="1"/>
    <col min="1285" max="1286" width="0" style="30" hidden="1" customWidth="1"/>
    <col min="1287" max="1536" width="12.54296875" style="30"/>
    <col min="1537" max="1537" width="40.453125" style="30" customWidth="1"/>
    <col min="1538" max="1538" width="21.81640625" style="30" customWidth="1"/>
    <col min="1539" max="1539" width="115.7265625" style="30" customWidth="1"/>
    <col min="1540" max="1540" width="13.26953125" style="30" customWidth="1"/>
    <col min="1541" max="1542" width="0" style="30" hidden="1" customWidth="1"/>
    <col min="1543" max="1792" width="12.54296875" style="30"/>
    <col min="1793" max="1793" width="40.453125" style="30" customWidth="1"/>
    <col min="1794" max="1794" width="21.81640625" style="30" customWidth="1"/>
    <col min="1795" max="1795" width="115.7265625" style="30" customWidth="1"/>
    <col min="1796" max="1796" width="13.26953125" style="30" customWidth="1"/>
    <col min="1797" max="1798" width="0" style="30" hidden="1" customWidth="1"/>
    <col min="1799" max="2048" width="12.54296875" style="30"/>
    <col min="2049" max="2049" width="40.453125" style="30" customWidth="1"/>
    <col min="2050" max="2050" width="21.81640625" style="30" customWidth="1"/>
    <col min="2051" max="2051" width="115.7265625" style="30" customWidth="1"/>
    <col min="2052" max="2052" width="13.26953125" style="30" customWidth="1"/>
    <col min="2053" max="2054" width="0" style="30" hidden="1" customWidth="1"/>
    <col min="2055" max="2304" width="12.54296875" style="30"/>
    <col min="2305" max="2305" width="40.453125" style="30" customWidth="1"/>
    <col min="2306" max="2306" width="21.81640625" style="30" customWidth="1"/>
    <col min="2307" max="2307" width="115.7265625" style="30" customWidth="1"/>
    <col min="2308" max="2308" width="13.26953125" style="30" customWidth="1"/>
    <col min="2309" max="2310" width="0" style="30" hidden="1" customWidth="1"/>
    <col min="2311" max="2560" width="12.54296875" style="30"/>
    <col min="2561" max="2561" width="40.453125" style="30" customWidth="1"/>
    <col min="2562" max="2562" width="21.81640625" style="30" customWidth="1"/>
    <col min="2563" max="2563" width="115.7265625" style="30" customWidth="1"/>
    <col min="2564" max="2564" width="13.26953125" style="30" customWidth="1"/>
    <col min="2565" max="2566" width="0" style="30" hidden="1" customWidth="1"/>
    <col min="2567" max="2816" width="12.54296875" style="30"/>
    <col min="2817" max="2817" width="40.453125" style="30" customWidth="1"/>
    <col min="2818" max="2818" width="21.81640625" style="30" customWidth="1"/>
    <col min="2819" max="2819" width="115.7265625" style="30" customWidth="1"/>
    <col min="2820" max="2820" width="13.26953125" style="30" customWidth="1"/>
    <col min="2821" max="2822" width="0" style="30" hidden="1" customWidth="1"/>
    <col min="2823" max="3072" width="12.54296875" style="30"/>
    <col min="3073" max="3073" width="40.453125" style="30" customWidth="1"/>
    <col min="3074" max="3074" width="21.81640625" style="30" customWidth="1"/>
    <col min="3075" max="3075" width="115.7265625" style="30" customWidth="1"/>
    <col min="3076" max="3076" width="13.26953125" style="30" customWidth="1"/>
    <col min="3077" max="3078" width="0" style="30" hidden="1" customWidth="1"/>
    <col min="3079" max="3328" width="12.54296875" style="30"/>
    <col min="3329" max="3329" width="40.453125" style="30" customWidth="1"/>
    <col min="3330" max="3330" width="21.81640625" style="30" customWidth="1"/>
    <col min="3331" max="3331" width="115.7265625" style="30" customWidth="1"/>
    <col min="3332" max="3332" width="13.26953125" style="30" customWidth="1"/>
    <col min="3333" max="3334" width="0" style="30" hidden="1" customWidth="1"/>
    <col min="3335" max="3584" width="12.54296875" style="30"/>
    <col min="3585" max="3585" width="40.453125" style="30" customWidth="1"/>
    <col min="3586" max="3586" width="21.81640625" style="30" customWidth="1"/>
    <col min="3587" max="3587" width="115.7265625" style="30" customWidth="1"/>
    <col min="3588" max="3588" width="13.26953125" style="30" customWidth="1"/>
    <col min="3589" max="3590" width="0" style="30" hidden="1" customWidth="1"/>
    <col min="3591" max="3840" width="12.54296875" style="30"/>
    <col min="3841" max="3841" width="40.453125" style="30" customWidth="1"/>
    <col min="3842" max="3842" width="21.81640625" style="30" customWidth="1"/>
    <col min="3843" max="3843" width="115.7265625" style="30" customWidth="1"/>
    <col min="3844" max="3844" width="13.26953125" style="30" customWidth="1"/>
    <col min="3845" max="3846" width="0" style="30" hidden="1" customWidth="1"/>
    <col min="3847" max="4096" width="12.54296875" style="30"/>
    <col min="4097" max="4097" width="40.453125" style="30" customWidth="1"/>
    <col min="4098" max="4098" width="21.81640625" style="30" customWidth="1"/>
    <col min="4099" max="4099" width="115.7265625" style="30" customWidth="1"/>
    <col min="4100" max="4100" width="13.26953125" style="30" customWidth="1"/>
    <col min="4101" max="4102" width="0" style="30" hidden="1" customWidth="1"/>
    <col min="4103" max="4352" width="12.54296875" style="30"/>
    <col min="4353" max="4353" width="40.453125" style="30" customWidth="1"/>
    <col min="4354" max="4354" width="21.81640625" style="30" customWidth="1"/>
    <col min="4355" max="4355" width="115.7265625" style="30" customWidth="1"/>
    <col min="4356" max="4356" width="13.26953125" style="30" customWidth="1"/>
    <col min="4357" max="4358" width="0" style="30" hidden="1" customWidth="1"/>
    <col min="4359" max="4608" width="12.54296875" style="30"/>
    <col min="4609" max="4609" width="40.453125" style="30" customWidth="1"/>
    <col min="4610" max="4610" width="21.81640625" style="30" customWidth="1"/>
    <col min="4611" max="4611" width="115.7265625" style="30" customWidth="1"/>
    <col min="4612" max="4612" width="13.26953125" style="30" customWidth="1"/>
    <col min="4613" max="4614" width="0" style="30" hidden="1" customWidth="1"/>
    <col min="4615" max="4864" width="12.54296875" style="30"/>
    <col min="4865" max="4865" width="40.453125" style="30" customWidth="1"/>
    <col min="4866" max="4866" width="21.81640625" style="30" customWidth="1"/>
    <col min="4867" max="4867" width="115.7265625" style="30" customWidth="1"/>
    <col min="4868" max="4868" width="13.26953125" style="30" customWidth="1"/>
    <col min="4869" max="4870" width="0" style="30" hidden="1" customWidth="1"/>
    <col min="4871" max="5120" width="12.54296875" style="30"/>
    <col min="5121" max="5121" width="40.453125" style="30" customWidth="1"/>
    <col min="5122" max="5122" width="21.81640625" style="30" customWidth="1"/>
    <col min="5123" max="5123" width="115.7265625" style="30" customWidth="1"/>
    <col min="5124" max="5124" width="13.26953125" style="30" customWidth="1"/>
    <col min="5125" max="5126" width="0" style="30" hidden="1" customWidth="1"/>
    <col min="5127" max="5376" width="12.54296875" style="30"/>
    <col min="5377" max="5377" width="40.453125" style="30" customWidth="1"/>
    <col min="5378" max="5378" width="21.81640625" style="30" customWidth="1"/>
    <col min="5379" max="5379" width="115.7265625" style="30" customWidth="1"/>
    <col min="5380" max="5380" width="13.26953125" style="30" customWidth="1"/>
    <col min="5381" max="5382" width="0" style="30" hidden="1" customWidth="1"/>
    <col min="5383" max="5632" width="12.54296875" style="30"/>
    <col min="5633" max="5633" width="40.453125" style="30" customWidth="1"/>
    <col min="5634" max="5634" width="21.81640625" style="30" customWidth="1"/>
    <col min="5635" max="5635" width="115.7265625" style="30" customWidth="1"/>
    <col min="5636" max="5636" width="13.26953125" style="30" customWidth="1"/>
    <col min="5637" max="5638" width="0" style="30" hidden="1" customWidth="1"/>
    <col min="5639" max="5888" width="12.54296875" style="30"/>
    <col min="5889" max="5889" width="40.453125" style="30" customWidth="1"/>
    <col min="5890" max="5890" width="21.81640625" style="30" customWidth="1"/>
    <col min="5891" max="5891" width="115.7265625" style="30" customWidth="1"/>
    <col min="5892" max="5892" width="13.26953125" style="30" customWidth="1"/>
    <col min="5893" max="5894" width="0" style="30" hidden="1" customWidth="1"/>
    <col min="5895" max="6144" width="12.54296875" style="30"/>
    <col min="6145" max="6145" width="40.453125" style="30" customWidth="1"/>
    <col min="6146" max="6146" width="21.81640625" style="30" customWidth="1"/>
    <col min="6147" max="6147" width="115.7265625" style="30" customWidth="1"/>
    <col min="6148" max="6148" width="13.26953125" style="30" customWidth="1"/>
    <col min="6149" max="6150" width="0" style="30" hidden="1" customWidth="1"/>
    <col min="6151" max="6400" width="12.54296875" style="30"/>
    <col min="6401" max="6401" width="40.453125" style="30" customWidth="1"/>
    <col min="6402" max="6402" width="21.81640625" style="30" customWidth="1"/>
    <col min="6403" max="6403" width="115.7265625" style="30" customWidth="1"/>
    <col min="6404" max="6404" width="13.26953125" style="30" customWidth="1"/>
    <col min="6405" max="6406" width="0" style="30" hidden="1" customWidth="1"/>
    <col min="6407" max="6656" width="12.54296875" style="30"/>
    <col min="6657" max="6657" width="40.453125" style="30" customWidth="1"/>
    <col min="6658" max="6658" width="21.81640625" style="30" customWidth="1"/>
    <col min="6659" max="6659" width="115.7265625" style="30" customWidth="1"/>
    <col min="6660" max="6660" width="13.26953125" style="30" customWidth="1"/>
    <col min="6661" max="6662" width="0" style="30" hidden="1" customWidth="1"/>
    <col min="6663" max="6912" width="12.54296875" style="30"/>
    <col min="6913" max="6913" width="40.453125" style="30" customWidth="1"/>
    <col min="6914" max="6914" width="21.81640625" style="30" customWidth="1"/>
    <col min="6915" max="6915" width="115.7265625" style="30" customWidth="1"/>
    <col min="6916" max="6916" width="13.26953125" style="30" customWidth="1"/>
    <col min="6917" max="6918" width="0" style="30" hidden="1" customWidth="1"/>
    <col min="6919" max="7168" width="12.54296875" style="30"/>
    <col min="7169" max="7169" width="40.453125" style="30" customWidth="1"/>
    <col min="7170" max="7170" width="21.81640625" style="30" customWidth="1"/>
    <col min="7171" max="7171" width="115.7265625" style="30" customWidth="1"/>
    <col min="7172" max="7172" width="13.26953125" style="30" customWidth="1"/>
    <col min="7173" max="7174" width="0" style="30" hidden="1" customWidth="1"/>
    <col min="7175" max="7424" width="12.54296875" style="30"/>
    <col min="7425" max="7425" width="40.453125" style="30" customWidth="1"/>
    <col min="7426" max="7426" width="21.81640625" style="30" customWidth="1"/>
    <col min="7427" max="7427" width="115.7265625" style="30" customWidth="1"/>
    <col min="7428" max="7428" width="13.26953125" style="30" customWidth="1"/>
    <col min="7429" max="7430" width="0" style="30" hidden="1" customWidth="1"/>
    <col min="7431" max="7680" width="12.54296875" style="30"/>
    <col min="7681" max="7681" width="40.453125" style="30" customWidth="1"/>
    <col min="7682" max="7682" width="21.81640625" style="30" customWidth="1"/>
    <col min="7683" max="7683" width="115.7265625" style="30" customWidth="1"/>
    <col min="7684" max="7684" width="13.26953125" style="30" customWidth="1"/>
    <col min="7685" max="7686" width="0" style="30" hidden="1" customWidth="1"/>
    <col min="7687" max="7936" width="12.54296875" style="30"/>
    <col min="7937" max="7937" width="40.453125" style="30" customWidth="1"/>
    <col min="7938" max="7938" width="21.81640625" style="30" customWidth="1"/>
    <col min="7939" max="7939" width="115.7265625" style="30" customWidth="1"/>
    <col min="7940" max="7940" width="13.26953125" style="30" customWidth="1"/>
    <col min="7941" max="7942" width="0" style="30" hidden="1" customWidth="1"/>
    <col min="7943" max="8192" width="12.54296875" style="30"/>
    <col min="8193" max="8193" width="40.453125" style="30" customWidth="1"/>
    <col min="8194" max="8194" width="21.81640625" style="30" customWidth="1"/>
    <col min="8195" max="8195" width="115.7265625" style="30" customWidth="1"/>
    <col min="8196" max="8196" width="13.26953125" style="30" customWidth="1"/>
    <col min="8197" max="8198" width="0" style="30" hidden="1" customWidth="1"/>
    <col min="8199" max="8448" width="12.54296875" style="30"/>
    <col min="8449" max="8449" width="40.453125" style="30" customWidth="1"/>
    <col min="8450" max="8450" width="21.81640625" style="30" customWidth="1"/>
    <col min="8451" max="8451" width="115.7265625" style="30" customWidth="1"/>
    <col min="8452" max="8452" width="13.26953125" style="30" customWidth="1"/>
    <col min="8453" max="8454" width="0" style="30" hidden="1" customWidth="1"/>
    <col min="8455" max="8704" width="12.54296875" style="30"/>
    <col min="8705" max="8705" width="40.453125" style="30" customWidth="1"/>
    <col min="8706" max="8706" width="21.81640625" style="30" customWidth="1"/>
    <col min="8707" max="8707" width="115.7265625" style="30" customWidth="1"/>
    <col min="8708" max="8708" width="13.26953125" style="30" customWidth="1"/>
    <col min="8709" max="8710" width="0" style="30" hidden="1" customWidth="1"/>
    <col min="8711" max="8960" width="12.54296875" style="30"/>
    <col min="8961" max="8961" width="40.453125" style="30" customWidth="1"/>
    <col min="8962" max="8962" width="21.81640625" style="30" customWidth="1"/>
    <col min="8963" max="8963" width="115.7265625" style="30" customWidth="1"/>
    <col min="8964" max="8964" width="13.26953125" style="30" customWidth="1"/>
    <col min="8965" max="8966" width="0" style="30" hidden="1" customWidth="1"/>
    <col min="8967" max="9216" width="12.54296875" style="30"/>
    <col min="9217" max="9217" width="40.453125" style="30" customWidth="1"/>
    <col min="9218" max="9218" width="21.81640625" style="30" customWidth="1"/>
    <col min="9219" max="9219" width="115.7265625" style="30" customWidth="1"/>
    <col min="9220" max="9220" width="13.26953125" style="30" customWidth="1"/>
    <col min="9221" max="9222" width="0" style="30" hidden="1" customWidth="1"/>
    <col min="9223" max="9472" width="12.54296875" style="30"/>
    <col min="9473" max="9473" width="40.453125" style="30" customWidth="1"/>
    <col min="9474" max="9474" width="21.81640625" style="30" customWidth="1"/>
    <col min="9475" max="9475" width="115.7265625" style="30" customWidth="1"/>
    <col min="9476" max="9476" width="13.26953125" style="30" customWidth="1"/>
    <col min="9477" max="9478" width="0" style="30" hidden="1" customWidth="1"/>
    <col min="9479" max="9728" width="12.54296875" style="30"/>
    <col min="9729" max="9729" width="40.453125" style="30" customWidth="1"/>
    <col min="9730" max="9730" width="21.81640625" style="30" customWidth="1"/>
    <col min="9731" max="9731" width="115.7265625" style="30" customWidth="1"/>
    <col min="9732" max="9732" width="13.26953125" style="30" customWidth="1"/>
    <col min="9733" max="9734" width="0" style="30" hidden="1" customWidth="1"/>
    <col min="9735" max="9984" width="12.54296875" style="30"/>
    <col min="9985" max="9985" width="40.453125" style="30" customWidth="1"/>
    <col min="9986" max="9986" width="21.81640625" style="30" customWidth="1"/>
    <col min="9987" max="9987" width="115.7265625" style="30" customWidth="1"/>
    <col min="9988" max="9988" width="13.26953125" style="30" customWidth="1"/>
    <col min="9989" max="9990" width="0" style="30" hidden="1" customWidth="1"/>
    <col min="9991" max="10240" width="12.54296875" style="30"/>
    <col min="10241" max="10241" width="40.453125" style="30" customWidth="1"/>
    <col min="10242" max="10242" width="21.81640625" style="30" customWidth="1"/>
    <col min="10243" max="10243" width="115.7265625" style="30" customWidth="1"/>
    <col min="10244" max="10244" width="13.26953125" style="30" customWidth="1"/>
    <col min="10245" max="10246" width="0" style="30" hidden="1" customWidth="1"/>
    <col min="10247" max="10496" width="12.54296875" style="30"/>
    <col min="10497" max="10497" width="40.453125" style="30" customWidth="1"/>
    <col min="10498" max="10498" width="21.81640625" style="30" customWidth="1"/>
    <col min="10499" max="10499" width="115.7265625" style="30" customWidth="1"/>
    <col min="10500" max="10500" width="13.26953125" style="30" customWidth="1"/>
    <col min="10501" max="10502" width="0" style="30" hidden="1" customWidth="1"/>
    <col min="10503" max="10752" width="12.54296875" style="30"/>
    <col min="10753" max="10753" width="40.453125" style="30" customWidth="1"/>
    <col min="10754" max="10754" width="21.81640625" style="30" customWidth="1"/>
    <col min="10755" max="10755" width="115.7265625" style="30" customWidth="1"/>
    <col min="10756" max="10756" width="13.26953125" style="30" customWidth="1"/>
    <col min="10757" max="10758" width="0" style="30" hidden="1" customWidth="1"/>
    <col min="10759" max="11008" width="12.54296875" style="30"/>
    <col min="11009" max="11009" width="40.453125" style="30" customWidth="1"/>
    <col min="11010" max="11010" width="21.81640625" style="30" customWidth="1"/>
    <col min="11011" max="11011" width="115.7265625" style="30" customWidth="1"/>
    <col min="11012" max="11012" width="13.26953125" style="30" customWidth="1"/>
    <col min="11013" max="11014" width="0" style="30" hidden="1" customWidth="1"/>
    <col min="11015" max="11264" width="12.54296875" style="30"/>
    <col min="11265" max="11265" width="40.453125" style="30" customWidth="1"/>
    <col min="11266" max="11266" width="21.81640625" style="30" customWidth="1"/>
    <col min="11267" max="11267" width="115.7265625" style="30" customWidth="1"/>
    <col min="11268" max="11268" width="13.26953125" style="30" customWidth="1"/>
    <col min="11269" max="11270" width="0" style="30" hidden="1" customWidth="1"/>
    <col min="11271" max="11520" width="12.54296875" style="30"/>
    <col min="11521" max="11521" width="40.453125" style="30" customWidth="1"/>
    <col min="11522" max="11522" width="21.81640625" style="30" customWidth="1"/>
    <col min="11523" max="11523" width="115.7265625" style="30" customWidth="1"/>
    <col min="11524" max="11524" width="13.26953125" style="30" customWidth="1"/>
    <col min="11525" max="11526" width="0" style="30" hidden="1" customWidth="1"/>
    <col min="11527" max="11776" width="12.54296875" style="30"/>
    <col min="11777" max="11777" width="40.453125" style="30" customWidth="1"/>
    <col min="11778" max="11778" width="21.81640625" style="30" customWidth="1"/>
    <col min="11779" max="11779" width="115.7265625" style="30" customWidth="1"/>
    <col min="11780" max="11780" width="13.26953125" style="30" customWidth="1"/>
    <col min="11781" max="11782" width="0" style="30" hidden="1" customWidth="1"/>
    <col min="11783" max="12032" width="12.54296875" style="30"/>
    <col min="12033" max="12033" width="40.453125" style="30" customWidth="1"/>
    <col min="12034" max="12034" width="21.81640625" style="30" customWidth="1"/>
    <col min="12035" max="12035" width="115.7265625" style="30" customWidth="1"/>
    <col min="12036" max="12036" width="13.26953125" style="30" customWidth="1"/>
    <col min="12037" max="12038" width="0" style="30" hidden="1" customWidth="1"/>
    <col min="12039" max="12288" width="12.54296875" style="30"/>
    <col min="12289" max="12289" width="40.453125" style="30" customWidth="1"/>
    <col min="12290" max="12290" width="21.81640625" style="30" customWidth="1"/>
    <col min="12291" max="12291" width="115.7265625" style="30" customWidth="1"/>
    <col min="12292" max="12292" width="13.26953125" style="30" customWidth="1"/>
    <col min="12293" max="12294" width="0" style="30" hidden="1" customWidth="1"/>
    <col min="12295" max="12544" width="12.54296875" style="30"/>
    <col min="12545" max="12545" width="40.453125" style="30" customWidth="1"/>
    <col min="12546" max="12546" width="21.81640625" style="30" customWidth="1"/>
    <col min="12547" max="12547" width="115.7265625" style="30" customWidth="1"/>
    <col min="12548" max="12548" width="13.26953125" style="30" customWidth="1"/>
    <col min="12549" max="12550" width="0" style="30" hidden="1" customWidth="1"/>
    <col min="12551" max="12800" width="12.54296875" style="30"/>
    <col min="12801" max="12801" width="40.453125" style="30" customWidth="1"/>
    <col min="12802" max="12802" width="21.81640625" style="30" customWidth="1"/>
    <col min="12803" max="12803" width="115.7265625" style="30" customWidth="1"/>
    <col min="12804" max="12804" width="13.26953125" style="30" customWidth="1"/>
    <col min="12805" max="12806" width="0" style="30" hidden="1" customWidth="1"/>
    <col min="12807" max="13056" width="12.54296875" style="30"/>
    <col min="13057" max="13057" width="40.453125" style="30" customWidth="1"/>
    <col min="13058" max="13058" width="21.81640625" style="30" customWidth="1"/>
    <col min="13059" max="13059" width="115.7265625" style="30" customWidth="1"/>
    <col min="13060" max="13060" width="13.26953125" style="30" customWidth="1"/>
    <col min="13061" max="13062" width="0" style="30" hidden="1" customWidth="1"/>
    <col min="13063" max="13312" width="12.54296875" style="30"/>
    <col min="13313" max="13313" width="40.453125" style="30" customWidth="1"/>
    <col min="13314" max="13314" width="21.81640625" style="30" customWidth="1"/>
    <col min="13315" max="13315" width="115.7265625" style="30" customWidth="1"/>
    <col min="13316" max="13316" width="13.26953125" style="30" customWidth="1"/>
    <col min="13317" max="13318" width="0" style="30" hidden="1" customWidth="1"/>
    <col min="13319" max="13568" width="12.54296875" style="30"/>
    <col min="13569" max="13569" width="40.453125" style="30" customWidth="1"/>
    <col min="13570" max="13570" width="21.81640625" style="30" customWidth="1"/>
    <col min="13571" max="13571" width="115.7265625" style="30" customWidth="1"/>
    <col min="13572" max="13572" width="13.26953125" style="30" customWidth="1"/>
    <col min="13573" max="13574" width="0" style="30" hidden="1" customWidth="1"/>
    <col min="13575" max="13824" width="12.54296875" style="30"/>
    <col min="13825" max="13825" width="40.453125" style="30" customWidth="1"/>
    <col min="13826" max="13826" width="21.81640625" style="30" customWidth="1"/>
    <col min="13827" max="13827" width="115.7265625" style="30" customWidth="1"/>
    <col min="13828" max="13828" width="13.26953125" style="30" customWidth="1"/>
    <col min="13829" max="13830" width="0" style="30" hidden="1" customWidth="1"/>
    <col min="13831" max="14080" width="12.54296875" style="30"/>
    <col min="14081" max="14081" width="40.453125" style="30" customWidth="1"/>
    <col min="14082" max="14082" width="21.81640625" style="30" customWidth="1"/>
    <col min="14083" max="14083" width="115.7265625" style="30" customWidth="1"/>
    <col min="14084" max="14084" width="13.26953125" style="30" customWidth="1"/>
    <col min="14085" max="14086" width="0" style="30" hidden="1" customWidth="1"/>
    <col min="14087" max="14336" width="12.54296875" style="30"/>
    <col min="14337" max="14337" width="40.453125" style="30" customWidth="1"/>
    <col min="14338" max="14338" width="21.81640625" style="30" customWidth="1"/>
    <col min="14339" max="14339" width="115.7265625" style="30" customWidth="1"/>
    <col min="14340" max="14340" width="13.26953125" style="30" customWidth="1"/>
    <col min="14341" max="14342" width="0" style="30" hidden="1" customWidth="1"/>
    <col min="14343" max="14592" width="12.54296875" style="30"/>
    <col min="14593" max="14593" width="40.453125" style="30" customWidth="1"/>
    <col min="14594" max="14594" width="21.81640625" style="30" customWidth="1"/>
    <col min="14595" max="14595" width="115.7265625" style="30" customWidth="1"/>
    <col min="14596" max="14596" width="13.26953125" style="30" customWidth="1"/>
    <col min="14597" max="14598" width="0" style="30" hidden="1" customWidth="1"/>
    <col min="14599" max="14848" width="12.54296875" style="30"/>
    <col min="14849" max="14849" width="40.453125" style="30" customWidth="1"/>
    <col min="14850" max="14850" width="21.81640625" style="30" customWidth="1"/>
    <col min="14851" max="14851" width="115.7265625" style="30" customWidth="1"/>
    <col min="14852" max="14852" width="13.26953125" style="30" customWidth="1"/>
    <col min="14853" max="14854" width="0" style="30" hidden="1" customWidth="1"/>
    <col min="14855" max="15104" width="12.54296875" style="30"/>
    <col min="15105" max="15105" width="40.453125" style="30" customWidth="1"/>
    <col min="15106" max="15106" width="21.81640625" style="30" customWidth="1"/>
    <col min="15107" max="15107" width="115.7265625" style="30" customWidth="1"/>
    <col min="15108" max="15108" width="13.26953125" style="30" customWidth="1"/>
    <col min="15109" max="15110" width="0" style="30" hidden="1" customWidth="1"/>
    <col min="15111" max="15360" width="12.54296875" style="30"/>
    <col min="15361" max="15361" width="40.453125" style="30" customWidth="1"/>
    <col min="15362" max="15362" width="21.81640625" style="30" customWidth="1"/>
    <col min="15363" max="15363" width="115.7265625" style="30" customWidth="1"/>
    <col min="15364" max="15364" width="13.26953125" style="30" customWidth="1"/>
    <col min="15365" max="15366" width="0" style="30" hidden="1" customWidth="1"/>
    <col min="15367" max="15616" width="12.54296875" style="30"/>
    <col min="15617" max="15617" width="40.453125" style="30" customWidth="1"/>
    <col min="15618" max="15618" width="21.81640625" style="30" customWidth="1"/>
    <col min="15619" max="15619" width="115.7265625" style="30" customWidth="1"/>
    <col min="15620" max="15620" width="13.26953125" style="30" customWidth="1"/>
    <col min="15621" max="15622" width="0" style="30" hidden="1" customWidth="1"/>
    <col min="15623" max="15872" width="12.54296875" style="30"/>
    <col min="15873" max="15873" width="40.453125" style="30" customWidth="1"/>
    <col min="15874" max="15874" width="21.81640625" style="30" customWidth="1"/>
    <col min="15875" max="15875" width="115.7265625" style="30" customWidth="1"/>
    <col min="15876" max="15876" width="13.26953125" style="30" customWidth="1"/>
    <col min="15877" max="15878" width="0" style="30" hidden="1" customWidth="1"/>
    <col min="15879" max="16128" width="12.54296875" style="30"/>
    <col min="16129" max="16129" width="40.453125" style="30" customWidth="1"/>
    <col min="16130" max="16130" width="21.81640625" style="30" customWidth="1"/>
    <col min="16131" max="16131" width="115.7265625" style="30" customWidth="1"/>
    <col min="16132" max="16132" width="13.26953125" style="30" customWidth="1"/>
    <col min="16133" max="16134" width="0" style="30" hidden="1" customWidth="1"/>
    <col min="16135" max="16384" width="12.54296875" style="30"/>
  </cols>
  <sheetData>
    <row r="1" spans="1:7" ht="23.25" customHeight="1">
      <c r="B1" s="31"/>
      <c r="C1" s="32"/>
      <c r="D1" s="31"/>
      <c r="E1" s="31"/>
    </row>
    <row r="2" spans="1:7" ht="23.25" customHeight="1">
      <c r="B2" s="31"/>
      <c r="C2" s="33" t="str">
        <f>HLOOKUP($F$2,Nombres!$C$3:$D$636,2,FALSE)</f>
        <v>Series trimestrales 2023-2024</v>
      </c>
      <c r="D2" s="31"/>
      <c r="E2" s="31"/>
      <c r="F2" s="34">
        <v>7</v>
      </c>
    </row>
    <row r="3" spans="1:7" ht="23.25" customHeight="1">
      <c r="B3" s="31"/>
      <c r="C3" s="32"/>
      <c r="D3" s="31"/>
      <c r="E3" s="31"/>
    </row>
    <row r="4" spans="1:7" ht="23.25" customHeight="1">
      <c r="A4" s="35"/>
      <c r="B4" s="31"/>
      <c r="C4" s="36" t="str">
        <f>HLOOKUP($F$2,Nombres!$C$3:$D$636,3,FALSE)</f>
        <v>Grupo BBVA</v>
      </c>
      <c r="D4" s="37"/>
      <c r="E4" s="31" t="b">
        <v>0</v>
      </c>
      <c r="G4" s="38"/>
    </row>
    <row r="5" spans="1:7" ht="23.25" customHeight="1">
      <c r="B5" s="31"/>
      <c r="C5" s="39" t="str">
        <f>HLOOKUP($F$2,Nombres!$C$3:$D$636,4,FALSE)</f>
        <v>Cuentas de resultados consolidadas</v>
      </c>
      <c r="D5" s="31"/>
      <c r="E5" s="31" t="b">
        <v>0</v>
      </c>
      <c r="F5" s="30" t="b">
        <f>OR($E$4,E5)</f>
        <v>0</v>
      </c>
      <c r="G5" s="38"/>
    </row>
    <row r="6" spans="1:7" ht="23.25" hidden="1" customHeight="1">
      <c r="B6" s="31"/>
      <c r="C6" s="39"/>
      <c r="D6" s="31"/>
      <c r="E6" s="31" t="b">
        <v>0</v>
      </c>
      <c r="F6" s="30" t="b">
        <f>OR($E$4,E6)</f>
        <v>0</v>
      </c>
      <c r="G6" s="38"/>
    </row>
    <row r="7" spans="1:7" ht="23.25" customHeight="1">
      <c r="B7" s="31"/>
      <c r="C7" s="39" t="str">
        <f>HLOOKUP($F$2,Nombres!$C$3:$D$636,5,FALSE)</f>
        <v>Balances de situación consolidados</v>
      </c>
      <c r="D7" s="31"/>
      <c r="E7" s="31"/>
      <c r="G7" s="38"/>
    </row>
    <row r="8" spans="1:7" ht="23.25" customHeight="1">
      <c r="B8" s="40"/>
      <c r="C8" s="36" t="str">
        <f>HLOOKUP($F$2,Nombres!$C$3:$D$636,6,FALSE)</f>
        <v>Áreas de negocio</v>
      </c>
      <c r="D8" s="40"/>
      <c r="E8" s="40" t="b">
        <v>0</v>
      </c>
      <c r="F8" s="41"/>
      <c r="G8" s="42"/>
    </row>
    <row r="9" spans="1:7" s="46" customFormat="1" ht="23.25" customHeight="1">
      <c r="A9" s="30"/>
      <c r="B9" s="43"/>
      <c r="C9" s="44" t="str">
        <f>HLOOKUP($F$2,Nombres!$C$3:$D$636,7,FALSE)</f>
        <v>España</v>
      </c>
      <c r="D9" s="43"/>
      <c r="E9" s="43" t="b">
        <v>1</v>
      </c>
      <c r="F9" s="30" t="b">
        <f t="shared" ref="F9:F19" si="0">OR($E$8,E9)</f>
        <v>1</v>
      </c>
      <c r="G9" s="45"/>
    </row>
    <row r="10" spans="1:7" ht="23.25" customHeight="1">
      <c r="A10" s="47"/>
      <c r="B10" s="31"/>
      <c r="C10" s="39" t="str">
        <f>HLOOKUP($F$2,Nombres!$C$3:$D$636,11,FALSE)</f>
        <v>México</v>
      </c>
      <c r="D10" s="31"/>
      <c r="E10" s="31" t="b">
        <v>1</v>
      </c>
      <c r="F10" s="30" t="b">
        <f t="shared" si="0"/>
        <v>1</v>
      </c>
      <c r="G10" s="38"/>
    </row>
    <row r="11" spans="1:7" ht="23.25" customHeight="1">
      <c r="B11" s="31"/>
      <c r="C11" s="39" t="str">
        <f>HLOOKUP($F$2,Nombres!$C$3:$D$636,12,FALSE)</f>
        <v xml:space="preserve">Turquía </v>
      </c>
      <c r="D11" s="31"/>
      <c r="E11" s="31" t="b">
        <v>1</v>
      </c>
      <c r="F11" s="30" t="b">
        <f t="shared" si="0"/>
        <v>1</v>
      </c>
      <c r="G11" s="38"/>
    </row>
    <row r="12" spans="1:7" ht="23.25" customHeight="1">
      <c r="A12" s="48"/>
      <c r="B12" s="31"/>
      <c r="C12" s="39" t="str">
        <f>HLOOKUP($F$2,Nombres!$C$3:$D$636,13,FALSE)</f>
        <v xml:space="preserve">América del Sur </v>
      </c>
      <c r="D12" s="31"/>
      <c r="E12" s="31" t="b">
        <v>1</v>
      </c>
      <c r="F12" s="30" t="b">
        <f t="shared" si="0"/>
        <v>1</v>
      </c>
      <c r="G12" s="38"/>
    </row>
    <row r="13" spans="1:7" s="47" customFormat="1" ht="23.25" customHeight="1">
      <c r="A13" s="48"/>
      <c r="B13" s="49"/>
      <c r="C13" s="39" t="str">
        <f>HLOOKUP($F$2,Nombres!$C$3:$D$636,14,FALSE)</f>
        <v>Argentina</v>
      </c>
      <c r="D13" s="31"/>
      <c r="E13" s="31" t="b">
        <v>1</v>
      </c>
      <c r="F13" s="50" t="b">
        <f>OR($E$8,E13)</f>
        <v>1</v>
      </c>
      <c r="G13" s="51"/>
    </row>
    <row r="14" spans="1:7" ht="23.25" customHeight="1">
      <c r="B14" s="31"/>
      <c r="C14" s="39" t="str">
        <f>HLOOKUP($F$2,Nombres!$C$3:$D$636,15,FALSE)</f>
        <v>Chile</v>
      </c>
      <c r="D14" s="31"/>
      <c r="E14" s="31" t="b">
        <v>0</v>
      </c>
      <c r="F14" s="30" t="b">
        <f t="shared" si="0"/>
        <v>0</v>
      </c>
      <c r="G14" s="38"/>
    </row>
    <row r="15" spans="1:7" s="47" customFormat="1" ht="23.25" customHeight="1">
      <c r="A15" s="30"/>
      <c r="B15" s="49"/>
      <c r="C15" s="39" t="str">
        <f>HLOOKUP($F$2,Nombres!$C$3:$D$636,16,FALSE)</f>
        <v>Colombia</v>
      </c>
      <c r="D15" s="52"/>
      <c r="E15" s="31" t="b">
        <v>0</v>
      </c>
      <c r="F15" s="50" t="b">
        <f t="shared" si="0"/>
        <v>0</v>
      </c>
      <c r="G15" s="51"/>
    </row>
    <row r="16" spans="1:7" s="47" customFormat="1" ht="23.25" customHeight="1">
      <c r="A16" s="35"/>
      <c r="B16" s="49"/>
      <c r="C16" s="39" t="str">
        <f>HLOOKUP($F$2,Nombres!$C$3:$D$636,17,FALSE)</f>
        <v>Perú</v>
      </c>
      <c r="D16" s="52"/>
      <c r="E16" s="31" t="b">
        <v>1</v>
      </c>
      <c r="F16" s="50" t="b">
        <f t="shared" si="0"/>
        <v>1</v>
      </c>
      <c r="G16" s="51"/>
    </row>
    <row r="17" spans="1:7" ht="23.25" customHeight="1">
      <c r="B17" s="31"/>
      <c r="C17" s="39" t="str">
        <f>HLOOKUP($F$2,Nombres!$C$3:$D$636,263,FALSE)</f>
        <v>Resto de Negocios</v>
      </c>
      <c r="D17" s="52"/>
      <c r="E17" s="31" t="b">
        <v>0</v>
      </c>
      <c r="F17" s="30" t="b">
        <f t="shared" si="0"/>
        <v>0</v>
      </c>
      <c r="G17" s="38"/>
    </row>
    <row r="18" spans="1:7" ht="21.75" customHeight="1">
      <c r="B18" s="31"/>
      <c r="C18" s="39" t="str">
        <f>HLOOKUP($F$2,Nombres!$C$3:$D$636,19,FALSE)</f>
        <v>Centro Corporativo</v>
      </c>
      <c r="D18" s="52"/>
      <c r="E18" s="31" t="b">
        <v>0</v>
      </c>
      <c r="F18" s="30" t="b">
        <f t="shared" si="0"/>
        <v>0</v>
      </c>
      <c r="G18" s="38"/>
    </row>
    <row r="19" spans="1:7" ht="23.25" customHeight="1">
      <c r="B19" s="31"/>
      <c r="C19" s="53"/>
      <c r="D19" s="52"/>
      <c r="E19" s="31" t="b">
        <v>0</v>
      </c>
      <c r="F19" s="30" t="b">
        <f t="shared" si="0"/>
        <v>0</v>
      </c>
      <c r="G19" s="38"/>
    </row>
    <row r="20" spans="1:7" ht="23.25" customHeight="1">
      <c r="B20" s="31"/>
      <c r="C20" s="36" t="str">
        <f>HLOOKUP($F$2,Nombres!$C$3:$D$636,20,FALSE)</f>
        <v>Información adicional:</v>
      </c>
      <c r="D20" s="31"/>
      <c r="E20" s="31"/>
      <c r="G20" s="38"/>
    </row>
    <row r="21" spans="1:7" ht="23.25" customHeight="1">
      <c r="A21" s="46"/>
      <c r="B21" s="31"/>
      <c r="C21" s="39" t="str">
        <f>HLOOKUP($F$2,Nombres!$C$3:$D$636,21,FALSE)</f>
        <v>Corporate &amp; Investment Banking</v>
      </c>
      <c r="D21" s="31"/>
      <c r="E21" s="31"/>
      <c r="G21" s="38"/>
    </row>
    <row r="22" spans="1:7" ht="23.25" customHeight="1">
      <c r="A22" s="54"/>
      <c r="B22" s="31"/>
      <c r="C22" s="36" t="str">
        <f>HLOOKUP($F$2,Nombres!$C$3:$D$636,22,FALSE)</f>
        <v>Anexo:</v>
      </c>
      <c r="D22" s="31"/>
      <c r="E22" s="31" t="b">
        <v>0</v>
      </c>
      <c r="F22" s="30" t="b">
        <f>OR($E$8,E22)</f>
        <v>0</v>
      </c>
      <c r="G22" s="38"/>
    </row>
    <row r="23" spans="1:7" ht="24.75" customHeight="1">
      <c r="B23" s="31"/>
      <c r="C23" s="55" t="str">
        <f>HLOOKUP($F$2,Nombres!$C$3:$D$636,23,FALSE)</f>
        <v>Eficiencia</v>
      </c>
      <c r="D23" s="43"/>
      <c r="E23" s="31"/>
      <c r="G23" s="38"/>
    </row>
    <row r="24" spans="1:7" s="46" customFormat="1" ht="23.25" customHeight="1">
      <c r="A24" s="30"/>
      <c r="B24" s="43"/>
      <c r="C24" s="55" t="str">
        <f>HLOOKUP($F$2,Nombres!$C$3:$D$636,24,FALSE)</f>
        <v>Tasas de mora, cobertura y coste de riesgo</v>
      </c>
      <c r="D24" s="31"/>
      <c r="E24" s="43" t="b">
        <v>0</v>
      </c>
      <c r="F24" s="30" t="b">
        <f t="shared" ref="F24:F31" si="1">OR($E$23,E24)</f>
        <v>0</v>
      </c>
      <c r="G24" s="45"/>
    </row>
    <row r="25" spans="1:7" s="54" customFormat="1" ht="23.25" customHeight="1">
      <c r="A25" s="30"/>
      <c r="B25" s="56"/>
      <c r="C25" s="55" t="str">
        <f>HLOOKUP($F$2,Nombres!$C$3:$D$636,25,FALSE)</f>
        <v>Empleados, oficinas y cajeros automáticos</v>
      </c>
      <c r="D25" s="31"/>
      <c r="E25" s="56" t="b">
        <v>0</v>
      </c>
      <c r="F25" s="54" t="b">
        <f t="shared" si="1"/>
        <v>0</v>
      </c>
      <c r="G25" s="57"/>
    </row>
    <row r="26" spans="1:7" ht="23.25" customHeight="1">
      <c r="B26" s="31"/>
      <c r="C26" s="55" t="str">
        <f>HLOOKUP($F$2,Nombres!$C$3:$D$636,26,FALSE)</f>
        <v>Tipos de cambio</v>
      </c>
      <c r="D26" s="31"/>
      <c r="E26" s="31" t="b">
        <v>0</v>
      </c>
      <c r="F26" s="30" t="b">
        <f t="shared" si="1"/>
        <v>0</v>
      </c>
      <c r="G26" s="38"/>
    </row>
    <row r="27" spans="1:7" ht="22.5" customHeight="1">
      <c r="B27" s="31"/>
      <c r="C27" s="55" t="str">
        <f>HLOOKUP($F$2,Nombres!$C$3:$D$636,27,FALSE)</f>
        <v>Diferenciales de la clientela</v>
      </c>
      <c r="D27" s="31"/>
      <c r="E27" s="31" t="b">
        <v>0</v>
      </c>
      <c r="F27" s="30" t="b">
        <f t="shared" si="1"/>
        <v>0</v>
      </c>
      <c r="G27" s="38"/>
    </row>
    <row r="28" spans="1:7" ht="22.5" customHeight="1">
      <c r="B28" s="31"/>
      <c r="C28" s="55" t="str">
        <f>HLOOKUP($F$2,Nombres!$C$3:$D$636,28,FALSE)</f>
        <v>Activos ponderados por riesgo. Desglose por áreas de negocio y principales países</v>
      </c>
      <c r="D28" s="43"/>
      <c r="E28" s="31" t="b">
        <v>1</v>
      </c>
      <c r="F28" s="30" t="b">
        <f t="shared" si="1"/>
        <v>1</v>
      </c>
    </row>
    <row r="29" spans="1:7" ht="23.25" customHeight="1">
      <c r="B29" s="31"/>
      <c r="C29" s="55" t="str">
        <f>HLOOKUP($F$2,Nombres!$C$3:$D$636,29,FALSE)</f>
        <v>Desglose del crédito no dudoso en gestión</v>
      </c>
      <c r="D29" s="56"/>
      <c r="E29" s="31" t="b">
        <v>0</v>
      </c>
      <c r="F29" s="30" t="b">
        <f t="shared" si="1"/>
        <v>0</v>
      </c>
    </row>
    <row r="30" spans="1:7" ht="23.25" customHeight="1">
      <c r="B30" s="31"/>
      <c r="C30" s="55" t="str">
        <f>HLOOKUP($F$2,Nombres!$C$3:$D$636,120,FALSE)</f>
        <v>Desglose de los recursos de clientes en gestión</v>
      </c>
      <c r="D30" s="31"/>
      <c r="E30" s="31" t="b">
        <v>0</v>
      </c>
      <c r="F30" s="30" t="b">
        <f t="shared" si="1"/>
        <v>0</v>
      </c>
    </row>
    <row r="31" spans="1:7" ht="23.25" customHeight="1">
      <c r="B31" s="31"/>
      <c r="C31" s="55" t="str">
        <f>HLOOKUP($F$2,Nombres!$C$3:$D$636,242,FALSE)</f>
        <v>Carteras Coap</v>
      </c>
      <c r="D31" s="31"/>
      <c r="E31" s="31" t="b">
        <v>0</v>
      </c>
      <c r="F31" s="30" t="b">
        <f t="shared" si="1"/>
        <v>0</v>
      </c>
    </row>
    <row r="32" spans="1:7" ht="23.25" customHeight="1">
      <c r="B32" s="31"/>
      <c r="C32" s="32"/>
      <c r="D32" s="31"/>
      <c r="E32" s="31"/>
    </row>
    <row r="33" spans="2:8" ht="23.25" customHeight="1">
      <c r="B33" s="31"/>
      <c r="C33" s="58"/>
      <c r="D33" s="31"/>
      <c r="E33" s="31"/>
    </row>
    <row r="34" spans="2:8" ht="23.25" customHeight="1">
      <c r="B34" s="31"/>
      <c r="C34" s="32"/>
      <c r="D34" s="58"/>
      <c r="E34" s="58"/>
      <c r="F34" s="58"/>
      <c r="G34" s="58"/>
      <c r="H34" s="58"/>
    </row>
    <row r="35" spans="2:8" ht="23.25" customHeight="1">
      <c r="B35" s="31"/>
      <c r="C35" s="32"/>
      <c r="D35" s="31"/>
      <c r="E35" s="31"/>
    </row>
    <row r="36" spans="2:8" ht="23.25" customHeight="1">
      <c r="B36" s="31"/>
      <c r="C36" s="32"/>
      <c r="D36" s="31"/>
      <c r="E36" s="31"/>
    </row>
    <row r="37" spans="2:8" ht="23.25" customHeight="1">
      <c r="B37" s="31"/>
      <c r="C37" s="32"/>
      <c r="D37" s="31"/>
      <c r="E37" s="31"/>
    </row>
    <row r="38" spans="2:8" ht="23.25" customHeight="1">
      <c r="B38" s="31"/>
      <c r="D38" s="31"/>
      <c r="E38" s="31"/>
    </row>
    <row r="43" spans="2:8" ht="23.25" customHeight="1">
      <c r="G43" s="60"/>
    </row>
    <row r="1000" spans="1:1" ht="23.25" customHeight="1">
      <c r="A1000" s="30" t="s">
        <v>550</v>
      </c>
    </row>
  </sheetData>
  <hyperlinks>
    <hyperlink ref="C5" location="'Cuenta de Resultados'!A1" display="'Cuenta de Resultados'!A1"/>
    <hyperlink ref="C9" location="España!A1" display="España!A1"/>
    <hyperlink ref="C10" location="Mexico!A1" display="Mexico!A1"/>
    <hyperlink ref="C11" location="Turquia!A1" display="Turquia!A1"/>
    <hyperlink ref="C12" location="AdS!A1" display="AdS!A1"/>
    <hyperlink ref="C13" location="Argentina!A1" display="Argentina!A1"/>
    <hyperlink ref="C14" location="Chile!A1" display="Chile!A1"/>
    <hyperlink ref="C15" location="Colombia!A1" display="Colombia!A1"/>
    <hyperlink ref="C16" location="Peru!A1" display="Peru!A1"/>
    <hyperlink ref="C17" location="'Resto de Negocios'!A1" display="'Resto de Negocios'!A1"/>
    <hyperlink ref="C18" location="'Centro Corporativo'!A1" display="'Centro Corporativo'!A1"/>
    <hyperlink ref="C21" location="'Corporate &amp; Investment Banking'!A1" display="'Corporate &amp; Investment Banking'!A1"/>
    <hyperlink ref="C23" location="Eficiencia!A1" display="Eficiencia!A1"/>
    <hyperlink ref="C24" location="'Mora,cobertura,coste de riesgo'!A1" display="'Mora,cobertura,coste de riesgo'!A1"/>
    <hyperlink ref="C25" location="'Empleados, oficinas y cajeros'!A1" display="'Empleados, oficinas y cajeros'!A1"/>
    <hyperlink ref="C26" location="'Tipos de Cambio'!A1" display="'Tipos de Cambio'!A1"/>
    <hyperlink ref="C28" location="APRs!A1" display="APRs!A1"/>
    <hyperlink ref="C29" location="Inversion!A1" display="Inversion!A1"/>
    <hyperlink ref="C27" location="Diferenciales!A1" display="Diferenciales!A1"/>
    <hyperlink ref="C30" location="Recursos!A1" display="Recursos!A1"/>
    <hyperlink ref="C7" location="Balance!A1" display="Balance!A1"/>
    <hyperlink ref="C31" location="ALCO!A1" display="ALCO!A1"/>
  </hyperlinks>
  <pageMargins left="0.75" right="0.75" top="1" bottom="1" header="0" footer="0"/>
  <pageSetup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0</xdr:col>
                    <xdr:colOff>285750</xdr:colOff>
                    <xdr:row>5</xdr:row>
                    <xdr:rowOff>209550</xdr:rowOff>
                  </from>
                  <to>
                    <xdr:col>1</xdr:col>
                    <xdr:colOff>260350</xdr:colOff>
                    <xdr:row>7</xdr:row>
                    <xdr:rowOff>247650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0</xdr:col>
                    <xdr:colOff>285750</xdr:colOff>
                    <xdr:row>7</xdr:row>
                    <xdr:rowOff>190500</xdr:rowOff>
                  </from>
                  <to>
                    <xdr:col>1</xdr:col>
                    <xdr:colOff>260350</xdr:colOff>
                    <xdr:row>9</xdr:row>
                    <xdr:rowOff>165100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E996"/>
  <sheetViews>
    <sheetView showGridLines="0" zoomScale="85" zoomScaleNormal="85" workbookViewId="0">
      <selection activeCell="A41" sqref="A41"/>
    </sheetView>
  </sheetViews>
  <sheetFormatPr baseColWidth="10" defaultRowHeight="12.5"/>
  <cols>
    <col min="1" max="1" width="30.7265625" style="236" customWidth="1"/>
    <col min="2" max="6" width="10.7265625" style="236" customWidth="1"/>
    <col min="7" max="9" width="10.7265625" style="236" hidden="1" customWidth="1"/>
    <col min="10" max="256" width="11.453125" style="236"/>
    <col min="257" max="257" width="30.7265625" style="236" customWidth="1"/>
    <col min="258" max="265" width="10.7265625" style="236" customWidth="1"/>
    <col min="266" max="512" width="11.453125" style="236"/>
    <col min="513" max="513" width="30.7265625" style="236" customWidth="1"/>
    <col min="514" max="521" width="10.7265625" style="236" customWidth="1"/>
    <col min="522" max="768" width="11.453125" style="236"/>
    <col min="769" max="769" width="30.7265625" style="236" customWidth="1"/>
    <col min="770" max="777" width="10.7265625" style="236" customWidth="1"/>
    <col min="778" max="1024" width="11.453125" style="236"/>
    <col min="1025" max="1025" width="30.7265625" style="236" customWidth="1"/>
    <col min="1026" max="1033" width="10.7265625" style="236" customWidth="1"/>
    <col min="1034" max="1280" width="11.453125" style="236"/>
    <col min="1281" max="1281" width="30.7265625" style="236" customWidth="1"/>
    <col min="1282" max="1289" width="10.7265625" style="236" customWidth="1"/>
    <col min="1290" max="1536" width="11.453125" style="236"/>
    <col min="1537" max="1537" width="30.7265625" style="236" customWidth="1"/>
    <col min="1538" max="1545" width="10.7265625" style="236" customWidth="1"/>
    <col min="1546" max="1792" width="11.453125" style="236"/>
    <col min="1793" max="1793" width="30.7265625" style="236" customWidth="1"/>
    <col min="1794" max="1801" width="10.7265625" style="236" customWidth="1"/>
    <col min="1802" max="2048" width="11.453125" style="236"/>
    <col min="2049" max="2049" width="30.7265625" style="236" customWidth="1"/>
    <col min="2050" max="2057" width="10.7265625" style="236" customWidth="1"/>
    <col min="2058" max="2304" width="11.453125" style="236"/>
    <col min="2305" max="2305" width="30.7265625" style="236" customWidth="1"/>
    <col min="2306" max="2313" width="10.7265625" style="236" customWidth="1"/>
    <col min="2314" max="2560" width="11.453125" style="236"/>
    <col min="2561" max="2561" width="30.7265625" style="236" customWidth="1"/>
    <col min="2562" max="2569" width="10.7265625" style="236" customWidth="1"/>
    <col min="2570" max="2816" width="11.453125" style="236"/>
    <col min="2817" max="2817" width="30.7265625" style="236" customWidth="1"/>
    <col min="2818" max="2825" width="10.7265625" style="236" customWidth="1"/>
    <col min="2826" max="3072" width="11.453125" style="236"/>
    <col min="3073" max="3073" width="30.7265625" style="236" customWidth="1"/>
    <col min="3074" max="3081" width="10.7265625" style="236" customWidth="1"/>
    <col min="3082" max="3328" width="11.453125" style="236"/>
    <col min="3329" max="3329" width="30.7265625" style="236" customWidth="1"/>
    <col min="3330" max="3337" width="10.7265625" style="236" customWidth="1"/>
    <col min="3338" max="3584" width="11.453125" style="236"/>
    <col min="3585" max="3585" width="30.7265625" style="236" customWidth="1"/>
    <col min="3586" max="3593" width="10.7265625" style="236" customWidth="1"/>
    <col min="3594" max="3840" width="11.453125" style="236"/>
    <col min="3841" max="3841" width="30.7265625" style="236" customWidth="1"/>
    <col min="3842" max="3849" width="10.7265625" style="236" customWidth="1"/>
    <col min="3850" max="4096" width="11.453125" style="236"/>
    <col min="4097" max="4097" width="30.7265625" style="236" customWidth="1"/>
    <col min="4098" max="4105" width="10.7265625" style="236" customWidth="1"/>
    <col min="4106" max="4352" width="11.453125" style="236"/>
    <col min="4353" max="4353" width="30.7265625" style="236" customWidth="1"/>
    <col min="4354" max="4361" width="10.7265625" style="236" customWidth="1"/>
    <col min="4362" max="4608" width="11.453125" style="236"/>
    <col min="4609" max="4609" width="30.7265625" style="236" customWidth="1"/>
    <col min="4610" max="4617" width="10.7265625" style="236" customWidth="1"/>
    <col min="4618" max="4864" width="11.453125" style="236"/>
    <col min="4865" max="4865" width="30.7265625" style="236" customWidth="1"/>
    <col min="4866" max="4873" width="10.7265625" style="236" customWidth="1"/>
    <col min="4874" max="5120" width="11.453125" style="236"/>
    <col min="5121" max="5121" width="30.7265625" style="236" customWidth="1"/>
    <col min="5122" max="5129" width="10.7265625" style="236" customWidth="1"/>
    <col min="5130" max="5376" width="11.453125" style="236"/>
    <col min="5377" max="5377" width="30.7265625" style="236" customWidth="1"/>
    <col min="5378" max="5385" width="10.7265625" style="236" customWidth="1"/>
    <col min="5386" max="5632" width="11.453125" style="236"/>
    <col min="5633" max="5633" width="30.7265625" style="236" customWidth="1"/>
    <col min="5634" max="5641" width="10.7265625" style="236" customWidth="1"/>
    <col min="5642" max="5888" width="11.453125" style="236"/>
    <col min="5889" max="5889" width="30.7265625" style="236" customWidth="1"/>
    <col min="5890" max="5897" width="10.7265625" style="236" customWidth="1"/>
    <col min="5898" max="6144" width="11.453125" style="236"/>
    <col min="6145" max="6145" width="30.7265625" style="236" customWidth="1"/>
    <col min="6146" max="6153" width="10.7265625" style="236" customWidth="1"/>
    <col min="6154" max="6400" width="11.453125" style="236"/>
    <col min="6401" max="6401" width="30.7265625" style="236" customWidth="1"/>
    <col min="6402" max="6409" width="10.7265625" style="236" customWidth="1"/>
    <col min="6410" max="6656" width="11.453125" style="236"/>
    <col min="6657" max="6657" width="30.7265625" style="236" customWidth="1"/>
    <col min="6658" max="6665" width="10.7265625" style="236" customWidth="1"/>
    <col min="6666" max="6912" width="11.453125" style="236"/>
    <col min="6913" max="6913" width="30.7265625" style="236" customWidth="1"/>
    <col min="6914" max="6921" width="10.7265625" style="236" customWidth="1"/>
    <col min="6922" max="7168" width="11.453125" style="236"/>
    <col min="7169" max="7169" width="30.7265625" style="236" customWidth="1"/>
    <col min="7170" max="7177" width="10.7265625" style="236" customWidth="1"/>
    <col min="7178" max="7424" width="11.453125" style="236"/>
    <col min="7425" max="7425" width="30.7265625" style="236" customWidth="1"/>
    <col min="7426" max="7433" width="10.7265625" style="236" customWidth="1"/>
    <col min="7434" max="7680" width="11.453125" style="236"/>
    <col min="7681" max="7681" width="30.7265625" style="236" customWidth="1"/>
    <col min="7682" max="7689" width="10.7265625" style="236" customWidth="1"/>
    <col min="7690" max="7936" width="11.453125" style="236"/>
    <col min="7937" max="7937" width="30.7265625" style="236" customWidth="1"/>
    <col min="7938" max="7945" width="10.7265625" style="236" customWidth="1"/>
    <col min="7946" max="8192" width="11.453125" style="236"/>
    <col min="8193" max="8193" width="30.7265625" style="236" customWidth="1"/>
    <col min="8194" max="8201" width="10.7265625" style="236" customWidth="1"/>
    <col min="8202" max="8448" width="11.453125" style="236"/>
    <col min="8449" max="8449" width="30.7265625" style="236" customWidth="1"/>
    <col min="8450" max="8457" width="10.7265625" style="236" customWidth="1"/>
    <col min="8458" max="8704" width="11.453125" style="236"/>
    <col min="8705" max="8705" width="30.7265625" style="236" customWidth="1"/>
    <col min="8706" max="8713" width="10.7265625" style="236" customWidth="1"/>
    <col min="8714" max="8960" width="11.453125" style="236"/>
    <col min="8961" max="8961" width="30.7265625" style="236" customWidth="1"/>
    <col min="8962" max="8969" width="10.7265625" style="236" customWidth="1"/>
    <col min="8970" max="9216" width="11.453125" style="236"/>
    <col min="9217" max="9217" width="30.7265625" style="236" customWidth="1"/>
    <col min="9218" max="9225" width="10.7265625" style="236" customWidth="1"/>
    <col min="9226" max="9472" width="11.453125" style="236"/>
    <col min="9473" max="9473" width="30.7265625" style="236" customWidth="1"/>
    <col min="9474" max="9481" width="10.7265625" style="236" customWidth="1"/>
    <col min="9482" max="9728" width="11.453125" style="236"/>
    <col min="9729" max="9729" width="30.7265625" style="236" customWidth="1"/>
    <col min="9730" max="9737" width="10.7265625" style="236" customWidth="1"/>
    <col min="9738" max="9984" width="11.453125" style="236"/>
    <col min="9985" max="9985" width="30.7265625" style="236" customWidth="1"/>
    <col min="9986" max="9993" width="10.7265625" style="236" customWidth="1"/>
    <col min="9994" max="10240" width="11.453125" style="236"/>
    <col min="10241" max="10241" width="30.7265625" style="236" customWidth="1"/>
    <col min="10242" max="10249" width="10.7265625" style="236" customWidth="1"/>
    <col min="10250" max="10496" width="11.453125" style="236"/>
    <col min="10497" max="10497" width="30.7265625" style="236" customWidth="1"/>
    <col min="10498" max="10505" width="10.7265625" style="236" customWidth="1"/>
    <col min="10506" max="10752" width="11.453125" style="236"/>
    <col min="10753" max="10753" width="30.7265625" style="236" customWidth="1"/>
    <col min="10754" max="10761" width="10.7265625" style="236" customWidth="1"/>
    <col min="10762" max="11008" width="11.453125" style="236"/>
    <col min="11009" max="11009" width="30.7265625" style="236" customWidth="1"/>
    <col min="11010" max="11017" width="10.7265625" style="236" customWidth="1"/>
    <col min="11018" max="11264" width="11.453125" style="236"/>
    <col min="11265" max="11265" width="30.7265625" style="236" customWidth="1"/>
    <col min="11266" max="11273" width="10.7265625" style="236" customWidth="1"/>
    <col min="11274" max="11520" width="11.453125" style="236"/>
    <col min="11521" max="11521" width="30.7265625" style="236" customWidth="1"/>
    <col min="11522" max="11529" width="10.7265625" style="236" customWidth="1"/>
    <col min="11530" max="11776" width="11.453125" style="236"/>
    <col min="11777" max="11777" width="30.7265625" style="236" customWidth="1"/>
    <col min="11778" max="11785" width="10.7265625" style="236" customWidth="1"/>
    <col min="11786" max="12032" width="11.453125" style="236"/>
    <col min="12033" max="12033" width="30.7265625" style="236" customWidth="1"/>
    <col min="12034" max="12041" width="10.7265625" style="236" customWidth="1"/>
    <col min="12042" max="12288" width="11.453125" style="236"/>
    <col min="12289" max="12289" width="30.7265625" style="236" customWidth="1"/>
    <col min="12290" max="12297" width="10.7265625" style="236" customWidth="1"/>
    <col min="12298" max="12544" width="11.453125" style="236"/>
    <col min="12545" max="12545" width="30.7265625" style="236" customWidth="1"/>
    <col min="12546" max="12553" width="10.7265625" style="236" customWidth="1"/>
    <col min="12554" max="12800" width="11.453125" style="236"/>
    <col min="12801" max="12801" width="30.7265625" style="236" customWidth="1"/>
    <col min="12802" max="12809" width="10.7265625" style="236" customWidth="1"/>
    <col min="12810" max="13056" width="11.453125" style="236"/>
    <col min="13057" max="13057" width="30.7265625" style="236" customWidth="1"/>
    <col min="13058" max="13065" width="10.7265625" style="236" customWidth="1"/>
    <col min="13066" max="13312" width="11.453125" style="236"/>
    <col min="13313" max="13313" width="30.7265625" style="236" customWidth="1"/>
    <col min="13314" max="13321" width="10.7265625" style="236" customWidth="1"/>
    <col min="13322" max="13568" width="11.453125" style="236"/>
    <col min="13569" max="13569" width="30.7265625" style="236" customWidth="1"/>
    <col min="13570" max="13577" width="10.7265625" style="236" customWidth="1"/>
    <col min="13578" max="13824" width="11.453125" style="236"/>
    <col min="13825" max="13825" width="30.7265625" style="236" customWidth="1"/>
    <col min="13826" max="13833" width="10.7265625" style="236" customWidth="1"/>
    <col min="13834" max="14080" width="11.453125" style="236"/>
    <col min="14081" max="14081" width="30.7265625" style="236" customWidth="1"/>
    <col min="14082" max="14089" width="10.7265625" style="236" customWidth="1"/>
    <col min="14090" max="14336" width="11.453125" style="236"/>
    <col min="14337" max="14337" width="30.7265625" style="236" customWidth="1"/>
    <col min="14338" max="14345" width="10.7265625" style="236" customWidth="1"/>
    <col min="14346" max="14592" width="11.453125" style="236"/>
    <col min="14593" max="14593" width="30.7265625" style="236" customWidth="1"/>
    <col min="14594" max="14601" width="10.7265625" style="236" customWidth="1"/>
    <col min="14602" max="14848" width="11.453125" style="236"/>
    <col min="14849" max="14849" width="30.7265625" style="236" customWidth="1"/>
    <col min="14850" max="14857" width="10.7265625" style="236" customWidth="1"/>
    <col min="14858" max="15104" width="11.453125" style="236"/>
    <col min="15105" max="15105" width="30.7265625" style="236" customWidth="1"/>
    <col min="15106" max="15113" width="10.7265625" style="236" customWidth="1"/>
    <col min="15114" max="15360" width="11.453125" style="236"/>
    <col min="15361" max="15361" width="30.7265625" style="236" customWidth="1"/>
    <col min="15362" max="15369" width="10.7265625" style="236" customWidth="1"/>
    <col min="15370" max="15616" width="11.453125" style="236"/>
    <col min="15617" max="15617" width="30.7265625" style="236" customWidth="1"/>
    <col min="15618" max="15625" width="10.7265625" style="236" customWidth="1"/>
    <col min="15626" max="15872" width="11.453125" style="236"/>
    <col min="15873" max="15873" width="30.7265625" style="236" customWidth="1"/>
    <col min="15874" max="15881" width="10.7265625" style="236" customWidth="1"/>
    <col min="15882" max="16128" width="11.453125" style="236"/>
    <col min="16129" max="16129" width="30.7265625" style="236" customWidth="1"/>
    <col min="16130" max="16137" width="10.7265625" style="236" customWidth="1"/>
    <col min="16138" max="16384" width="11.453125" style="236"/>
  </cols>
  <sheetData>
    <row r="1" spans="1:31" ht="19.5">
      <c r="A1" s="130" t="str">
        <f>HLOOKUP(INDICE!$F$2,Nombres!$C$3:$D$636,171,FALSE)</f>
        <v>Diferenciales de la clientela (*)</v>
      </c>
      <c r="B1" s="234"/>
      <c r="C1" s="234"/>
      <c r="D1" s="234"/>
      <c r="E1" s="234"/>
      <c r="F1" s="234"/>
      <c r="G1" s="235"/>
      <c r="H1" s="235"/>
      <c r="I1" s="235"/>
    </row>
    <row r="2" spans="1:31" ht="12.75" customHeight="1">
      <c r="A2" s="237" t="str">
        <f>HLOOKUP(INDICE!$F$2,Nombres!$C$3:$D$636,172,FALSE)</f>
        <v>(Porcentaje)</v>
      </c>
      <c r="B2" s="238"/>
      <c r="C2" s="238"/>
      <c r="D2" s="238"/>
      <c r="E2" s="238"/>
      <c r="F2" s="238"/>
      <c r="G2" s="239"/>
      <c r="H2" s="239"/>
      <c r="I2" s="239"/>
    </row>
    <row r="3" spans="1:31" ht="13.5">
      <c r="A3" s="239"/>
      <c r="B3" s="303">
        <f>+España!B6</f>
        <v>2023</v>
      </c>
      <c r="C3" s="303"/>
      <c r="D3" s="303"/>
      <c r="E3" s="303"/>
      <c r="F3" s="303">
        <f>+España!F6</f>
        <v>2024</v>
      </c>
      <c r="G3" s="303"/>
      <c r="H3" s="303"/>
      <c r="I3" s="303"/>
    </row>
    <row r="4" spans="1:31" ht="13.5">
      <c r="A4" s="185"/>
      <c r="B4" s="240" t="str">
        <f>HLOOKUP(INDICE!$F$2,Nombres!$C$3:$D$636,167,FALSE)</f>
        <v>1er Trim.</v>
      </c>
      <c r="C4" s="240" t="str">
        <f>HLOOKUP(INDICE!$F$2,Nombres!$C$3:$D$636,168,FALSE)</f>
        <v>2º Trim.</v>
      </c>
      <c r="D4" s="240" t="str">
        <f>HLOOKUP(INDICE!$F$2,Nombres!$C$3:$D$636,169,FALSE)</f>
        <v>3er Trim.</v>
      </c>
      <c r="E4" s="240" t="str">
        <f>HLOOKUP(INDICE!$F$2,Nombres!$C$3:$D$636,170,FALSE)</f>
        <v>4º Trim.</v>
      </c>
      <c r="F4" s="240" t="str">
        <f>HLOOKUP(INDICE!$F$2,Nombres!$C$3:$D$636,167,FALSE)</f>
        <v>1er Trim.</v>
      </c>
      <c r="G4" s="240" t="str">
        <f>HLOOKUP(INDICE!$F$2,Nombres!$C$3:$D$636,168,FALSE)</f>
        <v>2º Trim.</v>
      </c>
      <c r="H4" s="240" t="str">
        <f>HLOOKUP(INDICE!$F$2,Nombres!$C$3:$D$636,169,FALSE)</f>
        <v>3er Trim.</v>
      </c>
      <c r="I4" s="240" t="str">
        <f>HLOOKUP(INDICE!$F$2,Nombres!$C$3:$D$636,170,FALSE)</f>
        <v>4º Trim.</v>
      </c>
    </row>
    <row r="5" spans="1:31">
      <c r="A5" s="185"/>
      <c r="B5" s="137"/>
      <c r="C5" s="137"/>
      <c r="D5" s="137"/>
      <c r="E5" s="137"/>
      <c r="F5" s="137"/>
      <c r="G5" s="239"/>
      <c r="H5" s="239"/>
      <c r="I5" s="239"/>
    </row>
    <row r="6" spans="1:31" ht="14.5">
      <c r="A6" s="23" t="str">
        <f>HLOOKUP(INDICE!$F$2,Nombres!$C$3:$D$636,173,FALSE)</f>
        <v>Rentabilidad de los prestamos</v>
      </c>
      <c r="B6" s="241">
        <v>3.1132326439448202E-2</v>
      </c>
      <c r="C6" s="241">
        <v>3.6440019311857905E-2</v>
      </c>
      <c r="D6" s="241">
        <v>4.0117115350621846E-2</v>
      </c>
      <c r="E6" s="241">
        <v>4.2820678029227691E-2</v>
      </c>
      <c r="F6" s="241">
        <v>4.3512660559230927E-2</v>
      </c>
      <c r="G6" s="241">
        <v>0</v>
      </c>
      <c r="H6" s="241">
        <v>0</v>
      </c>
      <c r="I6" s="241">
        <v>0</v>
      </c>
      <c r="J6" s="242"/>
      <c r="K6" s="242"/>
      <c r="L6" s="242"/>
      <c r="M6" s="242"/>
      <c r="O6" s="243"/>
      <c r="P6" s="243"/>
      <c r="Q6" s="243"/>
      <c r="R6" s="243"/>
      <c r="S6" s="243"/>
      <c r="X6" s="243"/>
      <c r="Y6" s="243"/>
      <c r="Z6" s="243"/>
      <c r="AA6" s="243"/>
      <c r="AB6" s="243"/>
      <c r="AC6" s="243"/>
      <c r="AD6" s="243"/>
      <c r="AE6" s="243"/>
    </row>
    <row r="7" spans="1:31" ht="14.5">
      <c r="A7" s="23" t="str">
        <f>HLOOKUP(INDICE!$F$2,Nombres!$C$3:$D$636,174,FALSE)</f>
        <v>Coste de los depositos</v>
      </c>
      <c r="B7" s="241">
        <v>-3.6731455852270479E-3</v>
      </c>
      <c r="C7" s="241">
        <v>-5.2790218899350753E-3</v>
      </c>
      <c r="D7" s="241">
        <v>-6.8499392132306772E-3</v>
      </c>
      <c r="E7" s="241">
        <v>-8.598091624278088E-3</v>
      </c>
      <c r="F7" s="241">
        <v>-9.1006436128680934E-3</v>
      </c>
      <c r="G7" s="241">
        <v>0</v>
      </c>
      <c r="H7" s="241">
        <v>0</v>
      </c>
      <c r="I7" s="241">
        <v>0</v>
      </c>
      <c r="J7" s="242"/>
      <c r="K7" s="242"/>
      <c r="L7" s="242"/>
      <c r="M7" s="242"/>
      <c r="O7" s="243"/>
      <c r="P7" s="243"/>
      <c r="Q7" s="243"/>
      <c r="R7" s="243"/>
      <c r="S7" s="243"/>
      <c r="X7" s="243"/>
      <c r="Y7" s="243"/>
      <c r="Z7" s="243"/>
      <c r="AA7" s="243"/>
      <c r="AB7" s="243"/>
      <c r="AC7" s="243"/>
      <c r="AD7" s="243"/>
      <c r="AE7" s="243"/>
    </row>
    <row r="8" spans="1:31" ht="14.5">
      <c r="A8" s="24" t="str">
        <f>HLOOKUP(INDICE!$F$2,Nombres!$C$3:$D$636,175,FALSE)</f>
        <v>Actividad bancaria en España</v>
      </c>
      <c r="B8" s="244">
        <v>2.7459180854221155E-2</v>
      </c>
      <c r="C8" s="244">
        <v>3.1160997421922829E-2</v>
      </c>
      <c r="D8" s="244">
        <v>3.326717613739117E-2</v>
      </c>
      <c r="E8" s="244">
        <v>3.4222586404949601E-2</v>
      </c>
      <c r="F8" s="244">
        <v>3.4412016946362832E-2</v>
      </c>
      <c r="G8" s="244">
        <v>0</v>
      </c>
      <c r="H8" s="244">
        <v>0</v>
      </c>
      <c r="I8" s="244">
        <v>0</v>
      </c>
      <c r="J8" s="242"/>
      <c r="K8" s="242"/>
      <c r="L8" s="242"/>
      <c r="M8" s="242"/>
      <c r="O8" s="243"/>
      <c r="P8" s="243"/>
      <c r="Q8" s="243"/>
      <c r="R8" s="243"/>
      <c r="S8" s="243"/>
      <c r="X8" s="243"/>
      <c r="Y8" s="243"/>
      <c r="Z8" s="243"/>
      <c r="AA8" s="243"/>
      <c r="AB8" s="243"/>
      <c r="AC8" s="243"/>
      <c r="AD8" s="243"/>
      <c r="AE8" s="243"/>
    </row>
    <row r="9" spans="1:31">
      <c r="A9" s="185"/>
      <c r="B9" s="245"/>
      <c r="C9" s="245"/>
      <c r="D9" s="245"/>
      <c r="E9" s="245"/>
      <c r="F9" s="245"/>
      <c r="G9" s="245"/>
      <c r="H9" s="245"/>
      <c r="I9" s="245"/>
      <c r="O9" s="243"/>
      <c r="P9" s="243"/>
      <c r="Q9" s="243"/>
      <c r="R9" s="243"/>
      <c r="S9" s="243"/>
      <c r="X9" s="243"/>
      <c r="Y9" s="243"/>
      <c r="Z9" s="243"/>
      <c r="AA9" s="243"/>
      <c r="AB9" s="243"/>
      <c r="AC9" s="243"/>
      <c r="AD9" s="243"/>
      <c r="AE9" s="243"/>
    </row>
    <row r="10" spans="1:31" ht="14.5">
      <c r="A10" s="23" t="str">
        <f>HLOOKUP(INDICE!$F$2,Nombres!$C$3:$D$636,173,FALSE)</f>
        <v>Rentabilidad de los prestamos</v>
      </c>
      <c r="B10" s="241">
        <v>0.15209351695188247</v>
      </c>
      <c r="C10" s="241">
        <v>0.15471226068079091</v>
      </c>
      <c r="D10" s="241">
        <v>0.15627167460943753</v>
      </c>
      <c r="E10" s="241">
        <v>0.15530088264273723</v>
      </c>
      <c r="F10" s="241">
        <v>0.15622084835656896</v>
      </c>
      <c r="G10" s="241">
        <v>0</v>
      </c>
      <c r="H10" s="241">
        <v>0</v>
      </c>
      <c r="I10" s="241">
        <v>0</v>
      </c>
      <c r="J10" s="242"/>
      <c r="K10" s="242"/>
      <c r="L10" s="242"/>
      <c r="M10" s="242"/>
      <c r="O10" s="243"/>
      <c r="P10" s="243"/>
      <c r="Q10" s="243"/>
      <c r="R10" s="243"/>
      <c r="S10" s="243"/>
      <c r="X10" s="243"/>
      <c r="Y10" s="243"/>
      <c r="Z10" s="243"/>
      <c r="AA10" s="243"/>
      <c r="AB10" s="243"/>
      <c r="AC10" s="243"/>
      <c r="AD10" s="243"/>
      <c r="AE10" s="243"/>
    </row>
    <row r="11" spans="1:31" ht="14.5">
      <c r="A11" s="23" t="str">
        <f>HLOOKUP(INDICE!$F$2,Nombres!$C$3:$D$636,174,FALSE)</f>
        <v>Coste de los depositos</v>
      </c>
      <c r="B11" s="241">
        <v>-2.650338884121314E-2</v>
      </c>
      <c r="C11" s="241">
        <v>-2.7466895601772307E-2</v>
      </c>
      <c r="D11" s="241">
        <v>-2.9257441175343749E-2</v>
      </c>
      <c r="E11" s="241">
        <v>-3.0921374512561002E-2</v>
      </c>
      <c r="F11" s="241">
        <v>-3.1538170446005508E-2</v>
      </c>
      <c r="G11" s="241">
        <v>0</v>
      </c>
      <c r="H11" s="241">
        <v>0</v>
      </c>
      <c r="I11" s="241">
        <v>0</v>
      </c>
      <c r="J11" s="242"/>
      <c r="K11" s="242"/>
      <c r="L11" s="242"/>
      <c r="M11" s="242"/>
      <c r="O11" s="243"/>
      <c r="P11" s="243"/>
      <c r="Q11" s="243"/>
      <c r="R11" s="243"/>
      <c r="S11" s="243"/>
      <c r="X11" s="243"/>
      <c r="Y11" s="243"/>
      <c r="Z11" s="243"/>
      <c r="AA11" s="243"/>
      <c r="AB11" s="243"/>
      <c r="AC11" s="243"/>
      <c r="AD11" s="243"/>
      <c r="AE11" s="243"/>
    </row>
    <row r="12" spans="1:31" ht="14.5">
      <c r="A12" s="24" t="str">
        <f>HLOOKUP(INDICE!$F$2,Nombres!$C$3:$D$636,177,FALSE)</f>
        <v>México pesos mexicanos</v>
      </c>
      <c r="B12" s="244">
        <v>0.12559012811066933</v>
      </c>
      <c r="C12" s="244">
        <v>0.1272453650790186</v>
      </c>
      <c r="D12" s="244">
        <v>0.12701423343409379</v>
      </c>
      <c r="E12" s="244">
        <v>0.12437950813017623</v>
      </c>
      <c r="F12" s="244">
        <v>0.12468267791056345</v>
      </c>
      <c r="G12" s="244">
        <v>0</v>
      </c>
      <c r="H12" s="244">
        <v>0</v>
      </c>
      <c r="I12" s="244">
        <v>0</v>
      </c>
      <c r="J12" s="242"/>
      <c r="K12" s="242"/>
      <c r="L12" s="242"/>
      <c r="M12" s="242"/>
      <c r="O12" s="243"/>
      <c r="P12" s="243"/>
      <c r="Q12" s="243"/>
      <c r="R12" s="243"/>
      <c r="S12" s="243"/>
      <c r="X12" s="243"/>
      <c r="Y12" s="243"/>
      <c r="Z12" s="243"/>
      <c r="AA12" s="243"/>
      <c r="AB12" s="243"/>
      <c r="AC12" s="243"/>
      <c r="AD12" s="243"/>
      <c r="AE12" s="243"/>
    </row>
    <row r="13" spans="1:31">
      <c r="A13" s="185"/>
      <c r="B13" s="245"/>
      <c r="C13" s="245"/>
      <c r="D13" s="245"/>
      <c r="E13" s="245"/>
      <c r="F13" s="245"/>
      <c r="G13" s="245"/>
      <c r="H13" s="245"/>
      <c r="I13" s="245"/>
      <c r="O13" s="243"/>
      <c r="P13" s="243"/>
      <c r="Q13" s="243"/>
      <c r="R13" s="243"/>
      <c r="S13" s="243"/>
      <c r="X13" s="243"/>
      <c r="Y13" s="243"/>
      <c r="Z13" s="243"/>
      <c r="AA13" s="243"/>
      <c r="AB13" s="243"/>
      <c r="AC13" s="243"/>
      <c r="AD13" s="243"/>
      <c r="AE13" s="243"/>
    </row>
    <row r="14" spans="1:31">
      <c r="A14" s="23" t="str">
        <f>HLOOKUP(INDICE!$F$2,Nombres!$C$3:$D$636,173,FALSE)</f>
        <v>Rentabilidad de los prestamos</v>
      </c>
      <c r="B14" s="245">
        <v>6.2142049681201919E-2</v>
      </c>
      <c r="C14" s="245">
        <v>6.6214765424450386E-2</v>
      </c>
      <c r="D14" s="245">
        <v>6.9622547415701855E-2</v>
      </c>
      <c r="E14" s="245">
        <v>7.171703454529943E-2</v>
      </c>
      <c r="F14" s="245">
        <v>7.1871999811332701E-2</v>
      </c>
      <c r="G14" s="245">
        <v>0</v>
      </c>
      <c r="H14" s="245">
        <v>0</v>
      </c>
      <c r="I14" s="245">
        <v>0</v>
      </c>
      <c r="O14" s="243"/>
      <c r="P14" s="243"/>
      <c r="Q14" s="243"/>
      <c r="R14" s="243"/>
      <c r="S14" s="243"/>
      <c r="X14" s="243"/>
      <c r="Y14" s="243"/>
      <c r="Z14" s="243"/>
      <c r="AA14" s="243"/>
      <c r="AB14" s="243"/>
      <c r="AC14" s="243"/>
      <c r="AD14" s="243"/>
      <c r="AE14" s="243"/>
    </row>
    <row r="15" spans="1:31">
      <c r="A15" s="23" t="str">
        <f>HLOOKUP(INDICE!$F$2,Nombres!$C$3:$D$636,174,FALSE)</f>
        <v>Coste de los depositos</v>
      </c>
      <c r="B15" s="245">
        <v>-2.5692484868020836E-3</v>
      </c>
      <c r="C15" s="245">
        <v>-3.7933121466861923E-3</v>
      </c>
      <c r="D15" s="245">
        <v>-4.4645525960467988E-3</v>
      </c>
      <c r="E15" s="245">
        <v>-6.1969333253356733E-3</v>
      </c>
      <c r="F15" s="245">
        <v>-7.443569550809135E-3</v>
      </c>
      <c r="G15" s="245">
        <v>0</v>
      </c>
      <c r="H15" s="245">
        <v>0</v>
      </c>
      <c r="I15" s="245">
        <v>0</v>
      </c>
      <c r="O15" s="243"/>
      <c r="P15" s="243"/>
      <c r="Q15" s="243"/>
      <c r="R15" s="243"/>
      <c r="S15" s="243"/>
      <c r="X15" s="243"/>
      <c r="Y15" s="243"/>
      <c r="Z15" s="243"/>
      <c r="AA15" s="243"/>
      <c r="AB15" s="243"/>
      <c r="AC15" s="243"/>
      <c r="AD15" s="243"/>
      <c r="AE15" s="243"/>
    </row>
    <row r="16" spans="1:31">
      <c r="A16" s="24" t="str">
        <f>HLOOKUP(INDICE!$F$2,Nombres!$C$3:$D$636,178,FALSE)</f>
        <v>México moneda extranjera</v>
      </c>
      <c r="B16" s="246">
        <v>5.9572801194399838E-2</v>
      </c>
      <c r="C16" s="246">
        <v>6.2421453277764195E-2</v>
      </c>
      <c r="D16" s="246">
        <v>6.5157994819655063E-2</v>
      </c>
      <c r="E16" s="246">
        <v>6.5520101219963753E-2</v>
      </c>
      <c r="F16" s="246">
        <v>6.442843026052357E-2</v>
      </c>
      <c r="G16" s="246">
        <v>0</v>
      </c>
      <c r="H16" s="246">
        <v>0</v>
      </c>
      <c r="I16" s="246">
        <v>0</v>
      </c>
      <c r="O16" s="243"/>
      <c r="P16" s="243"/>
      <c r="Q16" s="243"/>
      <c r="R16" s="243"/>
      <c r="S16" s="243"/>
      <c r="X16" s="243"/>
      <c r="Y16" s="243"/>
      <c r="Z16" s="243"/>
      <c r="AA16" s="243"/>
      <c r="AB16" s="243"/>
      <c r="AC16" s="243"/>
      <c r="AD16" s="243"/>
      <c r="AE16" s="243"/>
    </row>
    <row r="17" spans="1:31">
      <c r="A17" s="185"/>
      <c r="B17" s="245"/>
      <c r="C17" s="245"/>
      <c r="D17" s="245"/>
      <c r="E17" s="245"/>
      <c r="F17" s="245"/>
      <c r="G17" s="245"/>
      <c r="H17" s="245"/>
      <c r="I17" s="245"/>
      <c r="O17" s="243"/>
      <c r="P17" s="243"/>
      <c r="Q17" s="243"/>
      <c r="R17" s="243"/>
      <c r="S17" s="243"/>
      <c r="X17" s="243"/>
      <c r="Y17" s="243"/>
      <c r="Z17" s="243"/>
      <c r="AA17" s="243"/>
      <c r="AB17" s="243"/>
      <c r="AC17" s="243"/>
      <c r="AD17" s="243"/>
      <c r="AE17" s="243"/>
    </row>
    <row r="18" spans="1:31" ht="14.5">
      <c r="A18" s="23" t="str">
        <f>HLOOKUP(INDICE!$F$2,Nombres!$C$3:$D$636,173,FALSE)</f>
        <v>Rentabilidad de los prestamos</v>
      </c>
      <c r="B18" s="241">
        <v>0.16838204415435995</v>
      </c>
      <c r="C18" s="241">
        <v>0.16501229242923304</v>
      </c>
      <c r="D18" s="241">
        <v>0.20200529421758642</v>
      </c>
      <c r="E18" s="241">
        <v>0.28485895697446501</v>
      </c>
      <c r="F18" s="241">
        <v>0.33017807462116566</v>
      </c>
      <c r="G18" s="241">
        <v>0</v>
      </c>
      <c r="H18" s="241">
        <v>0</v>
      </c>
      <c r="I18" s="241">
        <v>0</v>
      </c>
      <c r="J18" s="242"/>
      <c r="K18" s="242"/>
      <c r="L18" s="242"/>
      <c r="M18" s="242"/>
      <c r="O18" s="243"/>
      <c r="P18" s="243"/>
      <c r="Q18" s="243"/>
      <c r="R18" s="243"/>
      <c r="S18" s="243"/>
      <c r="X18" s="243"/>
      <c r="Y18" s="243"/>
      <c r="Z18" s="243"/>
      <c r="AA18" s="243"/>
      <c r="AB18" s="243"/>
      <c r="AC18" s="243"/>
      <c r="AD18" s="243"/>
      <c r="AE18" s="243"/>
    </row>
    <row r="19" spans="1:31" ht="14.5">
      <c r="A19" s="23" t="str">
        <f>HLOOKUP(INDICE!$F$2,Nombres!$C$3:$D$636,174,FALSE)</f>
        <v>Coste de los depositos</v>
      </c>
      <c r="B19" s="241">
        <v>-0.12922265266581584</v>
      </c>
      <c r="C19" s="241">
        <v>-0.15686534358462165</v>
      </c>
      <c r="D19" s="241">
        <v>-0.19688088295215814</v>
      </c>
      <c r="E19" s="241">
        <v>-0.2810186693766929</v>
      </c>
      <c r="F19" s="241">
        <v>-0.3375570732020694</v>
      </c>
      <c r="G19" s="241">
        <v>0</v>
      </c>
      <c r="H19" s="241">
        <v>0</v>
      </c>
      <c r="I19" s="241">
        <v>0</v>
      </c>
      <c r="J19" s="242"/>
      <c r="K19" s="242"/>
      <c r="L19" s="242"/>
      <c r="M19" s="242"/>
      <c r="O19" s="243"/>
      <c r="P19" s="243"/>
      <c r="Q19" s="243"/>
      <c r="R19" s="243"/>
      <c r="S19" s="243"/>
      <c r="X19" s="243"/>
      <c r="Y19" s="243"/>
      <c r="Z19" s="243"/>
      <c r="AA19" s="243"/>
      <c r="AB19" s="243"/>
      <c r="AC19" s="243"/>
      <c r="AD19" s="243"/>
      <c r="AE19" s="243"/>
    </row>
    <row r="20" spans="1:31" ht="14.5">
      <c r="A20" s="24" t="str">
        <f>HLOOKUP(INDICE!$F$2,Nombres!$C$3:$D$636,179,FALSE)</f>
        <v>Turquía liras turcas</v>
      </c>
      <c r="B20" s="244">
        <v>3.915939148854411E-2</v>
      </c>
      <c r="C20" s="244">
        <v>8.1469488446113958E-3</v>
      </c>
      <c r="D20" s="244">
        <v>5.1244112654282858E-3</v>
      </c>
      <c r="E20" s="244">
        <v>3.8402875977721074E-3</v>
      </c>
      <c r="F20" s="244">
        <v>-7.3789985809037395E-3</v>
      </c>
      <c r="G20" s="244">
        <v>0</v>
      </c>
      <c r="H20" s="244">
        <v>0</v>
      </c>
      <c r="I20" s="244">
        <v>0</v>
      </c>
      <c r="J20" s="242"/>
      <c r="K20" s="242"/>
      <c r="L20" s="242"/>
      <c r="M20" s="242"/>
      <c r="O20" s="243"/>
      <c r="P20" s="243"/>
      <c r="Q20" s="243"/>
      <c r="R20" s="243"/>
      <c r="S20" s="243"/>
      <c r="X20" s="243"/>
      <c r="Y20" s="243"/>
      <c r="Z20" s="243"/>
      <c r="AA20" s="243"/>
      <c r="AB20" s="243"/>
      <c r="AC20" s="243"/>
      <c r="AD20" s="243"/>
      <c r="AE20" s="243"/>
    </row>
    <row r="21" spans="1:31" ht="14.5">
      <c r="A21" s="24"/>
      <c r="B21" s="244"/>
      <c r="C21" s="244"/>
      <c r="D21" s="244"/>
      <c r="E21" s="244"/>
      <c r="F21" s="244"/>
      <c r="G21" s="244"/>
      <c r="H21" s="244"/>
      <c r="I21" s="244"/>
      <c r="J21" s="242"/>
      <c r="K21" s="242"/>
      <c r="L21" s="242"/>
      <c r="M21" s="242"/>
      <c r="O21" s="243"/>
      <c r="P21" s="243"/>
      <c r="Q21" s="243"/>
      <c r="R21" s="243"/>
      <c r="S21" s="243"/>
      <c r="X21" s="243"/>
      <c r="Y21" s="243"/>
      <c r="Z21" s="243"/>
      <c r="AA21" s="243"/>
      <c r="AB21" s="243"/>
      <c r="AC21" s="243"/>
      <c r="AD21" s="243"/>
      <c r="AE21" s="243"/>
    </row>
    <row r="22" spans="1:31" ht="14.5">
      <c r="A22" s="23" t="str">
        <f>HLOOKUP(INDICE!$F$2,Nombres!$C$3:$D$636,173,FALSE)</f>
        <v>Rentabilidad de los prestamos</v>
      </c>
      <c r="B22" s="247">
        <v>8.5827579644083579E-2</v>
      </c>
      <c r="C22" s="247">
        <v>9.0718048656429073E-2</v>
      </c>
      <c r="D22" s="247">
        <v>9.5279103622516251E-2</v>
      </c>
      <c r="E22" s="247">
        <v>9.5517192458879768E-2</v>
      </c>
      <c r="F22" s="247">
        <v>9.440246217416122E-2</v>
      </c>
      <c r="G22" s="247">
        <v>0</v>
      </c>
      <c r="H22" s="247">
        <v>0</v>
      </c>
      <c r="I22" s="247">
        <v>0</v>
      </c>
      <c r="J22" s="242"/>
      <c r="K22" s="242"/>
      <c r="L22" s="242"/>
      <c r="M22" s="242"/>
      <c r="O22" s="243"/>
      <c r="P22" s="243"/>
      <c r="Q22" s="243"/>
      <c r="R22" s="243"/>
      <c r="S22" s="243"/>
      <c r="X22" s="243"/>
      <c r="Y22" s="243"/>
      <c r="Z22" s="243"/>
      <c r="AA22" s="243"/>
      <c r="AB22" s="243"/>
      <c r="AC22" s="243"/>
      <c r="AD22" s="243"/>
      <c r="AE22" s="243"/>
    </row>
    <row r="23" spans="1:31" ht="14.5">
      <c r="A23" s="23" t="str">
        <f>HLOOKUP(INDICE!$F$2,Nombres!$C$3:$D$636,174,FALSE)</f>
        <v>Coste de los depositos</v>
      </c>
      <c r="B23" s="247">
        <v>-3.113921508916749E-3</v>
      </c>
      <c r="C23" s="247">
        <v>-2.8701427498035097E-3</v>
      </c>
      <c r="D23" s="247">
        <v>-2.082724217549081E-3</v>
      </c>
      <c r="E23" s="247">
        <v>-1.7290247219192134E-3</v>
      </c>
      <c r="F23" s="247">
        <v>-1.6216623838754818E-3</v>
      </c>
      <c r="G23" s="247">
        <v>0</v>
      </c>
      <c r="H23" s="247">
        <v>0</v>
      </c>
      <c r="I23" s="247">
        <v>0</v>
      </c>
      <c r="J23" s="242"/>
      <c r="K23" s="242"/>
      <c r="L23" s="242"/>
      <c r="M23" s="242"/>
      <c r="O23" s="243"/>
      <c r="P23" s="243"/>
      <c r="Q23" s="243"/>
      <c r="R23" s="243"/>
      <c r="S23" s="243"/>
      <c r="X23" s="243"/>
      <c r="Y23" s="243"/>
      <c r="Z23" s="243"/>
      <c r="AA23" s="243"/>
      <c r="AB23" s="243"/>
      <c r="AC23" s="243"/>
      <c r="AD23" s="243"/>
      <c r="AE23" s="243"/>
    </row>
    <row r="24" spans="1:31" ht="14.5">
      <c r="A24" s="24" t="str">
        <f>HLOOKUP(INDICE!$F$2,Nombres!$C$3:$D$636,180,FALSE)</f>
        <v>Turquía moneda extranjera</v>
      </c>
      <c r="B24" s="244">
        <v>8.2713658135166832E-2</v>
      </c>
      <c r="C24" s="244">
        <v>8.784790590662557E-2</v>
      </c>
      <c r="D24" s="244">
        <v>9.3196379404967167E-2</v>
      </c>
      <c r="E24" s="244">
        <v>9.3788167736960554E-2</v>
      </c>
      <c r="F24" s="244">
        <v>9.2780799790285737E-2</v>
      </c>
      <c r="G24" s="244">
        <v>0</v>
      </c>
      <c r="H24" s="244">
        <v>0</v>
      </c>
      <c r="I24" s="244">
        <v>0</v>
      </c>
      <c r="J24" s="242"/>
      <c r="K24" s="242"/>
      <c r="L24" s="242"/>
      <c r="M24" s="242"/>
      <c r="O24" s="243"/>
      <c r="P24" s="243"/>
      <c r="Q24" s="243"/>
      <c r="R24" s="243"/>
      <c r="S24" s="243"/>
      <c r="X24" s="243"/>
      <c r="Y24" s="243"/>
      <c r="Z24" s="243"/>
      <c r="AA24" s="243"/>
      <c r="AB24" s="243"/>
      <c r="AC24" s="243"/>
      <c r="AD24" s="243"/>
      <c r="AE24" s="243"/>
    </row>
    <row r="25" spans="1:31">
      <c r="A25" s="185"/>
      <c r="B25" s="245"/>
      <c r="C25" s="245"/>
      <c r="D25" s="245"/>
      <c r="E25" s="245"/>
      <c r="F25" s="245"/>
      <c r="G25" s="245"/>
      <c r="H25" s="245"/>
      <c r="I25" s="245"/>
      <c r="O25" s="243"/>
      <c r="P25" s="243"/>
      <c r="Q25" s="243"/>
      <c r="R25" s="243"/>
      <c r="S25" s="243"/>
      <c r="X25" s="243"/>
      <c r="Y25" s="243"/>
      <c r="Z25" s="243"/>
      <c r="AA25" s="243"/>
      <c r="AB25" s="243"/>
      <c r="AC25" s="243"/>
      <c r="AD25" s="243"/>
      <c r="AE25" s="243"/>
    </row>
    <row r="26" spans="1:31" ht="14.5">
      <c r="A26" s="23" t="str">
        <f>HLOOKUP(INDICE!$F$2,Nombres!$C$3:$D$636,173,FALSE)</f>
        <v>Rentabilidad de los prestamos</v>
      </c>
      <c r="B26" s="241">
        <v>0.49968580319204314</v>
      </c>
      <c r="C26" s="241">
        <v>0.5441640096591478</v>
      </c>
      <c r="D26" s="241">
        <v>0.61624015777203278</v>
      </c>
      <c r="E26" s="241">
        <v>0.73332784864143985</v>
      </c>
      <c r="F26" s="241">
        <v>0.74904301024420716</v>
      </c>
      <c r="G26" s="241">
        <v>0</v>
      </c>
      <c r="H26" s="241">
        <v>0</v>
      </c>
      <c r="I26" s="241">
        <v>0</v>
      </c>
      <c r="J26" s="242"/>
      <c r="K26" s="242"/>
      <c r="L26" s="242"/>
      <c r="M26" s="242"/>
      <c r="O26" s="243"/>
      <c r="P26" s="243"/>
      <c r="Q26" s="243"/>
      <c r="R26" s="243"/>
      <c r="S26" s="243"/>
      <c r="X26" s="243"/>
      <c r="Y26" s="243"/>
      <c r="Z26" s="243"/>
      <c r="AA26" s="243"/>
      <c r="AB26" s="243"/>
      <c r="AC26" s="243"/>
      <c r="AD26" s="243"/>
      <c r="AE26" s="243"/>
    </row>
    <row r="27" spans="1:31" ht="14.5">
      <c r="A27" s="23" t="str">
        <f>HLOOKUP(INDICE!$F$2,Nombres!$C$3:$D$636,174,FALSE)</f>
        <v>Coste de los depositos</v>
      </c>
      <c r="B27" s="241">
        <v>-0.31272397353826092</v>
      </c>
      <c r="C27" s="241">
        <v>-0.39672704430464395</v>
      </c>
      <c r="D27" s="241">
        <v>-0.49794519882654936</v>
      </c>
      <c r="E27" s="241">
        <v>-0.46633412267179936</v>
      </c>
      <c r="F27" s="241">
        <v>-0.40773778574974157</v>
      </c>
      <c r="G27" s="241">
        <v>0</v>
      </c>
      <c r="H27" s="241">
        <v>0</v>
      </c>
      <c r="I27" s="241">
        <v>0</v>
      </c>
      <c r="J27" s="242"/>
      <c r="K27" s="242"/>
      <c r="L27" s="242"/>
      <c r="M27" s="242"/>
      <c r="O27" s="243"/>
      <c r="P27" s="243"/>
      <c r="Q27" s="243"/>
      <c r="R27" s="243"/>
      <c r="S27" s="243"/>
      <c r="X27" s="243"/>
      <c r="Y27" s="243"/>
      <c r="Z27" s="243"/>
      <c r="AA27" s="243"/>
      <c r="AB27" s="243"/>
      <c r="AC27" s="243"/>
      <c r="AD27" s="243"/>
      <c r="AE27" s="243"/>
    </row>
    <row r="28" spans="1:31" ht="14.5">
      <c r="A28" s="24" t="str">
        <f>HLOOKUP(INDICE!$F$2,Nombres!$C$3:$D$636,181,FALSE)</f>
        <v>Argentina</v>
      </c>
      <c r="B28" s="248">
        <v>0.18696182965378222</v>
      </c>
      <c r="C28" s="248">
        <v>0.14743696535450385</v>
      </c>
      <c r="D28" s="248">
        <v>0.11829495894548342</v>
      </c>
      <c r="E28" s="248">
        <v>0.26699372596964049</v>
      </c>
      <c r="F28" s="248">
        <v>0.3413052244944656</v>
      </c>
      <c r="G28" s="248">
        <v>0</v>
      </c>
      <c r="H28" s="248">
        <v>0</v>
      </c>
      <c r="I28" s="248">
        <v>0</v>
      </c>
      <c r="J28" s="242"/>
      <c r="K28" s="242"/>
      <c r="L28" s="242"/>
      <c r="M28" s="242"/>
      <c r="O28" s="243"/>
      <c r="P28" s="243"/>
      <c r="Q28" s="243"/>
      <c r="R28" s="243"/>
      <c r="S28" s="243"/>
      <c r="X28" s="243"/>
      <c r="Y28" s="243"/>
      <c r="Z28" s="243"/>
      <c r="AA28" s="243"/>
      <c r="AB28" s="243"/>
      <c r="AC28" s="243"/>
      <c r="AD28" s="243"/>
      <c r="AE28" s="243"/>
    </row>
    <row r="29" spans="1:31">
      <c r="A29" s="185"/>
      <c r="B29" s="245"/>
      <c r="C29" s="245"/>
      <c r="D29" s="245"/>
      <c r="E29" s="245"/>
      <c r="F29" s="245"/>
      <c r="G29" s="245"/>
      <c r="H29" s="245"/>
      <c r="I29" s="245"/>
      <c r="O29" s="243"/>
      <c r="P29" s="243"/>
      <c r="Q29" s="243"/>
      <c r="R29" s="243"/>
      <c r="S29" s="243"/>
      <c r="X29" s="243"/>
      <c r="Y29" s="243"/>
      <c r="Z29" s="243"/>
      <c r="AA29" s="243"/>
      <c r="AB29" s="243"/>
      <c r="AC29" s="243"/>
      <c r="AD29" s="243"/>
      <c r="AE29" s="243"/>
    </row>
    <row r="30" spans="1:31" ht="14.5">
      <c r="A30" s="23" t="str">
        <f>HLOOKUP(INDICE!$F$2,Nombres!$C$3:$D$636,173,FALSE)</f>
        <v>Rentabilidad de los prestamos</v>
      </c>
      <c r="B30" s="241">
        <v>0.12763442490573437</v>
      </c>
      <c r="C30" s="241">
        <v>0.13481884091683827</v>
      </c>
      <c r="D30" s="241">
        <v>0.13871455791192727</v>
      </c>
      <c r="E30" s="241">
        <v>0.13999444824672719</v>
      </c>
      <c r="F30" s="241">
        <v>0.13754637047183624</v>
      </c>
      <c r="G30" s="241">
        <v>0</v>
      </c>
      <c r="H30" s="241">
        <v>0</v>
      </c>
      <c r="I30" s="241">
        <v>0</v>
      </c>
      <c r="J30" s="242"/>
      <c r="K30" s="242"/>
      <c r="L30" s="242"/>
      <c r="M30" s="242"/>
      <c r="O30" s="243"/>
      <c r="P30" s="243"/>
      <c r="Q30" s="243"/>
      <c r="R30" s="243"/>
      <c r="S30" s="243"/>
      <c r="X30" s="243"/>
      <c r="Y30" s="243"/>
      <c r="Z30" s="243"/>
      <c r="AA30" s="243"/>
      <c r="AB30" s="243"/>
      <c r="AC30" s="243"/>
      <c r="AD30" s="243"/>
      <c r="AE30" s="243"/>
    </row>
    <row r="31" spans="1:31" ht="14.5">
      <c r="A31" s="23" t="str">
        <f>HLOOKUP(INDICE!$F$2,Nombres!$C$3:$D$636,174,FALSE)</f>
        <v>Coste de los depositos</v>
      </c>
      <c r="B31" s="241">
        <v>-8.735199272587707E-2</v>
      </c>
      <c r="C31" s="241">
        <v>-9.1923961152026029E-2</v>
      </c>
      <c r="D31" s="241">
        <v>-9.3726537697955872E-2</v>
      </c>
      <c r="E31" s="241">
        <v>-9.263493223767684E-2</v>
      </c>
      <c r="F31" s="241">
        <v>-8.6530993331337722E-2</v>
      </c>
      <c r="G31" s="241">
        <v>0</v>
      </c>
      <c r="H31" s="241">
        <v>0</v>
      </c>
      <c r="I31" s="241">
        <v>0</v>
      </c>
      <c r="J31" s="242"/>
      <c r="K31" s="242"/>
      <c r="L31" s="242"/>
      <c r="M31" s="242"/>
      <c r="O31" s="243"/>
      <c r="P31" s="243"/>
      <c r="Q31" s="243"/>
      <c r="R31" s="243"/>
      <c r="S31" s="243"/>
      <c r="X31" s="243"/>
      <c r="Y31" s="243"/>
      <c r="Z31" s="243"/>
      <c r="AA31" s="243"/>
      <c r="AB31" s="243"/>
      <c r="AC31" s="243"/>
      <c r="AD31" s="243"/>
      <c r="AE31" s="243"/>
    </row>
    <row r="32" spans="1:31" ht="14.5">
      <c r="A32" s="24" t="str">
        <f>HLOOKUP(INDICE!$F$2,Nombres!$C$3:$D$636,182,FALSE)</f>
        <v>Colombia</v>
      </c>
      <c r="B32" s="244">
        <v>4.0282432179857303E-2</v>
      </c>
      <c r="C32" s="244">
        <v>4.2894879764812238E-2</v>
      </c>
      <c r="D32" s="244">
        <v>4.49880202139714E-2</v>
      </c>
      <c r="E32" s="244">
        <v>4.7359516009050348E-2</v>
      </c>
      <c r="F32" s="244">
        <v>5.1015377140498516E-2</v>
      </c>
      <c r="G32" s="244">
        <v>0</v>
      </c>
      <c r="H32" s="244">
        <v>0</v>
      </c>
      <c r="I32" s="244">
        <v>0</v>
      </c>
      <c r="J32" s="242"/>
      <c r="K32" s="242"/>
      <c r="L32" s="242"/>
      <c r="M32" s="242"/>
      <c r="O32" s="243"/>
      <c r="P32" s="243"/>
      <c r="Q32" s="243"/>
      <c r="R32" s="243"/>
      <c r="S32" s="243"/>
      <c r="X32" s="243"/>
      <c r="Y32" s="243"/>
      <c r="Z32" s="243"/>
      <c r="AA32" s="243"/>
      <c r="AB32" s="243"/>
      <c r="AC32" s="243"/>
      <c r="AD32" s="243"/>
      <c r="AE32" s="243"/>
    </row>
    <row r="33" spans="1:31">
      <c r="A33" s="185"/>
      <c r="B33" s="245"/>
      <c r="C33" s="245"/>
      <c r="D33" s="245"/>
      <c r="E33" s="245"/>
      <c r="F33" s="245"/>
      <c r="G33" s="245"/>
      <c r="H33" s="245"/>
      <c r="I33" s="245"/>
      <c r="O33" s="243"/>
      <c r="P33" s="243"/>
      <c r="Q33" s="243"/>
      <c r="R33" s="243"/>
      <c r="S33" s="243"/>
      <c r="X33" s="243"/>
      <c r="Y33" s="243"/>
      <c r="Z33" s="243"/>
      <c r="AA33" s="243"/>
      <c r="AB33" s="243"/>
      <c r="AC33" s="243"/>
      <c r="AD33" s="243"/>
      <c r="AE33" s="243"/>
    </row>
    <row r="34" spans="1:31" ht="14.5">
      <c r="A34" s="23" t="str">
        <f>HLOOKUP(INDICE!$F$2,Nombres!$C$3:$D$636,173,FALSE)</f>
        <v>Rentabilidad de los prestamos</v>
      </c>
      <c r="B34" s="241">
        <v>8.383020372065754E-2</v>
      </c>
      <c r="C34" s="241">
        <v>8.8235186521904249E-2</v>
      </c>
      <c r="D34" s="241">
        <v>9.3779822539318089E-2</v>
      </c>
      <c r="E34" s="241">
        <v>9.4542547875341609E-2</v>
      </c>
      <c r="F34" s="241">
        <v>9.524844059543161E-2</v>
      </c>
      <c r="G34" s="241">
        <v>0</v>
      </c>
      <c r="H34" s="241">
        <v>0</v>
      </c>
      <c r="I34" s="241">
        <v>0</v>
      </c>
      <c r="J34" s="242"/>
      <c r="K34" s="242"/>
      <c r="L34" s="242"/>
      <c r="M34" s="242"/>
      <c r="O34" s="243"/>
      <c r="P34" s="243"/>
      <c r="Q34" s="243"/>
      <c r="R34" s="243"/>
      <c r="S34" s="243"/>
      <c r="X34" s="243"/>
      <c r="Y34" s="243"/>
      <c r="Z34" s="243"/>
      <c r="AA34" s="243"/>
      <c r="AB34" s="243"/>
      <c r="AC34" s="243"/>
      <c r="AD34" s="243"/>
      <c r="AE34" s="243"/>
    </row>
    <row r="35" spans="1:31" ht="14.5">
      <c r="A35" s="23" t="str">
        <f>HLOOKUP(INDICE!$F$2,Nombres!$C$3:$D$636,174,FALSE)</f>
        <v>Coste de los depositos</v>
      </c>
      <c r="B35" s="241">
        <v>-2.1545869764722187E-2</v>
      </c>
      <c r="C35" s="241">
        <v>-2.3660198317337768E-2</v>
      </c>
      <c r="D35" s="241">
        <v>-2.6204907010459345E-2</v>
      </c>
      <c r="E35" s="241">
        <v>-2.6393529497829436E-2</v>
      </c>
      <c r="F35" s="241">
        <v>-2.3415795717227416E-2</v>
      </c>
      <c r="G35" s="241">
        <v>0</v>
      </c>
      <c r="H35" s="241">
        <v>0</v>
      </c>
      <c r="I35" s="241">
        <v>0</v>
      </c>
      <c r="J35" s="242"/>
      <c r="K35" s="242"/>
      <c r="L35" s="242"/>
      <c r="M35" s="242"/>
      <c r="O35" s="243"/>
      <c r="P35" s="243"/>
      <c r="Q35" s="243"/>
      <c r="R35" s="243"/>
      <c r="S35" s="243"/>
      <c r="X35" s="243"/>
      <c r="Y35" s="243"/>
      <c r="Z35" s="243"/>
      <c r="AA35" s="243"/>
      <c r="AB35" s="243"/>
      <c r="AC35" s="243"/>
      <c r="AD35" s="243"/>
      <c r="AE35" s="243"/>
    </row>
    <row r="36" spans="1:31" ht="14.5">
      <c r="A36" s="24" t="str">
        <f>HLOOKUP(INDICE!$F$2,Nombres!$C$3:$D$636,183,FALSE)</f>
        <v>Perú</v>
      </c>
      <c r="B36" s="244">
        <v>6.2284333955935356E-2</v>
      </c>
      <c r="C36" s="244">
        <v>6.4574988204566475E-2</v>
      </c>
      <c r="D36" s="244">
        <v>6.7574915528858748E-2</v>
      </c>
      <c r="E36" s="244">
        <v>6.8149018377512166E-2</v>
      </c>
      <c r="F36" s="244">
        <v>7.1832644878204191E-2</v>
      </c>
      <c r="G36" s="244">
        <v>0</v>
      </c>
      <c r="H36" s="244">
        <v>0</v>
      </c>
      <c r="I36" s="244">
        <v>0</v>
      </c>
      <c r="J36" s="242"/>
      <c r="K36" s="242"/>
      <c r="L36" s="242"/>
      <c r="M36" s="242"/>
      <c r="O36" s="243"/>
      <c r="P36" s="243"/>
      <c r="Q36" s="243"/>
      <c r="R36" s="243"/>
      <c r="S36" s="243"/>
      <c r="X36" s="243"/>
      <c r="Y36" s="243"/>
      <c r="Z36" s="243"/>
      <c r="AA36" s="243"/>
      <c r="AB36" s="243"/>
      <c r="AC36" s="243"/>
      <c r="AD36" s="243"/>
      <c r="AE36" s="243"/>
    </row>
    <row r="37" spans="1:31">
      <c r="A37" s="185"/>
      <c r="B37" s="245"/>
      <c r="C37" s="245"/>
      <c r="D37" s="245"/>
      <c r="E37" s="245"/>
      <c r="F37" s="245"/>
      <c r="G37" s="245"/>
      <c r="H37" s="245"/>
      <c r="I37" s="245"/>
      <c r="O37" s="243"/>
      <c r="P37" s="243"/>
      <c r="Q37" s="243"/>
      <c r="R37" s="243"/>
      <c r="S37" s="243"/>
    </row>
    <row r="38" spans="1:31" ht="13">
      <c r="A38" s="249" t="str">
        <f>HLOOKUP(INDICE!$F$2,Nombres!$C$3:$D$636,184,FALSE)</f>
        <v>(*) Diferencia entre el rendimiento de los préstamos y el coste de los depósitos de los clientes.</v>
      </c>
      <c r="B38" s="239"/>
      <c r="C38" s="239"/>
      <c r="D38" s="239"/>
      <c r="E38" s="239"/>
      <c r="F38" s="304"/>
      <c r="G38" s="304"/>
      <c r="H38" s="239"/>
      <c r="I38" s="239"/>
    </row>
    <row r="39" spans="1:31">
      <c r="A39" s="249"/>
      <c r="B39" s="239"/>
      <c r="C39" s="239"/>
      <c r="D39" s="239"/>
      <c r="E39" s="239"/>
      <c r="F39" s="239"/>
      <c r="G39" s="250"/>
      <c r="H39" s="239"/>
      <c r="I39" s="239"/>
    </row>
    <row r="40" spans="1:31">
      <c r="A40" s="249"/>
    </row>
    <row r="996" spans="1:1" ht="14.5">
      <c r="A996" t="s">
        <v>550</v>
      </c>
    </row>
  </sheetData>
  <mergeCells count="3">
    <mergeCell ref="B3:E3"/>
    <mergeCell ref="F3:I3"/>
    <mergeCell ref="F38:G3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5"/>
  <sheetViews>
    <sheetView showGridLines="0" workbookViewId="0">
      <selection activeCell="A41" sqref="A41"/>
    </sheetView>
  </sheetViews>
  <sheetFormatPr baseColWidth="10" defaultRowHeight="14.5"/>
  <cols>
    <col min="1" max="1" width="40.26953125" customWidth="1"/>
    <col min="2" max="2" width="15.81640625" customWidth="1"/>
    <col min="3" max="3" width="14.1796875" customWidth="1"/>
    <col min="4" max="4" width="14.54296875" customWidth="1"/>
    <col min="5" max="5" width="13.453125" customWidth="1"/>
    <col min="6" max="6" width="12.81640625" customWidth="1"/>
    <col min="7" max="9" width="11.453125" hidden="1" customWidth="1"/>
    <col min="10" max="10" width="11.453125" customWidth="1"/>
    <col min="11" max="12" width="14.7265625" bestFit="1" customWidth="1"/>
    <col min="257" max="257" width="40.26953125" customWidth="1"/>
    <col min="258" max="258" width="15.81640625" customWidth="1"/>
    <col min="259" max="259" width="14.1796875" customWidth="1"/>
    <col min="260" max="260" width="14.54296875" customWidth="1"/>
    <col min="261" max="261" width="13.453125" customWidth="1"/>
    <col min="262" max="262" width="12.81640625" customWidth="1"/>
    <col min="263" max="266" width="11.453125" customWidth="1"/>
    <col min="267" max="268" width="14.7265625" bestFit="1" customWidth="1"/>
    <col min="513" max="513" width="40.26953125" customWidth="1"/>
    <col min="514" max="514" width="15.81640625" customWidth="1"/>
    <col min="515" max="515" width="14.1796875" customWidth="1"/>
    <col min="516" max="516" width="14.54296875" customWidth="1"/>
    <col min="517" max="517" width="13.453125" customWidth="1"/>
    <col min="518" max="518" width="12.81640625" customWidth="1"/>
    <col min="519" max="522" width="11.453125" customWidth="1"/>
    <col min="523" max="524" width="14.7265625" bestFit="1" customWidth="1"/>
    <col min="769" max="769" width="40.26953125" customWidth="1"/>
    <col min="770" max="770" width="15.81640625" customWidth="1"/>
    <col min="771" max="771" width="14.1796875" customWidth="1"/>
    <col min="772" max="772" width="14.54296875" customWidth="1"/>
    <col min="773" max="773" width="13.453125" customWidth="1"/>
    <col min="774" max="774" width="12.81640625" customWidth="1"/>
    <col min="775" max="778" width="11.453125" customWidth="1"/>
    <col min="779" max="780" width="14.7265625" bestFit="1" customWidth="1"/>
    <col min="1025" max="1025" width="40.26953125" customWidth="1"/>
    <col min="1026" max="1026" width="15.81640625" customWidth="1"/>
    <col min="1027" max="1027" width="14.1796875" customWidth="1"/>
    <col min="1028" max="1028" width="14.54296875" customWidth="1"/>
    <col min="1029" max="1029" width="13.453125" customWidth="1"/>
    <col min="1030" max="1030" width="12.81640625" customWidth="1"/>
    <col min="1031" max="1034" width="11.453125" customWidth="1"/>
    <col min="1035" max="1036" width="14.7265625" bestFit="1" customWidth="1"/>
    <col min="1281" max="1281" width="40.26953125" customWidth="1"/>
    <col min="1282" max="1282" width="15.81640625" customWidth="1"/>
    <col min="1283" max="1283" width="14.1796875" customWidth="1"/>
    <col min="1284" max="1284" width="14.54296875" customWidth="1"/>
    <col min="1285" max="1285" width="13.453125" customWidth="1"/>
    <col min="1286" max="1286" width="12.81640625" customWidth="1"/>
    <col min="1287" max="1290" width="11.453125" customWidth="1"/>
    <col min="1291" max="1292" width="14.7265625" bestFit="1" customWidth="1"/>
    <col min="1537" max="1537" width="40.26953125" customWidth="1"/>
    <col min="1538" max="1538" width="15.81640625" customWidth="1"/>
    <col min="1539" max="1539" width="14.1796875" customWidth="1"/>
    <col min="1540" max="1540" width="14.54296875" customWidth="1"/>
    <col min="1541" max="1541" width="13.453125" customWidth="1"/>
    <col min="1542" max="1542" width="12.81640625" customWidth="1"/>
    <col min="1543" max="1546" width="11.453125" customWidth="1"/>
    <col min="1547" max="1548" width="14.7265625" bestFit="1" customWidth="1"/>
    <col min="1793" max="1793" width="40.26953125" customWidth="1"/>
    <col min="1794" max="1794" width="15.81640625" customWidth="1"/>
    <col min="1795" max="1795" width="14.1796875" customWidth="1"/>
    <col min="1796" max="1796" width="14.54296875" customWidth="1"/>
    <col min="1797" max="1797" width="13.453125" customWidth="1"/>
    <col min="1798" max="1798" width="12.81640625" customWidth="1"/>
    <col min="1799" max="1802" width="11.453125" customWidth="1"/>
    <col min="1803" max="1804" width="14.7265625" bestFit="1" customWidth="1"/>
    <col min="2049" max="2049" width="40.26953125" customWidth="1"/>
    <col min="2050" max="2050" width="15.81640625" customWidth="1"/>
    <col min="2051" max="2051" width="14.1796875" customWidth="1"/>
    <col min="2052" max="2052" width="14.54296875" customWidth="1"/>
    <col min="2053" max="2053" width="13.453125" customWidth="1"/>
    <col min="2054" max="2054" width="12.81640625" customWidth="1"/>
    <col min="2055" max="2058" width="11.453125" customWidth="1"/>
    <col min="2059" max="2060" width="14.7265625" bestFit="1" customWidth="1"/>
    <col min="2305" max="2305" width="40.26953125" customWidth="1"/>
    <col min="2306" max="2306" width="15.81640625" customWidth="1"/>
    <col min="2307" max="2307" width="14.1796875" customWidth="1"/>
    <col min="2308" max="2308" width="14.54296875" customWidth="1"/>
    <col min="2309" max="2309" width="13.453125" customWidth="1"/>
    <col min="2310" max="2310" width="12.81640625" customWidth="1"/>
    <col min="2311" max="2314" width="11.453125" customWidth="1"/>
    <col min="2315" max="2316" width="14.7265625" bestFit="1" customWidth="1"/>
    <col min="2561" max="2561" width="40.26953125" customWidth="1"/>
    <col min="2562" max="2562" width="15.81640625" customWidth="1"/>
    <col min="2563" max="2563" width="14.1796875" customWidth="1"/>
    <col min="2564" max="2564" width="14.54296875" customWidth="1"/>
    <col min="2565" max="2565" width="13.453125" customWidth="1"/>
    <col min="2566" max="2566" width="12.81640625" customWidth="1"/>
    <col min="2567" max="2570" width="11.453125" customWidth="1"/>
    <col min="2571" max="2572" width="14.7265625" bestFit="1" customWidth="1"/>
    <col min="2817" max="2817" width="40.26953125" customWidth="1"/>
    <col min="2818" max="2818" width="15.81640625" customWidth="1"/>
    <col min="2819" max="2819" width="14.1796875" customWidth="1"/>
    <col min="2820" max="2820" width="14.54296875" customWidth="1"/>
    <col min="2821" max="2821" width="13.453125" customWidth="1"/>
    <col min="2822" max="2822" width="12.81640625" customWidth="1"/>
    <col min="2823" max="2826" width="11.453125" customWidth="1"/>
    <col min="2827" max="2828" width="14.7265625" bestFit="1" customWidth="1"/>
    <col min="3073" max="3073" width="40.26953125" customWidth="1"/>
    <col min="3074" max="3074" width="15.81640625" customWidth="1"/>
    <col min="3075" max="3075" width="14.1796875" customWidth="1"/>
    <col min="3076" max="3076" width="14.54296875" customWidth="1"/>
    <col min="3077" max="3077" width="13.453125" customWidth="1"/>
    <col min="3078" max="3078" width="12.81640625" customWidth="1"/>
    <col min="3079" max="3082" width="11.453125" customWidth="1"/>
    <col min="3083" max="3084" width="14.7265625" bestFit="1" customWidth="1"/>
    <col min="3329" max="3329" width="40.26953125" customWidth="1"/>
    <col min="3330" max="3330" width="15.81640625" customWidth="1"/>
    <col min="3331" max="3331" width="14.1796875" customWidth="1"/>
    <col min="3332" max="3332" width="14.54296875" customWidth="1"/>
    <col min="3333" max="3333" width="13.453125" customWidth="1"/>
    <col min="3334" max="3334" width="12.81640625" customWidth="1"/>
    <col min="3335" max="3338" width="11.453125" customWidth="1"/>
    <col min="3339" max="3340" width="14.7265625" bestFit="1" customWidth="1"/>
    <col min="3585" max="3585" width="40.26953125" customWidth="1"/>
    <col min="3586" max="3586" width="15.81640625" customWidth="1"/>
    <col min="3587" max="3587" width="14.1796875" customWidth="1"/>
    <col min="3588" max="3588" width="14.54296875" customWidth="1"/>
    <col min="3589" max="3589" width="13.453125" customWidth="1"/>
    <col min="3590" max="3590" width="12.81640625" customWidth="1"/>
    <col min="3591" max="3594" width="11.453125" customWidth="1"/>
    <col min="3595" max="3596" width="14.7265625" bestFit="1" customWidth="1"/>
    <col min="3841" max="3841" width="40.26953125" customWidth="1"/>
    <col min="3842" max="3842" width="15.81640625" customWidth="1"/>
    <col min="3843" max="3843" width="14.1796875" customWidth="1"/>
    <col min="3844" max="3844" width="14.54296875" customWidth="1"/>
    <col min="3845" max="3845" width="13.453125" customWidth="1"/>
    <col min="3846" max="3846" width="12.81640625" customWidth="1"/>
    <col min="3847" max="3850" width="11.453125" customWidth="1"/>
    <col min="3851" max="3852" width="14.7265625" bestFit="1" customWidth="1"/>
    <col min="4097" max="4097" width="40.26953125" customWidth="1"/>
    <col min="4098" max="4098" width="15.81640625" customWidth="1"/>
    <col min="4099" max="4099" width="14.1796875" customWidth="1"/>
    <col min="4100" max="4100" width="14.54296875" customWidth="1"/>
    <col min="4101" max="4101" width="13.453125" customWidth="1"/>
    <col min="4102" max="4102" width="12.81640625" customWidth="1"/>
    <col min="4103" max="4106" width="11.453125" customWidth="1"/>
    <col min="4107" max="4108" width="14.7265625" bestFit="1" customWidth="1"/>
    <col min="4353" max="4353" width="40.26953125" customWidth="1"/>
    <col min="4354" max="4354" width="15.81640625" customWidth="1"/>
    <col min="4355" max="4355" width="14.1796875" customWidth="1"/>
    <col min="4356" max="4356" width="14.54296875" customWidth="1"/>
    <col min="4357" max="4357" width="13.453125" customWidth="1"/>
    <col min="4358" max="4358" width="12.81640625" customWidth="1"/>
    <col min="4359" max="4362" width="11.453125" customWidth="1"/>
    <col min="4363" max="4364" width="14.7265625" bestFit="1" customWidth="1"/>
    <col min="4609" max="4609" width="40.26953125" customWidth="1"/>
    <col min="4610" max="4610" width="15.81640625" customWidth="1"/>
    <col min="4611" max="4611" width="14.1796875" customWidth="1"/>
    <col min="4612" max="4612" width="14.54296875" customWidth="1"/>
    <col min="4613" max="4613" width="13.453125" customWidth="1"/>
    <col min="4614" max="4614" width="12.81640625" customWidth="1"/>
    <col min="4615" max="4618" width="11.453125" customWidth="1"/>
    <col min="4619" max="4620" width="14.7265625" bestFit="1" customWidth="1"/>
    <col min="4865" max="4865" width="40.26953125" customWidth="1"/>
    <col min="4866" max="4866" width="15.81640625" customWidth="1"/>
    <col min="4867" max="4867" width="14.1796875" customWidth="1"/>
    <col min="4868" max="4868" width="14.54296875" customWidth="1"/>
    <col min="4869" max="4869" width="13.453125" customWidth="1"/>
    <col min="4870" max="4870" width="12.81640625" customWidth="1"/>
    <col min="4871" max="4874" width="11.453125" customWidth="1"/>
    <col min="4875" max="4876" width="14.7265625" bestFit="1" customWidth="1"/>
    <col min="5121" max="5121" width="40.26953125" customWidth="1"/>
    <col min="5122" max="5122" width="15.81640625" customWidth="1"/>
    <col min="5123" max="5123" width="14.1796875" customWidth="1"/>
    <col min="5124" max="5124" width="14.54296875" customWidth="1"/>
    <col min="5125" max="5125" width="13.453125" customWidth="1"/>
    <col min="5126" max="5126" width="12.81640625" customWidth="1"/>
    <col min="5127" max="5130" width="11.453125" customWidth="1"/>
    <col min="5131" max="5132" width="14.7265625" bestFit="1" customWidth="1"/>
    <col min="5377" max="5377" width="40.26953125" customWidth="1"/>
    <col min="5378" max="5378" width="15.81640625" customWidth="1"/>
    <col min="5379" max="5379" width="14.1796875" customWidth="1"/>
    <col min="5380" max="5380" width="14.54296875" customWidth="1"/>
    <col min="5381" max="5381" width="13.453125" customWidth="1"/>
    <col min="5382" max="5382" width="12.81640625" customWidth="1"/>
    <col min="5383" max="5386" width="11.453125" customWidth="1"/>
    <col min="5387" max="5388" width="14.7265625" bestFit="1" customWidth="1"/>
    <col min="5633" max="5633" width="40.26953125" customWidth="1"/>
    <col min="5634" max="5634" width="15.81640625" customWidth="1"/>
    <col min="5635" max="5635" width="14.1796875" customWidth="1"/>
    <col min="5636" max="5636" width="14.54296875" customWidth="1"/>
    <col min="5637" max="5637" width="13.453125" customWidth="1"/>
    <col min="5638" max="5638" width="12.81640625" customWidth="1"/>
    <col min="5639" max="5642" width="11.453125" customWidth="1"/>
    <col min="5643" max="5644" width="14.7265625" bestFit="1" customWidth="1"/>
    <col min="5889" max="5889" width="40.26953125" customWidth="1"/>
    <col min="5890" max="5890" width="15.81640625" customWidth="1"/>
    <col min="5891" max="5891" width="14.1796875" customWidth="1"/>
    <col min="5892" max="5892" width="14.54296875" customWidth="1"/>
    <col min="5893" max="5893" width="13.453125" customWidth="1"/>
    <col min="5894" max="5894" width="12.81640625" customWidth="1"/>
    <col min="5895" max="5898" width="11.453125" customWidth="1"/>
    <col min="5899" max="5900" width="14.7265625" bestFit="1" customWidth="1"/>
    <col min="6145" max="6145" width="40.26953125" customWidth="1"/>
    <col min="6146" max="6146" width="15.81640625" customWidth="1"/>
    <col min="6147" max="6147" width="14.1796875" customWidth="1"/>
    <col min="6148" max="6148" width="14.54296875" customWidth="1"/>
    <col min="6149" max="6149" width="13.453125" customWidth="1"/>
    <col min="6150" max="6150" width="12.81640625" customWidth="1"/>
    <col min="6151" max="6154" width="11.453125" customWidth="1"/>
    <col min="6155" max="6156" width="14.7265625" bestFit="1" customWidth="1"/>
    <col min="6401" max="6401" width="40.26953125" customWidth="1"/>
    <col min="6402" max="6402" width="15.81640625" customWidth="1"/>
    <col min="6403" max="6403" width="14.1796875" customWidth="1"/>
    <col min="6404" max="6404" width="14.54296875" customWidth="1"/>
    <col min="6405" max="6405" width="13.453125" customWidth="1"/>
    <col min="6406" max="6406" width="12.81640625" customWidth="1"/>
    <col min="6407" max="6410" width="11.453125" customWidth="1"/>
    <col min="6411" max="6412" width="14.7265625" bestFit="1" customWidth="1"/>
    <col min="6657" max="6657" width="40.26953125" customWidth="1"/>
    <col min="6658" max="6658" width="15.81640625" customWidth="1"/>
    <col min="6659" max="6659" width="14.1796875" customWidth="1"/>
    <col min="6660" max="6660" width="14.54296875" customWidth="1"/>
    <col min="6661" max="6661" width="13.453125" customWidth="1"/>
    <col min="6662" max="6662" width="12.81640625" customWidth="1"/>
    <col min="6663" max="6666" width="11.453125" customWidth="1"/>
    <col min="6667" max="6668" width="14.7265625" bestFit="1" customWidth="1"/>
    <col min="6913" max="6913" width="40.26953125" customWidth="1"/>
    <col min="6914" max="6914" width="15.81640625" customWidth="1"/>
    <col min="6915" max="6915" width="14.1796875" customWidth="1"/>
    <col min="6916" max="6916" width="14.54296875" customWidth="1"/>
    <col min="6917" max="6917" width="13.453125" customWidth="1"/>
    <col min="6918" max="6918" width="12.81640625" customWidth="1"/>
    <col min="6919" max="6922" width="11.453125" customWidth="1"/>
    <col min="6923" max="6924" width="14.7265625" bestFit="1" customWidth="1"/>
    <col min="7169" max="7169" width="40.26953125" customWidth="1"/>
    <col min="7170" max="7170" width="15.81640625" customWidth="1"/>
    <col min="7171" max="7171" width="14.1796875" customWidth="1"/>
    <col min="7172" max="7172" width="14.54296875" customWidth="1"/>
    <col min="7173" max="7173" width="13.453125" customWidth="1"/>
    <col min="7174" max="7174" width="12.81640625" customWidth="1"/>
    <col min="7175" max="7178" width="11.453125" customWidth="1"/>
    <col min="7179" max="7180" width="14.7265625" bestFit="1" customWidth="1"/>
    <col min="7425" max="7425" width="40.26953125" customWidth="1"/>
    <col min="7426" max="7426" width="15.81640625" customWidth="1"/>
    <col min="7427" max="7427" width="14.1796875" customWidth="1"/>
    <col min="7428" max="7428" width="14.54296875" customWidth="1"/>
    <col min="7429" max="7429" width="13.453125" customWidth="1"/>
    <col min="7430" max="7430" width="12.81640625" customWidth="1"/>
    <col min="7431" max="7434" width="11.453125" customWidth="1"/>
    <col min="7435" max="7436" width="14.7265625" bestFit="1" customWidth="1"/>
    <col min="7681" max="7681" width="40.26953125" customWidth="1"/>
    <col min="7682" max="7682" width="15.81640625" customWidth="1"/>
    <col min="7683" max="7683" width="14.1796875" customWidth="1"/>
    <col min="7684" max="7684" width="14.54296875" customWidth="1"/>
    <col min="7685" max="7685" width="13.453125" customWidth="1"/>
    <col min="7686" max="7686" width="12.81640625" customWidth="1"/>
    <col min="7687" max="7690" width="11.453125" customWidth="1"/>
    <col min="7691" max="7692" width="14.7265625" bestFit="1" customWidth="1"/>
    <col min="7937" max="7937" width="40.26953125" customWidth="1"/>
    <col min="7938" max="7938" width="15.81640625" customWidth="1"/>
    <col min="7939" max="7939" width="14.1796875" customWidth="1"/>
    <col min="7940" max="7940" width="14.54296875" customWidth="1"/>
    <col min="7941" max="7941" width="13.453125" customWidth="1"/>
    <col min="7942" max="7942" width="12.81640625" customWidth="1"/>
    <col min="7943" max="7946" width="11.453125" customWidth="1"/>
    <col min="7947" max="7948" width="14.7265625" bestFit="1" customWidth="1"/>
    <col min="8193" max="8193" width="40.26953125" customWidth="1"/>
    <col min="8194" max="8194" width="15.81640625" customWidth="1"/>
    <col min="8195" max="8195" width="14.1796875" customWidth="1"/>
    <col min="8196" max="8196" width="14.54296875" customWidth="1"/>
    <col min="8197" max="8197" width="13.453125" customWidth="1"/>
    <col min="8198" max="8198" width="12.81640625" customWidth="1"/>
    <col min="8199" max="8202" width="11.453125" customWidth="1"/>
    <col min="8203" max="8204" width="14.7265625" bestFit="1" customWidth="1"/>
    <col min="8449" max="8449" width="40.26953125" customWidth="1"/>
    <col min="8450" max="8450" width="15.81640625" customWidth="1"/>
    <col min="8451" max="8451" width="14.1796875" customWidth="1"/>
    <col min="8452" max="8452" width="14.54296875" customWidth="1"/>
    <col min="8453" max="8453" width="13.453125" customWidth="1"/>
    <col min="8454" max="8454" width="12.81640625" customWidth="1"/>
    <col min="8455" max="8458" width="11.453125" customWidth="1"/>
    <col min="8459" max="8460" width="14.7265625" bestFit="1" customWidth="1"/>
    <col min="8705" max="8705" width="40.26953125" customWidth="1"/>
    <col min="8706" max="8706" width="15.81640625" customWidth="1"/>
    <col min="8707" max="8707" width="14.1796875" customWidth="1"/>
    <col min="8708" max="8708" width="14.54296875" customWidth="1"/>
    <col min="8709" max="8709" width="13.453125" customWidth="1"/>
    <col min="8710" max="8710" width="12.81640625" customWidth="1"/>
    <col min="8711" max="8714" width="11.453125" customWidth="1"/>
    <col min="8715" max="8716" width="14.7265625" bestFit="1" customWidth="1"/>
    <col min="8961" max="8961" width="40.26953125" customWidth="1"/>
    <col min="8962" max="8962" width="15.81640625" customWidth="1"/>
    <col min="8963" max="8963" width="14.1796875" customWidth="1"/>
    <col min="8964" max="8964" width="14.54296875" customWidth="1"/>
    <col min="8965" max="8965" width="13.453125" customWidth="1"/>
    <col min="8966" max="8966" width="12.81640625" customWidth="1"/>
    <col min="8967" max="8970" width="11.453125" customWidth="1"/>
    <col min="8971" max="8972" width="14.7265625" bestFit="1" customWidth="1"/>
    <col min="9217" max="9217" width="40.26953125" customWidth="1"/>
    <col min="9218" max="9218" width="15.81640625" customWidth="1"/>
    <col min="9219" max="9219" width="14.1796875" customWidth="1"/>
    <col min="9220" max="9220" width="14.54296875" customWidth="1"/>
    <col min="9221" max="9221" width="13.453125" customWidth="1"/>
    <col min="9222" max="9222" width="12.81640625" customWidth="1"/>
    <col min="9223" max="9226" width="11.453125" customWidth="1"/>
    <col min="9227" max="9228" width="14.7265625" bestFit="1" customWidth="1"/>
    <col min="9473" max="9473" width="40.26953125" customWidth="1"/>
    <col min="9474" max="9474" width="15.81640625" customWidth="1"/>
    <col min="9475" max="9475" width="14.1796875" customWidth="1"/>
    <col min="9476" max="9476" width="14.54296875" customWidth="1"/>
    <col min="9477" max="9477" width="13.453125" customWidth="1"/>
    <col min="9478" max="9478" width="12.81640625" customWidth="1"/>
    <col min="9479" max="9482" width="11.453125" customWidth="1"/>
    <col min="9483" max="9484" width="14.7265625" bestFit="1" customWidth="1"/>
    <col min="9729" max="9729" width="40.26953125" customWidth="1"/>
    <col min="9730" max="9730" width="15.81640625" customWidth="1"/>
    <col min="9731" max="9731" width="14.1796875" customWidth="1"/>
    <col min="9732" max="9732" width="14.54296875" customWidth="1"/>
    <col min="9733" max="9733" width="13.453125" customWidth="1"/>
    <col min="9734" max="9734" width="12.81640625" customWidth="1"/>
    <col min="9735" max="9738" width="11.453125" customWidth="1"/>
    <col min="9739" max="9740" width="14.7265625" bestFit="1" customWidth="1"/>
    <col min="9985" max="9985" width="40.26953125" customWidth="1"/>
    <col min="9986" max="9986" width="15.81640625" customWidth="1"/>
    <col min="9987" max="9987" width="14.1796875" customWidth="1"/>
    <col min="9988" max="9988" width="14.54296875" customWidth="1"/>
    <col min="9989" max="9989" width="13.453125" customWidth="1"/>
    <col min="9990" max="9990" width="12.81640625" customWidth="1"/>
    <col min="9991" max="9994" width="11.453125" customWidth="1"/>
    <col min="9995" max="9996" width="14.7265625" bestFit="1" customWidth="1"/>
    <col min="10241" max="10241" width="40.26953125" customWidth="1"/>
    <col min="10242" max="10242" width="15.81640625" customWidth="1"/>
    <col min="10243" max="10243" width="14.1796875" customWidth="1"/>
    <col min="10244" max="10244" width="14.54296875" customWidth="1"/>
    <col min="10245" max="10245" width="13.453125" customWidth="1"/>
    <col min="10246" max="10246" width="12.81640625" customWidth="1"/>
    <col min="10247" max="10250" width="11.453125" customWidth="1"/>
    <col min="10251" max="10252" width="14.7265625" bestFit="1" customWidth="1"/>
    <col min="10497" max="10497" width="40.26953125" customWidth="1"/>
    <col min="10498" max="10498" width="15.81640625" customWidth="1"/>
    <col min="10499" max="10499" width="14.1796875" customWidth="1"/>
    <col min="10500" max="10500" width="14.54296875" customWidth="1"/>
    <col min="10501" max="10501" width="13.453125" customWidth="1"/>
    <col min="10502" max="10502" width="12.81640625" customWidth="1"/>
    <col min="10503" max="10506" width="11.453125" customWidth="1"/>
    <col min="10507" max="10508" width="14.7265625" bestFit="1" customWidth="1"/>
    <col min="10753" max="10753" width="40.26953125" customWidth="1"/>
    <col min="10754" max="10754" width="15.81640625" customWidth="1"/>
    <col min="10755" max="10755" width="14.1796875" customWidth="1"/>
    <col min="10756" max="10756" width="14.54296875" customWidth="1"/>
    <col min="10757" max="10757" width="13.453125" customWidth="1"/>
    <col min="10758" max="10758" width="12.81640625" customWidth="1"/>
    <col min="10759" max="10762" width="11.453125" customWidth="1"/>
    <col min="10763" max="10764" width="14.7265625" bestFit="1" customWidth="1"/>
    <col min="11009" max="11009" width="40.26953125" customWidth="1"/>
    <col min="11010" max="11010" width="15.81640625" customWidth="1"/>
    <col min="11011" max="11011" width="14.1796875" customWidth="1"/>
    <col min="11012" max="11012" width="14.54296875" customWidth="1"/>
    <col min="11013" max="11013" width="13.453125" customWidth="1"/>
    <col min="11014" max="11014" width="12.81640625" customWidth="1"/>
    <col min="11015" max="11018" width="11.453125" customWidth="1"/>
    <col min="11019" max="11020" width="14.7265625" bestFit="1" customWidth="1"/>
    <col min="11265" max="11265" width="40.26953125" customWidth="1"/>
    <col min="11266" max="11266" width="15.81640625" customWidth="1"/>
    <col min="11267" max="11267" width="14.1796875" customWidth="1"/>
    <col min="11268" max="11268" width="14.54296875" customWidth="1"/>
    <col min="11269" max="11269" width="13.453125" customWidth="1"/>
    <col min="11270" max="11270" width="12.81640625" customWidth="1"/>
    <col min="11271" max="11274" width="11.453125" customWidth="1"/>
    <col min="11275" max="11276" width="14.7265625" bestFit="1" customWidth="1"/>
    <col min="11521" max="11521" width="40.26953125" customWidth="1"/>
    <col min="11522" max="11522" width="15.81640625" customWidth="1"/>
    <col min="11523" max="11523" width="14.1796875" customWidth="1"/>
    <col min="11524" max="11524" width="14.54296875" customWidth="1"/>
    <col min="11525" max="11525" width="13.453125" customWidth="1"/>
    <col min="11526" max="11526" width="12.81640625" customWidth="1"/>
    <col min="11527" max="11530" width="11.453125" customWidth="1"/>
    <col min="11531" max="11532" width="14.7265625" bestFit="1" customWidth="1"/>
    <col min="11777" max="11777" width="40.26953125" customWidth="1"/>
    <col min="11778" max="11778" width="15.81640625" customWidth="1"/>
    <col min="11779" max="11779" width="14.1796875" customWidth="1"/>
    <col min="11780" max="11780" width="14.54296875" customWidth="1"/>
    <col min="11781" max="11781" width="13.453125" customWidth="1"/>
    <col min="11782" max="11782" width="12.81640625" customWidth="1"/>
    <col min="11783" max="11786" width="11.453125" customWidth="1"/>
    <col min="11787" max="11788" width="14.7265625" bestFit="1" customWidth="1"/>
    <col min="12033" max="12033" width="40.26953125" customWidth="1"/>
    <col min="12034" max="12034" width="15.81640625" customWidth="1"/>
    <col min="12035" max="12035" width="14.1796875" customWidth="1"/>
    <col min="12036" max="12036" width="14.54296875" customWidth="1"/>
    <col min="12037" max="12037" width="13.453125" customWidth="1"/>
    <col min="12038" max="12038" width="12.81640625" customWidth="1"/>
    <col min="12039" max="12042" width="11.453125" customWidth="1"/>
    <col min="12043" max="12044" width="14.7265625" bestFit="1" customWidth="1"/>
    <col min="12289" max="12289" width="40.26953125" customWidth="1"/>
    <col min="12290" max="12290" width="15.81640625" customWidth="1"/>
    <col min="12291" max="12291" width="14.1796875" customWidth="1"/>
    <col min="12292" max="12292" width="14.54296875" customWidth="1"/>
    <col min="12293" max="12293" width="13.453125" customWidth="1"/>
    <col min="12294" max="12294" width="12.81640625" customWidth="1"/>
    <col min="12295" max="12298" width="11.453125" customWidth="1"/>
    <col min="12299" max="12300" width="14.7265625" bestFit="1" customWidth="1"/>
    <col min="12545" max="12545" width="40.26953125" customWidth="1"/>
    <col min="12546" max="12546" width="15.81640625" customWidth="1"/>
    <col min="12547" max="12547" width="14.1796875" customWidth="1"/>
    <col min="12548" max="12548" width="14.54296875" customWidth="1"/>
    <col min="12549" max="12549" width="13.453125" customWidth="1"/>
    <col min="12550" max="12550" width="12.81640625" customWidth="1"/>
    <col min="12551" max="12554" width="11.453125" customWidth="1"/>
    <col min="12555" max="12556" width="14.7265625" bestFit="1" customWidth="1"/>
    <col min="12801" max="12801" width="40.26953125" customWidth="1"/>
    <col min="12802" max="12802" width="15.81640625" customWidth="1"/>
    <col min="12803" max="12803" width="14.1796875" customWidth="1"/>
    <col min="12804" max="12804" width="14.54296875" customWidth="1"/>
    <col min="12805" max="12805" width="13.453125" customWidth="1"/>
    <col min="12806" max="12806" width="12.81640625" customWidth="1"/>
    <col min="12807" max="12810" width="11.453125" customWidth="1"/>
    <col min="12811" max="12812" width="14.7265625" bestFit="1" customWidth="1"/>
    <col min="13057" max="13057" width="40.26953125" customWidth="1"/>
    <col min="13058" max="13058" width="15.81640625" customWidth="1"/>
    <col min="13059" max="13059" width="14.1796875" customWidth="1"/>
    <col min="13060" max="13060" width="14.54296875" customWidth="1"/>
    <col min="13061" max="13061" width="13.453125" customWidth="1"/>
    <col min="13062" max="13062" width="12.81640625" customWidth="1"/>
    <col min="13063" max="13066" width="11.453125" customWidth="1"/>
    <col min="13067" max="13068" width="14.7265625" bestFit="1" customWidth="1"/>
    <col min="13313" max="13313" width="40.26953125" customWidth="1"/>
    <col min="13314" max="13314" width="15.81640625" customWidth="1"/>
    <col min="13315" max="13315" width="14.1796875" customWidth="1"/>
    <col min="13316" max="13316" width="14.54296875" customWidth="1"/>
    <col min="13317" max="13317" width="13.453125" customWidth="1"/>
    <col min="13318" max="13318" width="12.81640625" customWidth="1"/>
    <col min="13319" max="13322" width="11.453125" customWidth="1"/>
    <col min="13323" max="13324" width="14.7265625" bestFit="1" customWidth="1"/>
    <col min="13569" max="13569" width="40.26953125" customWidth="1"/>
    <col min="13570" max="13570" width="15.81640625" customWidth="1"/>
    <col min="13571" max="13571" width="14.1796875" customWidth="1"/>
    <col min="13572" max="13572" width="14.54296875" customWidth="1"/>
    <col min="13573" max="13573" width="13.453125" customWidth="1"/>
    <col min="13574" max="13574" width="12.81640625" customWidth="1"/>
    <col min="13575" max="13578" width="11.453125" customWidth="1"/>
    <col min="13579" max="13580" width="14.7265625" bestFit="1" customWidth="1"/>
    <col min="13825" max="13825" width="40.26953125" customWidth="1"/>
    <col min="13826" max="13826" width="15.81640625" customWidth="1"/>
    <col min="13827" max="13827" width="14.1796875" customWidth="1"/>
    <col min="13828" max="13828" width="14.54296875" customWidth="1"/>
    <col min="13829" max="13829" width="13.453125" customWidth="1"/>
    <col min="13830" max="13830" width="12.81640625" customWidth="1"/>
    <col min="13831" max="13834" width="11.453125" customWidth="1"/>
    <col min="13835" max="13836" width="14.7265625" bestFit="1" customWidth="1"/>
    <col min="14081" max="14081" width="40.26953125" customWidth="1"/>
    <col min="14082" max="14082" width="15.81640625" customWidth="1"/>
    <col min="14083" max="14083" width="14.1796875" customWidth="1"/>
    <col min="14084" max="14084" width="14.54296875" customWidth="1"/>
    <col min="14085" max="14085" width="13.453125" customWidth="1"/>
    <col min="14086" max="14086" width="12.81640625" customWidth="1"/>
    <col min="14087" max="14090" width="11.453125" customWidth="1"/>
    <col min="14091" max="14092" width="14.7265625" bestFit="1" customWidth="1"/>
    <col min="14337" max="14337" width="40.26953125" customWidth="1"/>
    <col min="14338" max="14338" width="15.81640625" customWidth="1"/>
    <col min="14339" max="14339" width="14.1796875" customWidth="1"/>
    <col min="14340" max="14340" width="14.54296875" customWidth="1"/>
    <col min="14341" max="14341" width="13.453125" customWidth="1"/>
    <col min="14342" max="14342" width="12.81640625" customWidth="1"/>
    <col min="14343" max="14346" width="11.453125" customWidth="1"/>
    <col min="14347" max="14348" width="14.7265625" bestFit="1" customWidth="1"/>
    <col min="14593" max="14593" width="40.26953125" customWidth="1"/>
    <col min="14594" max="14594" width="15.81640625" customWidth="1"/>
    <col min="14595" max="14595" width="14.1796875" customWidth="1"/>
    <col min="14596" max="14596" width="14.54296875" customWidth="1"/>
    <col min="14597" max="14597" width="13.453125" customWidth="1"/>
    <col min="14598" max="14598" width="12.81640625" customWidth="1"/>
    <col min="14599" max="14602" width="11.453125" customWidth="1"/>
    <col min="14603" max="14604" width="14.7265625" bestFit="1" customWidth="1"/>
    <col min="14849" max="14849" width="40.26953125" customWidth="1"/>
    <col min="14850" max="14850" width="15.81640625" customWidth="1"/>
    <col min="14851" max="14851" width="14.1796875" customWidth="1"/>
    <col min="14852" max="14852" width="14.54296875" customWidth="1"/>
    <col min="14853" max="14853" width="13.453125" customWidth="1"/>
    <col min="14854" max="14854" width="12.81640625" customWidth="1"/>
    <col min="14855" max="14858" width="11.453125" customWidth="1"/>
    <col min="14859" max="14860" width="14.7265625" bestFit="1" customWidth="1"/>
    <col min="15105" max="15105" width="40.26953125" customWidth="1"/>
    <col min="15106" max="15106" width="15.81640625" customWidth="1"/>
    <col min="15107" max="15107" width="14.1796875" customWidth="1"/>
    <col min="15108" max="15108" width="14.54296875" customWidth="1"/>
    <col min="15109" max="15109" width="13.453125" customWidth="1"/>
    <col min="15110" max="15110" width="12.81640625" customWidth="1"/>
    <col min="15111" max="15114" width="11.453125" customWidth="1"/>
    <col min="15115" max="15116" width="14.7265625" bestFit="1" customWidth="1"/>
    <col min="15361" max="15361" width="40.26953125" customWidth="1"/>
    <col min="15362" max="15362" width="15.81640625" customWidth="1"/>
    <col min="15363" max="15363" width="14.1796875" customWidth="1"/>
    <col min="15364" max="15364" width="14.54296875" customWidth="1"/>
    <col min="15365" max="15365" width="13.453125" customWidth="1"/>
    <col min="15366" max="15366" width="12.81640625" customWidth="1"/>
    <col min="15367" max="15370" width="11.453125" customWidth="1"/>
    <col min="15371" max="15372" width="14.7265625" bestFit="1" customWidth="1"/>
    <col min="15617" max="15617" width="40.26953125" customWidth="1"/>
    <col min="15618" max="15618" width="15.81640625" customWidth="1"/>
    <col min="15619" max="15619" width="14.1796875" customWidth="1"/>
    <col min="15620" max="15620" width="14.54296875" customWidth="1"/>
    <col min="15621" max="15621" width="13.453125" customWidth="1"/>
    <col min="15622" max="15622" width="12.81640625" customWidth="1"/>
    <col min="15623" max="15626" width="11.453125" customWidth="1"/>
    <col min="15627" max="15628" width="14.7265625" bestFit="1" customWidth="1"/>
    <col min="15873" max="15873" width="40.26953125" customWidth="1"/>
    <col min="15874" max="15874" width="15.81640625" customWidth="1"/>
    <col min="15875" max="15875" width="14.1796875" customWidth="1"/>
    <col min="15876" max="15876" width="14.54296875" customWidth="1"/>
    <col min="15877" max="15877" width="13.453125" customWidth="1"/>
    <col min="15878" max="15878" width="12.81640625" customWidth="1"/>
    <col min="15879" max="15882" width="11.453125" customWidth="1"/>
    <col min="15883" max="15884" width="14.7265625" bestFit="1" customWidth="1"/>
    <col min="16129" max="16129" width="40.26953125" customWidth="1"/>
    <col min="16130" max="16130" width="15.81640625" customWidth="1"/>
    <col min="16131" max="16131" width="14.1796875" customWidth="1"/>
    <col min="16132" max="16132" width="14.54296875" customWidth="1"/>
    <col min="16133" max="16133" width="13.453125" customWidth="1"/>
    <col min="16134" max="16134" width="12.81640625" customWidth="1"/>
    <col min="16135" max="16138" width="11.453125" customWidth="1"/>
    <col min="16139" max="16140" width="14.7265625" bestFit="1" customWidth="1"/>
  </cols>
  <sheetData>
    <row r="1" spans="1:12" ht="17">
      <c r="A1" s="130" t="str">
        <f>HLOOKUP(INDICE!$F$2,Nombres!$C$3:$D$636,88,FALSE)</f>
        <v>Activos ponderados por riesgo. Desglose por áreas de negocio y principales países</v>
      </c>
      <c r="B1" s="201"/>
      <c r="C1" s="201"/>
      <c r="D1" s="202"/>
      <c r="E1" s="202"/>
      <c r="F1" s="202"/>
      <c r="G1" s="202"/>
      <c r="H1" s="202"/>
      <c r="I1" s="202"/>
    </row>
    <row r="2" spans="1:12">
      <c r="A2" s="9" t="str">
        <f>HLOOKUP(INDICE!$F$2,Nombres!$C$3:$D$636,32,FALSE)</f>
        <v>(Millones de euros)</v>
      </c>
      <c r="B2" s="83"/>
      <c r="C2" s="83"/>
      <c r="D2" s="251"/>
      <c r="E2" s="251"/>
      <c r="F2" s="251"/>
      <c r="G2" s="251"/>
      <c r="H2" s="251"/>
      <c r="I2" s="251"/>
    </row>
    <row r="3" spans="1:12" ht="15">
      <c r="A3" s="252"/>
      <c r="B3" s="83"/>
      <c r="C3" s="83"/>
      <c r="D3" s="209"/>
      <c r="E3" s="209"/>
      <c r="F3" s="209"/>
      <c r="G3" s="209"/>
      <c r="H3" s="209"/>
      <c r="I3" s="209"/>
    </row>
    <row r="4" spans="1:12" ht="15.75" customHeight="1">
      <c r="A4" s="253"/>
      <c r="B4" s="305" t="str">
        <f>HLOOKUP(INDICE!$F$2,Nombres!$C$3:$D$636,222,FALSE)</f>
        <v>CRD IV fully loaded</v>
      </c>
      <c r="C4" s="305"/>
      <c r="D4" s="305"/>
      <c r="E4" s="305"/>
      <c r="F4" s="305"/>
      <c r="G4" s="305"/>
      <c r="H4" s="305"/>
      <c r="I4" s="305"/>
    </row>
    <row r="5" spans="1:12">
      <c r="A5" s="253"/>
      <c r="B5" s="254">
        <f>+España!B32</f>
        <v>45016</v>
      </c>
      <c r="C5" s="254">
        <f>+España!C32</f>
        <v>45107</v>
      </c>
      <c r="D5" s="254">
        <f>+España!D32</f>
        <v>45199</v>
      </c>
      <c r="E5" s="254">
        <f>+España!E32</f>
        <v>45291</v>
      </c>
      <c r="F5" s="254">
        <f>+España!F32</f>
        <v>45382</v>
      </c>
      <c r="G5" s="254">
        <f>+España!G32</f>
        <v>45473</v>
      </c>
      <c r="H5" s="254">
        <f>+España!H32</f>
        <v>45565</v>
      </c>
      <c r="I5" s="254">
        <f>+España!I32</f>
        <v>45657</v>
      </c>
      <c r="K5" s="255"/>
    </row>
    <row r="6" spans="1:12">
      <c r="A6" s="18" t="str">
        <f>HLOOKUP(INDICE!$F$2,Nombres!$C$3:$D$636,3,FALSE)</f>
        <v>Grupo BBVA</v>
      </c>
      <c r="B6" s="256">
        <v>348598.41099999996</v>
      </c>
      <c r="C6" s="256">
        <v>347442.06238882308</v>
      </c>
      <c r="D6" s="256">
        <v>357972.19100000104</v>
      </c>
      <c r="E6" s="256">
        <v>363915.41800000001</v>
      </c>
      <c r="F6" s="256">
        <v>380043.522</v>
      </c>
      <c r="G6" s="256">
        <v>0</v>
      </c>
      <c r="H6" s="256">
        <v>0</v>
      </c>
      <c r="I6" s="256">
        <v>0</v>
      </c>
      <c r="K6" s="257"/>
      <c r="L6" s="258"/>
    </row>
    <row r="7" spans="1:12">
      <c r="A7" s="7" t="str">
        <f>HLOOKUP(INDICE!$F$2,Nombres!$C$3:$D$636,7,FALSE)</f>
        <v>España</v>
      </c>
      <c r="B7" s="75">
        <v>116542.25024192</v>
      </c>
      <c r="C7" s="75">
        <v>116758.77788439</v>
      </c>
      <c r="D7" s="75">
        <v>117108.62832346</v>
      </c>
      <c r="E7" s="75">
        <v>121779.31201263001</v>
      </c>
      <c r="F7" s="75">
        <v>122056.34077285</v>
      </c>
      <c r="G7" s="75">
        <v>0</v>
      </c>
      <c r="H7" s="75">
        <v>0</v>
      </c>
      <c r="I7" s="75">
        <v>0</v>
      </c>
      <c r="K7" s="257"/>
      <c r="L7" s="258"/>
    </row>
    <row r="8" spans="1:12">
      <c r="A8" s="7" t="str">
        <f>HLOOKUP(INDICE!$F$2,Nombres!$C$3:$D$636,11,FALSE)</f>
        <v>México</v>
      </c>
      <c r="B8" s="75">
        <v>78316.133999990008</v>
      </c>
      <c r="C8" s="75">
        <v>85110.882000000012</v>
      </c>
      <c r="D8" s="75">
        <v>88289.85500000001</v>
      </c>
      <c r="E8" s="75">
        <v>91865.017984370003</v>
      </c>
      <c r="F8" s="75">
        <v>97516.876000029995</v>
      </c>
      <c r="G8" s="75">
        <v>0</v>
      </c>
      <c r="H8" s="75">
        <v>0</v>
      </c>
      <c r="I8" s="75">
        <v>0</v>
      </c>
      <c r="K8" s="257"/>
      <c r="L8" s="258"/>
    </row>
    <row r="9" spans="1:12">
      <c r="A9" s="7" t="str">
        <f>HLOOKUP(INDICE!$F$2,Nombres!$C$3:$D$636,12,FALSE)</f>
        <v xml:space="preserve">Turquía </v>
      </c>
      <c r="B9" s="75">
        <v>58683.382999999994</v>
      </c>
      <c r="C9" s="75">
        <v>50671.912000000775</v>
      </c>
      <c r="D9" s="75">
        <v>53055.594000001038</v>
      </c>
      <c r="E9" s="75">
        <v>54506.38300704999</v>
      </c>
      <c r="F9" s="75">
        <v>58557.637000000002</v>
      </c>
      <c r="G9" s="75">
        <v>0</v>
      </c>
      <c r="H9" s="75">
        <v>0</v>
      </c>
      <c r="I9" s="75">
        <v>0</v>
      </c>
      <c r="K9" s="257"/>
      <c r="L9" s="258"/>
    </row>
    <row r="10" spans="1:12">
      <c r="A10" s="7" t="str">
        <f>HLOOKUP(INDICE!$F$2,Nombres!$C$3:$D$636,13,FALSE)</f>
        <v xml:space="preserve">América del Sur </v>
      </c>
      <c r="B10" s="75">
        <f t="shared" ref="B10:I10" si="0">+B11+B12+B13+B14+B15</f>
        <v>47340.589</v>
      </c>
      <c r="C10" s="75">
        <f t="shared" si="0"/>
        <v>50143.681999999993</v>
      </c>
      <c r="D10" s="75">
        <f t="shared" si="0"/>
        <v>50254.836000000003</v>
      </c>
      <c r="E10" s="75">
        <f t="shared" si="0"/>
        <v>49117.312070450003</v>
      </c>
      <c r="F10" s="75">
        <f t="shared" si="0"/>
        <v>52360.495205020008</v>
      </c>
      <c r="G10" s="75">
        <f t="shared" si="0"/>
        <v>0</v>
      </c>
      <c r="H10" s="75">
        <f t="shared" si="0"/>
        <v>0</v>
      </c>
      <c r="I10" s="75">
        <f t="shared" si="0"/>
        <v>0</v>
      </c>
      <c r="K10" s="257"/>
      <c r="L10" s="258"/>
    </row>
    <row r="11" spans="1:12">
      <c r="A11" s="259" t="str">
        <f>HLOOKUP(INDICE!$F$2,Nombres!$C$3:$D$636,14,FALSE)</f>
        <v>Argentina</v>
      </c>
      <c r="B11" s="75">
        <v>7910.1909999999998</v>
      </c>
      <c r="C11" s="75">
        <v>7309.1189999999997</v>
      </c>
      <c r="D11" s="75">
        <v>6677.9259999999995</v>
      </c>
      <c r="E11" s="75">
        <v>4997.0180018499996</v>
      </c>
      <c r="F11" s="75">
        <v>6292.2280000000001</v>
      </c>
      <c r="G11" s="75">
        <v>0</v>
      </c>
      <c r="H11" s="75">
        <v>0</v>
      </c>
      <c r="I11" s="75">
        <v>0</v>
      </c>
      <c r="K11" s="257"/>
      <c r="L11" s="258"/>
    </row>
    <row r="12" spans="1:12">
      <c r="A12" s="259" t="str">
        <f>HLOOKUP(INDICE!$F$2,Nombres!$C$3:$D$636,15,FALSE)</f>
        <v>Chile</v>
      </c>
      <c r="B12" s="75">
        <v>2367.0340000000001</v>
      </c>
      <c r="C12" s="75">
        <v>2315.5300000000002</v>
      </c>
      <c r="D12" s="75">
        <v>2175.7590000000005</v>
      </c>
      <c r="E12" s="75">
        <v>2144.7420009500001</v>
      </c>
      <c r="F12" s="75">
        <v>1928.819</v>
      </c>
      <c r="G12" s="75">
        <v>0</v>
      </c>
      <c r="H12" s="75">
        <v>0</v>
      </c>
      <c r="I12" s="75">
        <v>0</v>
      </c>
      <c r="K12" s="257"/>
      <c r="L12" s="258"/>
    </row>
    <row r="13" spans="1:12">
      <c r="A13" s="259" t="str">
        <f>HLOOKUP(INDICE!$F$2,Nombres!$C$3:$D$636,16,FALSE)</f>
        <v>Colombia</v>
      </c>
      <c r="B13" s="75">
        <v>15449.793999999998</v>
      </c>
      <c r="C13" s="75">
        <v>17786.606</v>
      </c>
      <c r="D13" s="75">
        <v>18616.096000000001</v>
      </c>
      <c r="E13" s="75">
        <v>19467.210016239998</v>
      </c>
      <c r="F13" s="75">
        <v>19791.999000000003</v>
      </c>
      <c r="G13" s="75">
        <v>0</v>
      </c>
      <c r="H13" s="75">
        <v>0</v>
      </c>
      <c r="I13" s="75">
        <v>0</v>
      </c>
      <c r="K13" s="257"/>
      <c r="L13" s="258"/>
    </row>
    <row r="14" spans="1:12">
      <c r="A14" s="259" t="str">
        <f>HLOOKUP(INDICE!$F$2,Nombres!$C$3:$D$636,17,FALSE)</f>
        <v>Perú</v>
      </c>
      <c r="B14" s="75">
        <v>18460.499</v>
      </c>
      <c r="C14" s="75">
        <v>19395.635999999999</v>
      </c>
      <c r="D14" s="75">
        <v>19435.723999999998</v>
      </c>
      <c r="E14" s="75">
        <v>18825.085185350006</v>
      </c>
      <c r="F14" s="75">
        <v>20482.62033894</v>
      </c>
      <c r="G14" s="75">
        <v>0</v>
      </c>
      <c r="H14" s="75">
        <v>0</v>
      </c>
      <c r="I14" s="75">
        <v>0</v>
      </c>
      <c r="K14" s="257"/>
      <c r="L14" s="258"/>
    </row>
    <row r="15" spans="1:12">
      <c r="A15" s="259" t="str">
        <f>HLOOKUP(INDICE!$F$2,Nombres!$C$3:$D$636,89,FALSE)</f>
        <v>Resto de América del Sur</v>
      </c>
      <c r="B15" s="75">
        <v>3153.0710000000004</v>
      </c>
      <c r="C15" s="75">
        <v>3336.7910000000006</v>
      </c>
      <c r="D15" s="75">
        <v>3349.3310000000001</v>
      </c>
      <c r="E15" s="75">
        <v>3683.25686606</v>
      </c>
      <c r="F15" s="75">
        <v>3864.8288660799999</v>
      </c>
      <c r="G15" s="75">
        <v>0</v>
      </c>
      <c r="H15" s="75">
        <v>0</v>
      </c>
      <c r="I15" s="75">
        <v>0</v>
      </c>
      <c r="K15" s="257"/>
      <c r="L15" s="258"/>
    </row>
    <row r="16" spans="1:12">
      <c r="A16" s="260" t="str">
        <f>HLOOKUP(INDICE!$F$2,Nombres!$C$3:$D$636,263,FALSE)</f>
        <v>Resto de Negocios</v>
      </c>
      <c r="B16" s="75">
        <v>33724.758736750002</v>
      </c>
      <c r="C16" s="75">
        <v>32727.728040280002</v>
      </c>
      <c r="D16" s="75">
        <v>35086.674972400004</v>
      </c>
      <c r="E16" s="75">
        <v>36410.273674319993</v>
      </c>
      <c r="F16" s="75">
        <v>37536.058495730002</v>
      </c>
      <c r="G16" s="75">
        <v>0</v>
      </c>
      <c r="H16" s="75">
        <v>0</v>
      </c>
      <c r="I16" s="75">
        <v>0</v>
      </c>
      <c r="K16" s="257"/>
      <c r="L16" s="258"/>
    </row>
    <row r="17" spans="1:12">
      <c r="A17" s="7" t="str">
        <f>HLOOKUP(INDICE!$F$2,Nombres!$C$3:$D$636,272,FALSE)</f>
        <v>Centro Corporativo (1)</v>
      </c>
      <c r="B17" s="75">
        <f>+B6-B7-B8-B9-B11-B12-B13-B14-B15-B16</f>
        <v>13991.296021339949</v>
      </c>
      <c r="C17" s="75">
        <f>+C6-C7-C8-C9-C11-C12-C13-C14-C15-C16</f>
        <v>12029.080464152292</v>
      </c>
      <c r="D17" s="75">
        <f t="shared" ref="D17:I17" si="1">+D6-D7-D8-D9-D11-D12-D13-D14-D15-D16</f>
        <v>14176.602704139979</v>
      </c>
      <c r="E17" s="75">
        <f>+E6-E7-E8-E9-E11-E12-E13-E14-E15-E16</f>
        <v>10237.119251180011</v>
      </c>
      <c r="F17" s="75">
        <f t="shared" si="1"/>
        <v>12016.114526369973</v>
      </c>
      <c r="G17" s="75">
        <f t="shared" si="1"/>
        <v>0</v>
      </c>
      <c r="H17" s="75">
        <f t="shared" si="1"/>
        <v>0</v>
      </c>
      <c r="I17" s="75">
        <f t="shared" si="1"/>
        <v>0</v>
      </c>
      <c r="K17" s="257"/>
      <c r="L17" s="258"/>
    </row>
    <row r="18" spans="1:12">
      <c r="A18" s="7"/>
      <c r="B18" s="75"/>
      <c r="C18" s="75"/>
      <c r="D18" s="75"/>
      <c r="E18" s="75"/>
      <c r="F18" s="75"/>
      <c r="G18" s="75"/>
      <c r="H18" s="75"/>
      <c r="I18" s="75"/>
      <c r="K18" s="257"/>
      <c r="L18" s="258"/>
    </row>
    <row r="19" spans="1:12">
      <c r="A19" s="7"/>
      <c r="B19" s="75"/>
      <c r="C19" s="75"/>
      <c r="D19" s="75"/>
      <c r="E19" s="75"/>
      <c r="F19" s="75"/>
      <c r="G19" s="75"/>
      <c r="H19" s="75"/>
      <c r="I19" s="75"/>
      <c r="K19" s="257"/>
      <c r="L19" s="258"/>
    </row>
    <row r="20" spans="1:12">
      <c r="A20" s="7"/>
      <c r="C20" s="75"/>
      <c r="D20" s="75"/>
      <c r="E20" s="75"/>
      <c r="F20" s="75"/>
      <c r="G20" s="75"/>
      <c r="H20" s="75"/>
      <c r="I20" s="75"/>
      <c r="K20" s="257"/>
      <c r="L20" s="258"/>
    </row>
    <row r="21" spans="1:12">
      <c r="A21" s="7" t="str">
        <f>HLOOKUP(INDICE!$F$2,Nombres!$C$3:$D$636,320,FALSE)</f>
        <v>(*)El dato del trimestre en curso es provisional</v>
      </c>
      <c r="K21" s="257"/>
      <c r="L21" s="258"/>
    </row>
    <row r="22" spans="1:12">
      <c r="A22" s="261"/>
      <c r="C22" s="75"/>
      <c r="D22" s="75"/>
      <c r="E22" s="75"/>
      <c r="F22" s="75"/>
      <c r="G22" s="75"/>
      <c r="H22" s="75"/>
      <c r="I22" s="87"/>
      <c r="K22" s="257"/>
      <c r="L22" s="258"/>
    </row>
    <row r="23" spans="1:12">
      <c r="A23" s="262"/>
      <c r="B23" s="263">
        <v>0</v>
      </c>
      <c r="C23" s="263">
        <v>0</v>
      </c>
      <c r="D23" s="263">
        <v>0</v>
      </c>
      <c r="E23" s="263">
        <v>0</v>
      </c>
      <c r="F23" s="263">
        <v>0</v>
      </c>
      <c r="G23" s="263">
        <v>0</v>
      </c>
      <c r="H23" s="263">
        <v>0</v>
      </c>
      <c r="I23" s="263">
        <v>0</v>
      </c>
      <c r="K23" s="257"/>
      <c r="L23" s="258"/>
    </row>
    <row r="24" spans="1:12">
      <c r="A24" s="7"/>
      <c r="B24" s="75"/>
      <c r="C24" s="75"/>
      <c r="D24" s="75"/>
      <c r="E24" s="75"/>
      <c r="F24" s="75"/>
      <c r="G24" s="75"/>
      <c r="H24" s="75"/>
      <c r="I24" s="75"/>
      <c r="K24" s="257"/>
      <c r="L24" s="258"/>
    </row>
    <row r="25" spans="1:12">
      <c r="A25" s="209"/>
      <c r="B25" s="209"/>
      <c r="C25" s="209"/>
      <c r="D25" s="209"/>
      <c r="E25" s="209"/>
      <c r="F25" s="209"/>
    </row>
    <row r="26" spans="1:12">
      <c r="A26" s="264"/>
      <c r="B26" s="265"/>
      <c r="C26" s="265"/>
      <c r="D26" s="265"/>
      <c r="E26" s="265"/>
      <c r="F26" s="265"/>
    </row>
    <row r="27" spans="1:12">
      <c r="B27" s="142"/>
      <c r="F27" s="63"/>
    </row>
    <row r="1005" spans="1:1">
      <c r="A1005" t="s">
        <v>550</v>
      </c>
    </row>
  </sheetData>
  <mergeCells count="1">
    <mergeCell ref="B4:I4"/>
  </mergeCells>
  <conditionalFormatting sqref="B23:I23">
    <cfRule type="cellIs" dxfId="18" priority="1" operator="not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996"/>
  <sheetViews>
    <sheetView showGridLines="0" zoomScale="85" zoomScaleNormal="85" workbookViewId="0">
      <pane xSplit="1" ySplit="5" topLeftCell="B6" activePane="bottomRight" state="frozen"/>
      <selection activeCell="A41" sqref="A41"/>
      <selection pane="topRight" activeCell="A41" sqref="A41"/>
      <selection pane="bottomLeft" activeCell="A41" sqref="A41"/>
      <selection pane="bottomRight" activeCell="A41" sqref="A41"/>
    </sheetView>
  </sheetViews>
  <sheetFormatPr baseColWidth="10" defaultColWidth="11.453125" defaultRowHeight="14.5"/>
  <cols>
    <col min="1" max="1" width="42.453125" style="268" customWidth="1"/>
    <col min="2" max="2" width="13.54296875" style="268" bestFit="1" customWidth="1"/>
    <col min="3" max="4" width="11.453125" style="268"/>
    <col min="5" max="5" width="11.7265625" style="268" bestFit="1" customWidth="1"/>
    <col min="6" max="6" width="11.453125" style="268"/>
    <col min="7" max="9" width="11.453125" style="268" hidden="1" customWidth="1"/>
    <col min="10" max="10" width="4.7265625" style="267" customWidth="1"/>
    <col min="11" max="11" width="11.453125" style="268"/>
    <col min="12" max="12" width="11.7265625" style="268" bestFit="1" customWidth="1"/>
    <col min="13" max="13" width="15" style="268" bestFit="1" customWidth="1"/>
    <col min="14" max="16384" width="11.453125" style="268"/>
  </cols>
  <sheetData>
    <row r="1" spans="1:14" ht="17">
      <c r="A1" s="16" t="str">
        <f>HLOOKUP(INDICE!$F$2,Nombres!$C$3:$D$636,113,FALSE)</f>
        <v>Desglose del crédito no dudoso en gestión</v>
      </c>
      <c r="B1" s="266"/>
      <c r="C1" s="266"/>
      <c r="D1" s="266"/>
      <c r="E1" s="266"/>
      <c r="F1" s="266"/>
      <c r="G1" s="266"/>
      <c r="H1" s="266"/>
      <c r="I1" s="266"/>
      <c r="L1" s="14"/>
    </row>
    <row r="2" spans="1:14">
      <c r="A2" s="269" t="str">
        <f>HLOOKUP(INDICE!$F$2,Nombres!$C$3:$D$636,73,FALSE)</f>
        <v>(Millones de euros constantes)</v>
      </c>
      <c r="B2" s="14"/>
      <c r="C2" s="14"/>
      <c r="D2" s="14"/>
      <c r="E2" s="14"/>
      <c r="F2" s="14"/>
      <c r="L2" s="14"/>
    </row>
    <row r="3" spans="1:14">
      <c r="A3" s="270"/>
      <c r="B3" s="14"/>
      <c r="C3" s="14"/>
      <c r="D3" s="14"/>
      <c r="E3" s="14"/>
      <c r="F3" s="14"/>
      <c r="L3" s="14"/>
    </row>
    <row r="4" spans="1:14" ht="15.75" customHeight="1">
      <c r="A4" s="271"/>
      <c r="B4" s="306" t="str">
        <f>HLOOKUP(INDICE!$F$2,Nombres!$C$3:$D$636,7,FALSE)</f>
        <v>España</v>
      </c>
      <c r="C4" s="306"/>
      <c r="D4" s="306"/>
      <c r="E4" s="306"/>
      <c r="F4" s="306"/>
      <c r="G4" s="306"/>
      <c r="H4" s="306"/>
      <c r="I4" s="306"/>
    </row>
    <row r="5" spans="1:14">
      <c r="A5" s="272"/>
      <c r="B5" s="156">
        <f>+España!B32</f>
        <v>45016</v>
      </c>
      <c r="C5" s="156">
        <f>+España!C32</f>
        <v>45107</v>
      </c>
      <c r="D5" s="156">
        <f>+España!D32</f>
        <v>45199</v>
      </c>
      <c r="E5" s="156">
        <f>+España!E32</f>
        <v>45291</v>
      </c>
      <c r="F5" s="156">
        <f>+España!F32</f>
        <v>45382</v>
      </c>
      <c r="G5" s="156">
        <f>+España!G32</f>
        <v>45473</v>
      </c>
      <c r="H5" s="156">
        <f>+España!H32</f>
        <v>45565</v>
      </c>
      <c r="I5" s="156">
        <f>+España!I32</f>
        <v>45657</v>
      </c>
      <c r="L5" s="156"/>
    </row>
    <row r="6" spans="1:14">
      <c r="A6" s="12" t="str">
        <f>HLOOKUP(INDICE!$F$2,Nombres!$C$3:$D$636,209,FALSE)</f>
        <v>Hipotecario</v>
      </c>
      <c r="B6" s="273">
        <v>66583.025719000012</v>
      </c>
      <c r="C6" s="273">
        <v>65860.822160999989</v>
      </c>
      <c r="D6" s="273">
        <v>65917.977942000012</v>
      </c>
      <c r="E6" s="273">
        <v>65900.938422000007</v>
      </c>
      <c r="F6" s="273">
        <v>66005.99418899999</v>
      </c>
      <c r="G6" s="273">
        <v>0</v>
      </c>
      <c r="H6" s="273">
        <v>0</v>
      </c>
      <c r="I6" s="273">
        <v>0</v>
      </c>
      <c r="L6" s="273"/>
      <c r="N6" s="274"/>
    </row>
    <row r="7" spans="1:14">
      <c r="A7" s="12" t="str">
        <f>HLOOKUP(INDICE!$F$2,Nombres!$C$3:$D$636,210,FALSE)</f>
        <v>Consumo  y tarjetas de Credito</v>
      </c>
      <c r="B7" s="273">
        <v>16309.445873999999</v>
      </c>
      <c r="C7" s="273">
        <v>16688.788373000003</v>
      </c>
      <c r="D7" s="273">
        <v>17255.368564</v>
      </c>
      <c r="E7" s="273">
        <v>17524.836263999998</v>
      </c>
      <c r="F7" s="273">
        <v>17576.808177999999</v>
      </c>
      <c r="G7" s="273">
        <v>0</v>
      </c>
      <c r="H7" s="273">
        <v>0</v>
      </c>
      <c r="I7" s="273">
        <v>0</v>
      </c>
      <c r="J7" s="275"/>
      <c r="L7" s="273"/>
      <c r="N7" s="274"/>
    </row>
    <row r="8" spans="1:14">
      <c r="A8" s="12" t="str">
        <f>HLOOKUP(INDICE!$F$2,Nombres!$C$3:$D$636,211,FALSE)</f>
        <v>Negocios retail</v>
      </c>
      <c r="B8" s="273">
        <v>15500.645833</v>
      </c>
      <c r="C8" s="273">
        <v>15436.5911</v>
      </c>
      <c r="D8" s="273">
        <v>15313.887983999997</v>
      </c>
      <c r="E8" s="273">
        <v>15370.617087999997</v>
      </c>
      <c r="F8" s="273">
        <v>15150.944074999996</v>
      </c>
      <c r="G8" s="273">
        <v>0</v>
      </c>
      <c r="H8" s="273">
        <v>0</v>
      </c>
      <c r="I8" s="273">
        <v>0</v>
      </c>
      <c r="J8" s="275"/>
      <c r="L8" s="273"/>
      <c r="N8" s="274"/>
    </row>
    <row r="9" spans="1:14">
      <c r="A9" s="12" t="str">
        <f>HLOOKUP(INDICE!$F$2,Nombres!$C$3:$D$636,212,FALSE)</f>
        <v>Empresas medianas</v>
      </c>
      <c r="B9" s="273">
        <v>22426.860292999998</v>
      </c>
      <c r="C9" s="273">
        <v>22651.164390000002</v>
      </c>
      <c r="D9" s="273">
        <v>22777.749783000003</v>
      </c>
      <c r="E9" s="273">
        <v>23061.023765999998</v>
      </c>
      <c r="F9" s="273">
        <v>23049.610452000001</v>
      </c>
      <c r="G9" s="273">
        <v>0</v>
      </c>
      <c r="H9" s="273">
        <v>0</v>
      </c>
      <c r="I9" s="273">
        <v>0</v>
      </c>
      <c r="J9" s="275"/>
      <c r="L9" s="273"/>
      <c r="N9" s="274"/>
    </row>
    <row r="10" spans="1:14">
      <c r="A10" s="12" t="str">
        <f>HLOOKUP(INDICE!$F$2,Nombres!$C$3:$D$636,213,FALSE)</f>
        <v>Corporativa + CIB</v>
      </c>
      <c r="B10" s="273">
        <v>25697.928953999999</v>
      </c>
      <c r="C10" s="273">
        <v>24855.034369999998</v>
      </c>
      <c r="D10" s="273">
        <v>25489.115117000005</v>
      </c>
      <c r="E10" s="273">
        <v>24715.277042000002</v>
      </c>
      <c r="F10" s="273">
        <v>25928.291939000002</v>
      </c>
      <c r="G10" s="273">
        <v>0</v>
      </c>
      <c r="H10" s="273">
        <v>0</v>
      </c>
      <c r="I10" s="273">
        <v>0</v>
      </c>
      <c r="L10" s="273"/>
      <c r="N10" s="274"/>
    </row>
    <row r="11" spans="1:14">
      <c r="A11" s="12" t="str">
        <f>HLOOKUP(INDICE!$F$2,Nombres!$C$3:$D$636,214,FALSE)</f>
        <v>Sector público</v>
      </c>
      <c r="B11" s="273">
        <v>13522.570962</v>
      </c>
      <c r="C11" s="273">
        <v>16045.844252000001</v>
      </c>
      <c r="D11" s="273">
        <v>13905.318313</v>
      </c>
      <c r="E11" s="273">
        <v>14084.745124000001</v>
      </c>
      <c r="F11" s="273">
        <v>14105.528220999999</v>
      </c>
      <c r="G11" s="273">
        <v>0</v>
      </c>
      <c r="H11" s="273">
        <v>0</v>
      </c>
      <c r="I11" s="273">
        <v>0</v>
      </c>
      <c r="L11" s="273"/>
      <c r="N11" s="274"/>
    </row>
    <row r="12" spans="1:14">
      <c r="A12" s="12" t="str">
        <f>HLOOKUP(INDICE!$F$2,Nombres!$C$3:$D$636,215,FALSE)</f>
        <v>Otros</v>
      </c>
      <c r="B12" s="273">
        <v>9174.0216330000039</v>
      </c>
      <c r="C12" s="273">
        <v>9176.399651000007</v>
      </c>
      <c r="D12" s="273">
        <v>9622.0847580000227</v>
      </c>
      <c r="E12" s="273">
        <v>9055.0107089999983</v>
      </c>
      <c r="F12" s="273">
        <v>8793.4154070000059</v>
      </c>
      <c r="G12" s="273">
        <v>0</v>
      </c>
      <c r="H12" s="273">
        <v>0</v>
      </c>
      <c r="I12" s="273">
        <v>0</v>
      </c>
      <c r="L12" s="273"/>
      <c r="N12" s="274"/>
    </row>
    <row r="13" spans="1:14">
      <c r="A13" s="13" t="str">
        <f>HLOOKUP(INDICE!$F$2,Nombres!$C$3:$D$636,112,FALSE)</f>
        <v>Crédito no dudoso en gestión (*)</v>
      </c>
      <c r="B13" s="276">
        <v>169214.49926800001</v>
      </c>
      <c r="C13" s="276">
        <v>170714.64429700002</v>
      </c>
      <c r="D13" s="276">
        <v>170281.50246100003</v>
      </c>
      <c r="E13" s="276">
        <v>169712.44841499999</v>
      </c>
      <c r="F13" s="276">
        <v>170610.59246099996</v>
      </c>
      <c r="G13" s="276">
        <v>0</v>
      </c>
      <c r="H13" s="276">
        <v>0</v>
      </c>
      <c r="I13" s="276">
        <v>0</v>
      </c>
      <c r="L13" s="13"/>
      <c r="M13" s="274"/>
      <c r="N13" s="274"/>
    </row>
    <row r="14" spans="1:14">
      <c r="A14" s="14"/>
      <c r="B14" s="277">
        <f t="shared" ref="B14" si="0">+SUM(B6:B12)-B13</f>
        <v>0</v>
      </c>
      <c r="C14" s="277">
        <f t="shared" ref="C14" si="1">+SUM(C6:C12)-C13</f>
        <v>0</v>
      </c>
      <c r="D14" s="277">
        <f t="shared" ref="D14:I14" si="2">+SUM(D6:D12)-D13</f>
        <v>0</v>
      </c>
      <c r="E14" s="277">
        <f t="shared" si="2"/>
        <v>0</v>
      </c>
      <c r="F14" s="277">
        <f t="shared" si="2"/>
        <v>0</v>
      </c>
      <c r="G14" s="277">
        <f t="shared" si="2"/>
        <v>0</v>
      </c>
      <c r="H14" s="277">
        <f t="shared" si="2"/>
        <v>0</v>
      </c>
      <c r="I14" s="277">
        <f t="shared" si="2"/>
        <v>0</v>
      </c>
      <c r="L14" s="278"/>
      <c r="M14" s="274"/>
      <c r="N14" s="274"/>
    </row>
    <row r="15" spans="1:14">
      <c r="A15" s="279"/>
      <c r="B15" s="273"/>
      <c r="C15" s="273"/>
      <c r="D15" s="273"/>
      <c r="E15" s="273"/>
      <c r="F15" s="273"/>
      <c r="G15" s="273"/>
      <c r="H15" s="273"/>
      <c r="I15" s="273"/>
      <c r="L15" s="273"/>
      <c r="N15" s="274"/>
    </row>
    <row r="16" spans="1:14">
      <c r="A16" s="14"/>
      <c r="B16" s="280"/>
      <c r="C16" s="280"/>
      <c r="D16" s="280"/>
      <c r="E16" s="280"/>
      <c r="F16" s="280"/>
      <c r="L16" s="280"/>
    </row>
    <row r="17" spans="1:14">
      <c r="A17" s="271"/>
      <c r="B17" s="306" t="str">
        <f>HLOOKUP(INDICE!$F$2,Nombres!$C$3:$D$636,204,FALSE)</f>
        <v>Mexico (***)</v>
      </c>
      <c r="C17" s="306"/>
      <c r="D17" s="306"/>
      <c r="E17" s="306"/>
      <c r="F17" s="306"/>
      <c r="G17" s="306"/>
      <c r="H17" s="306"/>
      <c r="I17" s="306"/>
      <c r="L17" s="281"/>
    </row>
    <row r="18" spans="1:14">
      <c r="A18" s="272"/>
      <c r="B18" s="156">
        <f>+B$5</f>
        <v>45016</v>
      </c>
      <c r="C18" s="156">
        <f t="shared" ref="C18:I18" si="3">+C$5</f>
        <v>45107</v>
      </c>
      <c r="D18" s="156">
        <f t="shared" si="3"/>
        <v>45199</v>
      </c>
      <c r="E18" s="156">
        <f t="shared" si="3"/>
        <v>45291</v>
      </c>
      <c r="F18" s="156">
        <f t="shared" si="3"/>
        <v>45382</v>
      </c>
      <c r="G18" s="156">
        <f t="shared" si="3"/>
        <v>45473</v>
      </c>
      <c r="H18" s="156">
        <f t="shared" si="3"/>
        <v>45565</v>
      </c>
      <c r="I18" s="156">
        <f t="shared" si="3"/>
        <v>45657</v>
      </c>
      <c r="L18" s="84"/>
    </row>
    <row r="19" spans="1:14">
      <c r="A19" s="12" t="str">
        <f>HLOOKUP(INDICE!$F$2,Nombres!$C$3:$D$636,105,FALSE)</f>
        <v>Hipotecario</v>
      </c>
      <c r="B19" s="273">
        <v>17273.325414574123</v>
      </c>
      <c r="C19" s="273">
        <v>17617.757592863407</v>
      </c>
      <c r="D19" s="273">
        <v>17927.699158013635</v>
      </c>
      <c r="E19" s="273">
        <v>18389.337985773651</v>
      </c>
      <c r="F19" s="273">
        <v>18767.58264259018</v>
      </c>
      <c r="G19" s="273">
        <v>0</v>
      </c>
      <c r="H19" s="273">
        <v>0</v>
      </c>
      <c r="I19" s="273">
        <v>0</v>
      </c>
      <c r="L19" s="273"/>
      <c r="N19" s="274"/>
    </row>
    <row r="20" spans="1:14">
      <c r="A20" s="12" t="str">
        <f>HLOOKUP(INDICE!$F$2,Nombres!$C$3:$D$636,106,FALSE)</f>
        <v>Consumo</v>
      </c>
      <c r="B20" s="273">
        <v>12575.735090981234</v>
      </c>
      <c r="C20" s="273">
        <v>13133.816169593787</v>
      </c>
      <c r="D20" s="273">
        <v>13678.501973230244</v>
      </c>
      <c r="E20" s="273">
        <v>13948.830367615672</v>
      </c>
      <c r="F20" s="273">
        <v>14542.266071913384</v>
      </c>
      <c r="G20" s="273">
        <v>0</v>
      </c>
      <c r="H20" s="273">
        <v>0</v>
      </c>
      <c r="I20" s="273">
        <v>0</v>
      </c>
      <c r="L20" s="273"/>
      <c r="N20" s="274"/>
    </row>
    <row r="21" spans="1:14">
      <c r="A21" s="12" t="str">
        <f>HLOOKUP(INDICE!$F$2,Nombres!$C$3:$D$636,107,FALSE)</f>
        <v>Tarjetas de Crédito</v>
      </c>
      <c r="B21" s="273">
        <v>8112.9544123202513</v>
      </c>
      <c r="C21" s="273">
        <v>8565.8703312803464</v>
      </c>
      <c r="D21" s="273">
        <v>9000.7947597962575</v>
      </c>
      <c r="E21" s="273">
        <v>9671.3725794354377</v>
      </c>
      <c r="F21" s="273">
        <v>9653.7653468178069</v>
      </c>
      <c r="G21" s="273">
        <v>0</v>
      </c>
      <c r="H21" s="273">
        <v>0</v>
      </c>
      <c r="I21" s="273">
        <v>0</v>
      </c>
      <c r="L21" s="273"/>
      <c r="N21" s="274"/>
    </row>
    <row r="22" spans="1:14">
      <c r="A22" s="12" t="str">
        <f>HLOOKUP(INDICE!$F$2,Nombres!$C$3:$D$636,110,FALSE)</f>
        <v>Pymes</v>
      </c>
      <c r="B22" s="273">
        <v>5567.7439571188561</v>
      </c>
      <c r="C22" s="273">
        <v>5883.9018175305891</v>
      </c>
      <c r="D22" s="273">
        <v>6190.4281406730215</v>
      </c>
      <c r="E22" s="273">
        <v>6316.333714111679</v>
      </c>
      <c r="F22" s="273">
        <v>6529.7452037015273</v>
      </c>
      <c r="G22" s="273">
        <v>0</v>
      </c>
      <c r="H22" s="273">
        <v>0</v>
      </c>
      <c r="I22" s="273">
        <v>0</v>
      </c>
      <c r="L22" s="273"/>
      <c r="N22" s="274"/>
    </row>
    <row r="23" spans="1:14">
      <c r="A23" s="12" t="str">
        <f>HLOOKUP(INDICE!$F$2,Nombres!$C$3:$D$636,216,FALSE)</f>
        <v>Resto Minorista</v>
      </c>
      <c r="B23" s="273">
        <v>99.615803241392911</v>
      </c>
      <c r="C23" s="273">
        <v>99.589655734697971</v>
      </c>
      <c r="D23" s="273">
        <v>99.903275465817487</v>
      </c>
      <c r="E23" s="273">
        <v>116.68055643475971</v>
      </c>
      <c r="F23" s="273">
        <v>118.65775856204502</v>
      </c>
      <c r="G23" s="273">
        <v>0</v>
      </c>
      <c r="H23" s="273">
        <v>0</v>
      </c>
      <c r="I23" s="273">
        <v>0</v>
      </c>
      <c r="L23" s="273"/>
      <c r="N23" s="274"/>
    </row>
    <row r="24" spans="1:14">
      <c r="A24" s="12" t="str">
        <f>HLOOKUP(INDICE!$F$2,Nombres!$C$3:$D$636,217,FALSE)</f>
        <v>Resto Empresas</v>
      </c>
      <c r="B24" s="273">
        <v>34647.910875004636</v>
      </c>
      <c r="C24" s="273">
        <v>34959.486266314008</v>
      </c>
      <c r="D24" s="273">
        <v>35473.082540814961</v>
      </c>
      <c r="E24" s="273">
        <v>35939.633332611797</v>
      </c>
      <c r="F24" s="273">
        <v>35330.260051258534</v>
      </c>
      <c r="G24" s="273">
        <v>0</v>
      </c>
      <c r="H24" s="273">
        <v>0</v>
      </c>
      <c r="I24" s="273">
        <v>0</v>
      </c>
      <c r="L24" s="273"/>
      <c r="N24" s="274"/>
    </row>
    <row r="25" spans="1:14">
      <c r="A25" s="12" t="str">
        <f>HLOOKUP(INDICE!$F$2,Nombres!$C$3:$D$636,108,FALSE)</f>
        <v>Sector público</v>
      </c>
      <c r="B25" s="273">
        <v>7178.402032007818</v>
      </c>
      <c r="C25" s="273">
        <v>7017.2141501841515</v>
      </c>
      <c r="D25" s="273">
        <v>7639.6641196110013</v>
      </c>
      <c r="E25" s="273">
        <v>8058.3671313811028</v>
      </c>
      <c r="F25" s="273">
        <v>8050.3635899164265</v>
      </c>
      <c r="G25" s="273">
        <v>0</v>
      </c>
      <c r="H25" s="273">
        <v>0</v>
      </c>
      <c r="I25" s="273">
        <v>0</v>
      </c>
      <c r="L25" s="273"/>
      <c r="N25" s="274"/>
    </row>
    <row r="26" spans="1:14">
      <c r="A26" s="13" t="str">
        <f>HLOOKUP(INDICE!$F$2,Nombres!$C$3:$D$636,112,FALSE)</f>
        <v>Crédito no dudoso en gestión (*)</v>
      </c>
      <c r="B26" s="276">
        <v>85455.687585248321</v>
      </c>
      <c r="C26" s="276">
        <v>87277.635983500993</v>
      </c>
      <c r="D26" s="276">
        <v>90010.073967604942</v>
      </c>
      <c r="E26" s="276">
        <v>92440.555667364097</v>
      </c>
      <c r="F26" s="276">
        <v>92992.640664759892</v>
      </c>
      <c r="G26" s="276">
        <v>0</v>
      </c>
      <c r="H26" s="276">
        <v>0</v>
      </c>
      <c r="I26" s="276">
        <v>0</v>
      </c>
      <c r="J26" s="282"/>
      <c r="L26" s="283"/>
      <c r="N26" s="274"/>
    </row>
    <row r="27" spans="1:14">
      <c r="A27" s="284" t="str">
        <f>HLOOKUP(INDICE!$F$2,Nombres!$C$3:$D$636,205,FALSE)</f>
        <v xml:space="preserve">Criterio Local Contable(***) </v>
      </c>
      <c r="B27" s="277">
        <f>+SUM(B19:B25)-B26</f>
        <v>0</v>
      </c>
      <c r="C27" s="277">
        <f t="shared" ref="C27:I27" si="4">+SUM(C19:C25)-C26</f>
        <v>0</v>
      </c>
      <c r="D27" s="277">
        <f t="shared" si="4"/>
        <v>0</v>
      </c>
      <c r="E27" s="277">
        <f t="shared" si="4"/>
        <v>0</v>
      </c>
      <c r="F27" s="277">
        <f t="shared" si="4"/>
        <v>0</v>
      </c>
      <c r="G27" s="277">
        <f t="shared" si="4"/>
        <v>0</v>
      </c>
      <c r="H27" s="277">
        <f t="shared" si="4"/>
        <v>0</v>
      </c>
      <c r="I27" s="277">
        <f t="shared" si="4"/>
        <v>0</v>
      </c>
      <c r="L27" s="285"/>
    </row>
    <row r="28" spans="1:14">
      <c r="A28" s="279"/>
      <c r="B28" s="273"/>
      <c r="C28" s="273"/>
      <c r="D28" s="273"/>
      <c r="E28" s="273"/>
      <c r="F28" s="273"/>
      <c r="G28" s="273"/>
      <c r="H28" s="273"/>
      <c r="I28" s="273"/>
      <c r="L28" s="273"/>
    </row>
    <row r="29" spans="1:14">
      <c r="B29" s="280"/>
      <c r="C29" s="280"/>
      <c r="D29" s="280"/>
      <c r="E29" s="280"/>
      <c r="F29" s="280"/>
      <c r="L29" s="280"/>
    </row>
    <row r="30" spans="1:14">
      <c r="A30" s="271"/>
      <c r="B30" s="306" t="str">
        <f>HLOOKUP(INDICE!$F$2,Nombres!$C$3:$D$636,12,FALSE)</f>
        <v xml:space="preserve">Turquía </v>
      </c>
      <c r="C30" s="306"/>
      <c r="D30" s="306"/>
      <c r="E30" s="306"/>
      <c r="F30" s="306"/>
      <c r="G30" s="306"/>
      <c r="H30" s="306"/>
      <c r="I30" s="306"/>
      <c r="L30" s="286"/>
      <c r="M30" s="286"/>
    </row>
    <row r="31" spans="1:14">
      <c r="A31" s="272"/>
      <c r="B31" s="156">
        <f>+B$5</f>
        <v>45016</v>
      </c>
      <c r="C31" s="156">
        <f t="shared" ref="C31:I31" si="5">+C$5</f>
        <v>45107</v>
      </c>
      <c r="D31" s="156">
        <f t="shared" si="5"/>
        <v>45199</v>
      </c>
      <c r="E31" s="156">
        <f t="shared" si="5"/>
        <v>45291</v>
      </c>
      <c r="F31" s="156">
        <f t="shared" si="5"/>
        <v>45382</v>
      </c>
      <c r="G31" s="156">
        <f t="shared" si="5"/>
        <v>45473</v>
      </c>
      <c r="H31" s="156">
        <f t="shared" si="5"/>
        <v>45565</v>
      </c>
      <c r="I31" s="156">
        <f t="shared" si="5"/>
        <v>45657</v>
      </c>
      <c r="L31" s="84"/>
      <c r="M31" s="286"/>
    </row>
    <row r="32" spans="1:14">
      <c r="A32" s="12" t="str">
        <f>HLOOKUP(INDICE!$F$2,Nombres!$C$3:$D$636,105,FALSE)</f>
        <v>Hipotecario</v>
      </c>
      <c r="B32" s="273">
        <v>739.23227639291372</v>
      </c>
      <c r="C32" s="273">
        <v>913.45075116711928</v>
      </c>
      <c r="D32" s="273">
        <v>982.85390431260907</v>
      </c>
      <c r="E32" s="273">
        <v>972.8079547088646</v>
      </c>
      <c r="F32" s="273">
        <v>1060.1791627999999</v>
      </c>
      <c r="G32" s="273">
        <v>0</v>
      </c>
      <c r="H32" s="273">
        <v>0</v>
      </c>
      <c r="I32" s="273">
        <v>0</v>
      </c>
      <c r="L32" s="273"/>
      <c r="M32" s="286"/>
      <c r="N32" s="274"/>
    </row>
    <row r="33" spans="1:14">
      <c r="A33" s="12" t="str">
        <f>HLOOKUP(INDICE!$F$2,Nombres!$C$3:$D$636,106,FALSE)</f>
        <v>Consumo</v>
      </c>
      <c r="B33" s="273">
        <v>3678.5830559569313</v>
      </c>
      <c r="C33" s="273">
        <v>3972.9273516016137</v>
      </c>
      <c r="D33" s="273">
        <v>4075.2698060359544</v>
      </c>
      <c r="E33" s="273">
        <v>4585.1584168439986</v>
      </c>
      <c r="F33" s="273">
        <v>4984.6453329099995</v>
      </c>
      <c r="G33" s="273">
        <v>0</v>
      </c>
      <c r="H33" s="273">
        <v>0</v>
      </c>
      <c r="I33" s="273">
        <v>0</v>
      </c>
      <c r="L33" s="273"/>
      <c r="M33" s="286"/>
      <c r="N33" s="274"/>
    </row>
    <row r="34" spans="1:14">
      <c r="A34" s="12" t="str">
        <f>HLOOKUP(INDICE!$F$2,Nombres!$C$3:$D$636,107,FALSE)</f>
        <v>Tarjetas de Crédito</v>
      </c>
      <c r="B34" s="273">
        <v>3572.6624906329762</v>
      </c>
      <c r="C34" s="273">
        <v>4662.9214734930538</v>
      </c>
      <c r="D34" s="273">
        <v>5534.6712941144733</v>
      </c>
      <c r="E34" s="273">
        <v>6291.3970137747492</v>
      </c>
      <c r="F34" s="273">
        <v>7496.0609999999997</v>
      </c>
      <c r="G34" s="273">
        <v>0</v>
      </c>
      <c r="H34" s="273">
        <v>0</v>
      </c>
      <c r="I34" s="273">
        <v>0</v>
      </c>
      <c r="L34" s="273"/>
      <c r="M34" s="286"/>
      <c r="N34" s="274"/>
    </row>
    <row r="35" spans="1:14">
      <c r="A35" s="12" t="str">
        <f>HLOOKUP(INDICE!$F$2,Nombres!$C$3:$D$636,108,FALSE)</f>
        <v>Sector público</v>
      </c>
      <c r="B35" s="273">
        <v>326.01708714560488</v>
      </c>
      <c r="C35" s="273">
        <v>844.91971439807162</v>
      </c>
      <c r="D35" s="273">
        <v>401.78791023782713</v>
      </c>
      <c r="E35" s="273">
        <v>457.21366049622509</v>
      </c>
      <c r="F35" s="273">
        <v>378.09</v>
      </c>
      <c r="G35" s="273">
        <v>0</v>
      </c>
      <c r="H35" s="273">
        <v>0</v>
      </c>
      <c r="I35" s="273">
        <v>0</v>
      </c>
      <c r="L35" s="273"/>
      <c r="M35" s="286"/>
      <c r="N35" s="274"/>
    </row>
    <row r="36" spans="1:14">
      <c r="A36" s="12" t="str">
        <f>HLOOKUP(INDICE!$F$2,Nombres!$C$3:$D$636,109,FALSE)</f>
        <v>Sociedades financieras y sociedades no financieras</v>
      </c>
      <c r="B36" s="273">
        <v>14177.662129966622</v>
      </c>
      <c r="C36" s="273">
        <v>17605.884524314646</v>
      </c>
      <c r="D36" s="273">
        <v>19179.802659217617</v>
      </c>
      <c r="E36" s="273">
        <v>21458.00315961325</v>
      </c>
      <c r="F36" s="273">
        <v>24208.131000000001</v>
      </c>
      <c r="G36" s="273">
        <v>0</v>
      </c>
      <c r="H36" s="273">
        <v>0</v>
      </c>
      <c r="I36" s="273">
        <v>0</v>
      </c>
      <c r="L36" s="12"/>
      <c r="M36" s="286"/>
      <c r="N36" s="274"/>
    </row>
    <row r="37" spans="1:14">
      <c r="A37" s="12" t="str">
        <f>HLOOKUP(INDICE!$F$2,Nombres!$C$3:$D$636,111,FALSE)</f>
        <v>Otros</v>
      </c>
      <c r="B37" s="273">
        <v>762.57441102881626</v>
      </c>
      <c r="C37" s="273">
        <v>850.0395340482969</v>
      </c>
      <c r="D37" s="273">
        <v>991.74075074804784</v>
      </c>
      <c r="E37" s="273">
        <v>1121.5479598675181</v>
      </c>
      <c r="F37" s="273">
        <v>1418.4935042900006</v>
      </c>
      <c r="G37" s="273">
        <v>0</v>
      </c>
      <c r="H37" s="273">
        <v>0</v>
      </c>
      <c r="I37" s="273">
        <v>0</v>
      </c>
      <c r="L37" s="12"/>
      <c r="M37" s="286"/>
      <c r="N37" s="274"/>
    </row>
    <row r="38" spans="1:14">
      <c r="A38" s="13" t="str">
        <f>HLOOKUP(INDICE!$F$2,Nombres!$C$3:$D$636,112,FALSE)</f>
        <v>Crédito no dudoso en gestión (*)</v>
      </c>
      <c r="B38" s="276">
        <v>23256.731451123862</v>
      </c>
      <c r="C38" s="276">
        <v>28850.143349022801</v>
      </c>
      <c r="D38" s="276">
        <v>31166.126324666526</v>
      </c>
      <c r="E38" s="276">
        <v>34886.12816530461</v>
      </c>
      <c r="F38" s="276">
        <v>39545.599999999999</v>
      </c>
      <c r="G38" s="276">
        <v>0</v>
      </c>
      <c r="H38" s="276">
        <v>0</v>
      </c>
      <c r="I38" s="276">
        <v>0</v>
      </c>
      <c r="L38" s="12"/>
      <c r="M38" s="286"/>
      <c r="N38" s="274"/>
    </row>
    <row r="39" spans="1:14">
      <c r="A39" s="13"/>
      <c r="B39" s="276"/>
      <c r="C39" s="276"/>
      <c r="D39" s="276"/>
      <c r="E39" s="276"/>
      <c r="F39" s="276"/>
      <c r="G39" s="276"/>
      <c r="H39" s="276"/>
      <c r="I39" s="276"/>
      <c r="L39" s="12"/>
      <c r="M39" s="286"/>
      <c r="N39" s="274"/>
    </row>
    <row r="40" spans="1:14">
      <c r="A40" s="13"/>
      <c r="B40" s="276"/>
      <c r="C40" s="276"/>
      <c r="D40" s="276"/>
      <c r="E40" s="276"/>
      <c r="F40" s="276"/>
      <c r="G40" s="276"/>
      <c r="H40" s="276"/>
      <c r="I40" s="276"/>
      <c r="L40" s="12"/>
      <c r="M40" s="286"/>
      <c r="N40" s="274"/>
    </row>
    <row r="41" spans="1:14">
      <c r="A41" s="13"/>
      <c r="B41" s="276"/>
      <c r="C41" s="276"/>
      <c r="D41" s="276"/>
      <c r="E41" s="276"/>
      <c r="F41" s="276"/>
      <c r="G41" s="276"/>
      <c r="H41" s="276"/>
      <c r="I41" s="276"/>
      <c r="L41" s="12"/>
      <c r="M41" s="286"/>
      <c r="N41" s="274"/>
    </row>
    <row r="42" spans="1:14">
      <c r="A42" s="271"/>
      <c r="B42" s="306" t="str">
        <f>HLOOKUP(INDICE!$F$2,Nombres!$C$3:$D$636,296,FALSE)</f>
        <v>Turquia solo Banco</v>
      </c>
      <c r="C42" s="306"/>
      <c r="D42" s="306"/>
      <c r="E42" s="306"/>
      <c r="F42" s="306"/>
      <c r="G42" s="306"/>
      <c r="H42" s="306"/>
      <c r="I42" s="306"/>
      <c r="L42" s="286"/>
      <c r="M42" s="286"/>
    </row>
    <row r="43" spans="1:14">
      <c r="A43" s="272"/>
      <c r="B43" s="156">
        <f>+B$5</f>
        <v>45016</v>
      </c>
      <c r="C43" s="156">
        <f t="shared" ref="C43:I43" si="6">+C$5</f>
        <v>45107</v>
      </c>
      <c r="D43" s="156">
        <f t="shared" si="6"/>
        <v>45199</v>
      </c>
      <c r="E43" s="156">
        <f t="shared" si="6"/>
        <v>45291</v>
      </c>
      <c r="F43" s="156">
        <f t="shared" si="6"/>
        <v>45382</v>
      </c>
      <c r="G43" s="156">
        <f t="shared" si="6"/>
        <v>45473</v>
      </c>
      <c r="H43" s="156">
        <f t="shared" si="6"/>
        <v>45565</v>
      </c>
      <c r="I43" s="156">
        <f t="shared" si="6"/>
        <v>45657</v>
      </c>
      <c r="L43" s="84"/>
      <c r="M43" s="286"/>
    </row>
    <row r="44" spans="1:14">
      <c r="A44" s="12" t="str">
        <f>HLOOKUP(INDICE!$F$2,Nombres!$C$3:$D$636,285,FALSE)</f>
        <v>Préstamos Hogares TL</v>
      </c>
      <c r="B44" s="273">
        <v>8578.9370644642495</v>
      </c>
      <c r="C44" s="273">
        <v>9998.0033088386808</v>
      </c>
      <c r="D44" s="273">
        <v>11023.593752012026</v>
      </c>
      <c r="E44" s="273">
        <v>12428.313635546743</v>
      </c>
      <c r="F44" s="273">
        <v>14455.781962909932</v>
      </c>
      <c r="G44" s="273">
        <v>0</v>
      </c>
      <c r="H44" s="273">
        <v>0</v>
      </c>
      <c r="I44" s="273">
        <v>0</v>
      </c>
      <c r="L44" s="273"/>
      <c r="M44" s="286"/>
      <c r="N44" s="274"/>
    </row>
    <row r="45" spans="1:14">
      <c r="A45" s="12" t="str">
        <f>HLOOKUP(INDICE!$F$2,Nombres!$C$3:$D$636,286,FALSE)</f>
        <v>Préstamos Empresas TL</v>
      </c>
      <c r="B45" s="273">
        <v>6301.7375995123011</v>
      </c>
      <c r="C45" s="273">
        <v>7206.628706830732</v>
      </c>
      <c r="D45" s="273">
        <v>8116.7242973685725</v>
      </c>
      <c r="E45" s="273">
        <v>8407.484123232005</v>
      </c>
      <c r="F45" s="273">
        <v>9621.0102337189146</v>
      </c>
      <c r="G45" s="273">
        <v>0</v>
      </c>
      <c r="H45" s="273">
        <v>0</v>
      </c>
      <c r="I45" s="273">
        <v>0</v>
      </c>
      <c r="L45" s="273"/>
      <c r="M45" s="286"/>
      <c r="N45" s="274"/>
    </row>
    <row r="46" spans="1:14">
      <c r="A46" s="13" t="str">
        <f>HLOOKUP(INDICE!$F$2,Nombres!$C$3:$D$636,287,FALSE)</f>
        <v>Total Préstamos TL</v>
      </c>
      <c r="B46" s="276">
        <v>14880.67466397655</v>
      </c>
      <c r="C46" s="276">
        <v>17204.632015669413</v>
      </c>
      <c r="D46" s="276">
        <v>19140.318049380599</v>
      </c>
      <c r="E46" s="276">
        <v>20835.797758778746</v>
      </c>
      <c r="F46" s="276">
        <v>24076.792196628849</v>
      </c>
      <c r="G46" s="276">
        <v>0</v>
      </c>
      <c r="H46" s="276">
        <v>0</v>
      </c>
      <c r="I46" s="276">
        <v>0</v>
      </c>
      <c r="L46" s="273"/>
      <c r="M46" s="286"/>
      <c r="N46" s="274"/>
    </row>
    <row r="47" spans="1:14">
      <c r="A47" s="13" t="str">
        <f>HLOOKUP(INDICE!$F$2,Nombres!$C$3:$D$636,288,FALSE)</f>
        <v>Total Préstamos FC</v>
      </c>
      <c r="B47" s="276">
        <v>8912.3657936638956</v>
      </c>
      <c r="C47" s="276">
        <v>8809.3584651013007</v>
      </c>
      <c r="D47" s="276">
        <v>8739.0285257558771</v>
      </c>
      <c r="E47" s="276">
        <v>8975.9583921928461</v>
      </c>
      <c r="F47" s="276">
        <v>9148.2107040331739</v>
      </c>
      <c r="G47" s="276">
        <v>0</v>
      </c>
      <c r="H47" s="276">
        <v>0</v>
      </c>
      <c r="I47" s="276">
        <v>0</v>
      </c>
      <c r="L47" s="12"/>
      <c r="M47" s="286"/>
      <c r="N47" s="274"/>
    </row>
    <row r="48" spans="1:14">
      <c r="A48" s="284" t="str">
        <f>HLOOKUP(INDICE!$F$2,Nombres!$C$3:$D$636,295,FALSE)</f>
        <v>(TL Lira Turca FC Moneda Extranjera)</v>
      </c>
      <c r="B48" s="277">
        <f>+SUM(B32:B37)-B38</f>
        <v>0</v>
      </c>
      <c r="C48" s="277">
        <f t="shared" ref="C48:I48" si="7">+SUM(C32:C37)-C38</f>
        <v>0</v>
      </c>
      <c r="D48" s="277">
        <f t="shared" si="7"/>
        <v>0</v>
      </c>
      <c r="E48" s="277">
        <f t="shared" si="7"/>
        <v>0</v>
      </c>
      <c r="F48" s="277">
        <f t="shared" si="7"/>
        <v>0</v>
      </c>
      <c r="G48" s="277">
        <f t="shared" si="7"/>
        <v>0</v>
      </c>
      <c r="H48" s="277">
        <f t="shared" si="7"/>
        <v>0</v>
      </c>
      <c r="I48" s="277">
        <f t="shared" si="7"/>
        <v>0</v>
      </c>
      <c r="L48" s="13"/>
      <c r="M48" s="286"/>
      <c r="N48" s="274"/>
    </row>
    <row r="49" spans="1:14">
      <c r="A49" s="14"/>
      <c r="B49" s="278"/>
      <c r="C49" s="278"/>
      <c r="D49" s="278"/>
      <c r="E49" s="278"/>
      <c r="F49" s="278"/>
      <c r="G49" s="278"/>
      <c r="H49" s="278"/>
      <c r="I49" s="278"/>
      <c r="L49" s="278"/>
      <c r="M49" s="286"/>
    </row>
    <row r="50" spans="1:14">
      <c r="A50" s="14"/>
      <c r="B50" s="278"/>
      <c r="C50" s="278"/>
      <c r="D50" s="278"/>
      <c r="E50" s="278"/>
      <c r="F50" s="278"/>
      <c r="G50" s="278"/>
      <c r="H50" s="278"/>
      <c r="I50" s="278"/>
      <c r="L50" s="278"/>
    </row>
    <row r="51" spans="1:14" ht="15.75" customHeight="1">
      <c r="A51" s="271"/>
      <c r="B51" s="306" t="str">
        <f>HLOOKUP(INDICE!$F$2,Nombres!$C$3:$D$636,283,FALSE)</f>
        <v xml:space="preserve">América del Sur </v>
      </c>
      <c r="C51" s="306"/>
      <c r="D51" s="306"/>
      <c r="E51" s="306"/>
      <c r="F51" s="306"/>
      <c r="G51" s="306"/>
      <c r="H51" s="306"/>
      <c r="I51" s="306"/>
    </row>
    <row r="52" spans="1:14">
      <c r="A52" s="272"/>
      <c r="B52" s="156">
        <f>+B$5</f>
        <v>45016</v>
      </c>
      <c r="C52" s="156">
        <f t="shared" ref="C52:I52" si="8">+C$5</f>
        <v>45107</v>
      </c>
      <c r="D52" s="156">
        <f t="shared" si="8"/>
        <v>45199</v>
      </c>
      <c r="E52" s="156">
        <f t="shared" si="8"/>
        <v>45291</v>
      </c>
      <c r="F52" s="156">
        <f t="shared" si="8"/>
        <v>45382</v>
      </c>
      <c r="G52" s="156">
        <f t="shared" si="8"/>
        <v>45473</v>
      </c>
      <c r="H52" s="156">
        <f t="shared" si="8"/>
        <v>45565</v>
      </c>
      <c r="I52" s="156">
        <f t="shared" si="8"/>
        <v>45657</v>
      </c>
    </row>
    <row r="53" spans="1:14">
      <c r="A53" s="12" t="s">
        <v>29</v>
      </c>
      <c r="B53" s="273">
        <v>943.16366398771754</v>
      </c>
      <c r="C53" s="273">
        <v>1160.6500444690755</v>
      </c>
      <c r="D53" s="273">
        <v>1501.1313252442653</v>
      </c>
      <c r="E53" s="273">
        <v>2175.3619521933028</v>
      </c>
      <c r="F53" s="273">
        <v>2856.8919999999998</v>
      </c>
      <c r="G53" s="273">
        <v>0</v>
      </c>
      <c r="H53" s="273">
        <v>0</v>
      </c>
      <c r="I53" s="273">
        <v>0</v>
      </c>
      <c r="L53" s="273"/>
      <c r="M53" s="287"/>
      <c r="N53" s="274"/>
    </row>
    <row r="54" spans="1:14">
      <c r="A54" s="12" t="s">
        <v>30</v>
      </c>
      <c r="B54" s="273">
        <v>1760.1240300763309</v>
      </c>
      <c r="C54" s="273">
        <v>1766.8492655579535</v>
      </c>
      <c r="D54" s="273">
        <v>1791.8337764354624</v>
      </c>
      <c r="E54" s="273">
        <v>1820.2532886467905</v>
      </c>
      <c r="F54" s="273">
        <v>1759.3150000000001</v>
      </c>
      <c r="G54" s="273">
        <v>0</v>
      </c>
      <c r="H54" s="273">
        <v>0</v>
      </c>
      <c r="I54" s="273">
        <v>0</v>
      </c>
      <c r="L54" s="273"/>
      <c r="M54" s="274"/>
      <c r="N54" s="274"/>
    </row>
    <row r="55" spans="1:14">
      <c r="A55" s="12" t="s">
        <v>31</v>
      </c>
      <c r="B55" s="273">
        <v>16624.13915181232</v>
      </c>
      <c r="C55" s="273">
        <v>17004.321291994125</v>
      </c>
      <c r="D55" s="273">
        <v>17134.20396244698</v>
      </c>
      <c r="E55" s="273">
        <v>17234.817652335783</v>
      </c>
      <c r="F55" s="273">
        <v>17202.696000000004</v>
      </c>
      <c r="G55" s="273">
        <v>0</v>
      </c>
      <c r="H55" s="273">
        <v>0</v>
      </c>
      <c r="I55" s="273">
        <v>0</v>
      </c>
      <c r="L55" s="273"/>
      <c r="M55" s="287"/>
      <c r="N55" s="274"/>
    </row>
    <row r="56" spans="1:14" ht="15" customHeight="1">
      <c r="A56" s="12" t="s">
        <v>32</v>
      </c>
      <c r="B56" s="273">
        <v>17354.6556698448</v>
      </c>
      <c r="C56" s="273">
        <v>17114.74268608302</v>
      </c>
      <c r="D56" s="273">
        <v>17207.589446735019</v>
      </c>
      <c r="E56" s="273">
        <v>17562.76028768381</v>
      </c>
      <c r="F56" s="273">
        <v>17862.641000000003</v>
      </c>
      <c r="G56" s="273">
        <v>0</v>
      </c>
      <c r="H56" s="273">
        <v>0</v>
      </c>
      <c r="I56" s="273">
        <v>0</v>
      </c>
      <c r="L56" s="273"/>
      <c r="M56" s="287"/>
      <c r="N56" s="274"/>
    </row>
    <row r="57" spans="1:14" ht="15" customHeight="1">
      <c r="A57" s="12" t="s">
        <v>215</v>
      </c>
      <c r="B57" s="273">
        <v>2506.7614352354021</v>
      </c>
      <c r="C57" s="273">
        <v>2546.7335854536041</v>
      </c>
      <c r="D57" s="273">
        <v>2578.9302313075905</v>
      </c>
      <c r="E57" s="273">
        <v>2797.3825095917455</v>
      </c>
      <c r="F57" s="273">
        <v>2807.8210000000004</v>
      </c>
      <c r="G57" s="273">
        <v>0</v>
      </c>
      <c r="H57" s="273">
        <v>0</v>
      </c>
      <c r="I57" s="273">
        <v>0</v>
      </c>
      <c r="L57" s="273"/>
      <c r="N57" s="274"/>
    </row>
    <row r="58" spans="1:14" ht="15" customHeight="1">
      <c r="A58" s="13" t="str">
        <f>HLOOKUP(INDICE!$F$2,Nombres!$C$3:$D$636,112,FALSE)</f>
        <v>Crédito no dudoso en gestión (*)</v>
      </c>
      <c r="B58" s="276">
        <v>39188.843950956565</v>
      </c>
      <c r="C58" s="276">
        <v>39593.296873557782</v>
      </c>
      <c r="D58" s="276">
        <v>40213.688742169325</v>
      </c>
      <c r="E58" s="276">
        <v>41590.575690451435</v>
      </c>
      <c r="F58" s="276">
        <v>42489.365000000005</v>
      </c>
      <c r="G58" s="276">
        <v>0</v>
      </c>
      <c r="H58" s="276">
        <v>0</v>
      </c>
      <c r="I58" s="276">
        <v>0</v>
      </c>
      <c r="L58" s="13"/>
      <c r="M58" s="287"/>
      <c r="N58" s="274"/>
    </row>
    <row r="59" spans="1:14">
      <c r="A59" s="14"/>
      <c r="B59" s="277">
        <f>+SUM(B53:B57)-B58</f>
        <v>0</v>
      </c>
      <c r="C59" s="277">
        <f t="shared" ref="C59:I59" si="9">+SUM(C53:C57)-C58</f>
        <v>0</v>
      </c>
      <c r="D59" s="277">
        <f t="shared" si="9"/>
        <v>0</v>
      </c>
      <c r="E59" s="277">
        <f t="shared" si="9"/>
        <v>0</v>
      </c>
      <c r="F59" s="277">
        <f t="shared" si="9"/>
        <v>0</v>
      </c>
      <c r="G59" s="277">
        <f t="shared" si="9"/>
        <v>0</v>
      </c>
      <c r="H59" s="277">
        <f t="shared" si="9"/>
        <v>0</v>
      </c>
      <c r="I59" s="277">
        <f t="shared" si="9"/>
        <v>0</v>
      </c>
      <c r="L59" s="278"/>
    </row>
    <row r="60" spans="1:14">
      <c r="A60" s="14"/>
      <c r="B60" s="14"/>
      <c r="C60" s="14"/>
      <c r="D60" s="14"/>
      <c r="E60" s="14"/>
      <c r="F60" s="14"/>
      <c r="L60" s="14"/>
    </row>
    <row r="61" spans="1:14">
      <c r="A61" s="15" t="str">
        <f>HLOOKUP(INDICE!$F$2,Nombres!$C$3:$D$636,71,FALSE)</f>
        <v>(*) No incluye las adquisiciones temporales de activos.</v>
      </c>
      <c r="B61" s="14"/>
      <c r="C61" s="14"/>
      <c r="D61" s="14"/>
      <c r="E61" s="14"/>
      <c r="F61" s="14"/>
      <c r="L61" s="14"/>
    </row>
    <row r="62" spans="1:14">
      <c r="A62" s="15"/>
      <c r="B62" s="14"/>
      <c r="C62" s="14"/>
      <c r="D62" s="14"/>
      <c r="E62" s="14"/>
      <c r="F62" s="14"/>
      <c r="L62" s="14"/>
    </row>
    <row r="63" spans="1:14">
      <c r="A63" s="14"/>
      <c r="B63" s="14"/>
      <c r="C63" s="14"/>
      <c r="D63" s="14"/>
      <c r="E63" s="14"/>
      <c r="F63" s="14"/>
      <c r="L63" s="14"/>
    </row>
    <row r="64" spans="1:14">
      <c r="A64" s="14"/>
      <c r="B64" s="14"/>
      <c r="C64" s="14"/>
      <c r="D64" s="14"/>
      <c r="E64" s="14"/>
      <c r="F64" s="14"/>
      <c r="L64" s="14"/>
    </row>
    <row r="65" spans="1:12">
      <c r="A65" s="14"/>
      <c r="B65" s="14"/>
      <c r="C65" s="14"/>
      <c r="D65" s="14"/>
      <c r="E65" s="14"/>
      <c r="F65" s="14"/>
      <c r="L65" s="14"/>
    </row>
    <row r="66" spans="1:12">
      <c r="A66" s="14"/>
      <c r="B66" s="14"/>
      <c r="C66" s="14"/>
      <c r="D66" s="14"/>
      <c r="E66" s="14"/>
      <c r="F66" s="14"/>
      <c r="L66" s="14"/>
    </row>
    <row r="67" spans="1:12">
      <c r="A67" s="14"/>
      <c r="B67" s="14"/>
      <c r="C67" s="14"/>
      <c r="D67" s="14"/>
      <c r="E67" s="14"/>
      <c r="F67" s="14"/>
      <c r="L67" s="14"/>
    </row>
    <row r="68" spans="1:12">
      <c r="A68" s="14"/>
      <c r="B68" s="14"/>
      <c r="C68" s="14"/>
      <c r="D68" s="14"/>
      <c r="E68" s="14"/>
      <c r="F68" s="14"/>
      <c r="L68" s="14"/>
    </row>
    <row r="69" spans="1:12">
      <c r="A69" s="14"/>
      <c r="B69" s="14"/>
      <c r="C69" s="14"/>
      <c r="D69" s="14"/>
      <c r="E69" s="14"/>
      <c r="F69" s="14"/>
      <c r="L69" s="14"/>
    </row>
    <row r="70" spans="1:12">
      <c r="A70" s="14"/>
      <c r="B70" s="14"/>
      <c r="C70" s="14"/>
      <c r="D70" s="14"/>
      <c r="E70" s="14"/>
      <c r="F70" s="14"/>
      <c r="L70" s="14"/>
    </row>
    <row r="996" spans="1:1">
      <c r="A996" s="268" t="s">
        <v>550</v>
      </c>
    </row>
  </sheetData>
  <mergeCells count="5">
    <mergeCell ref="B4:I4"/>
    <mergeCell ref="B17:I17"/>
    <mergeCell ref="B30:I30"/>
    <mergeCell ref="B42:I42"/>
    <mergeCell ref="B51:I51"/>
  </mergeCells>
  <conditionalFormatting sqref="B14:I14">
    <cfRule type="cellIs" dxfId="17" priority="6" operator="notBetween">
      <formula>0.5</formula>
      <formula>-0.5</formula>
    </cfRule>
  </conditionalFormatting>
  <conditionalFormatting sqref="B27:I27">
    <cfRule type="cellIs" dxfId="16" priority="5" operator="notBetween">
      <formula>0.5</formula>
      <formula>-0.5</formula>
    </cfRule>
  </conditionalFormatting>
  <conditionalFormatting sqref="C27:I27">
    <cfRule type="cellIs" dxfId="15" priority="4" operator="notBetween">
      <formula>0.5</formula>
      <formula>-0.5</formula>
    </cfRule>
  </conditionalFormatting>
  <conditionalFormatting sqref="B48">
    <cfRule type="cellIs" dxfId="14" priority="3" operator="notBetween">
      <formula>0.5</formula>
      <formula>-0.5</formula>
    </cfRule>
  </conditionalFormatting>
  <conditionalFormatting sqref="C48:I48">
    <cfRule type="cellIs" dxfId="13" priority="2" operator="notBetween">
      <formula>0.5</formula>
      <formula>-0.5</formula>
    </cfRule>
  </conditionalFormatting>
  <conditionalFormatting sqref="B59:I59">
    <cfRule type="cellIs" dxfId="12" priority="1" operator="notBetween">
      <formula>0.5</formula>
      <formula>-0.5</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1"/>
  <sheetViews>
    <sheetView showGridLines="0" zoomScale="85" zoomScaleNormal="85" workbookViewId="0">
      <pane xSplit="1" ySplit="4" topLeftCell="B5" activePane="bottomRight" state="frozen"/>
      <selection activeCell="A41" sqref="A41"/>
      <selection pane="topRight" activeCell="A41" sqref="A41"/>
      <selection pane="bottomLeft" activeCell="A41" sqref="A41"/>
      <selection pane="bottomRight" activeCell="N22" sqref="N22"/>
    </sheetView>
  </sheetViews>
  <sheetFormatPr baseColWidth="10" defaultColWidth="11.453125" defaultRowHeight="14.5"/>
  <cols>
    <col min="1" max="1" width="35.7265625" style="268" customWidth="1"/>
    <col min="2" max="2" width="12.26953125" style="268" customWidth="1"/>
    <col min="3" max="6" width="11.453125" style="268"/>
    <col min="7" max="9" width="11.453125" style="268" hidden="1" customWidth="1"/>
    <col min="10" max="11" width="5.7265625" style="268" customWidth="1"/>
    <col min="12" max="12" width="19.54296875" style="268" customWidth="1"/>
    <col min="13" max="16384" width="11.453125" style="268"/>
  </cols>
  <sheetData>
    <row r="1" spans="1:12" ht="17">
      <c r="A1" s="16" t="str">
        <f>HLOOKUP(INDICE!$F$2,Nombres!$C$3:$D$636,120,FALSE)</f>
        <v>Desglose de los recursos de clientes en gestión</v>
      </c>
      <c r="B1" s="266"/>
      <c r="C1" s="266"/>
      <c r="D1" s="266"/>
      <c r="E1" s="266"/>
      <c r="F1" s="266"/>
      <c r="G1" s="266"/>
      <c r="H1" s="266"/>
      <c r="I1" s="266"/>
    </row>
    <row r="2" spans="1:12">
      <c r="A2" s="269" t="str">
        <f>HLOOKUP(INDICE!$F$2,Nombres!$C$3:$D$636,73,FALSE)</f>
        <v>(Millones de euros constantes)</v>
      </c>
      <c r="B2" s="14"/>
      <c r="C2" s="14"/>
      <c r="D2" s="14"/>
      <c r="E2" s="14"/>
      <c r="F2" s="14"/>
    </row>
    <row r="3" spans="1:12" ht="15.75" customHeight="1">
      <c r="A3" s="271"/>
      <c r="B3" s="306" t="str">
        <f>HLOOKUP(INDICE!$F$2,Nombres!$C$3:$D$636,7,FALSE)</f>
        <v>España</v>
      </c>
      <c r="C3" s="306"/>
      <c r="D3" s="306"/>
      <c r="E3" s="306"/>
      <c r="F3" s="306"/>
      <c r="G3" s="306"/>
      <c r="H3" s="306"/>
      <c r="I3" s="306"/>
      <c r="L3" s="288"/>
    </row>
    <row r="4" spans="1:12">
      <c r="A4" s="272"/>
      <c r="B4" s="156">
        <f>+España!B32</f>
        <v>45016</v>
      </c>
      <c r="C4" s="156">
        <f>+España!C32</f>
        <v>45107</v>
      </c>
      <c r="D4" s="156">
        <f>+España!D32</f>
        <v>45199</v>
      </c>
      <c r="E4" s="156">
        <f>+España!E32</f>
        <v>45291</v>
      </c>
      <c r="F4" s="156">
        <f>+España!F32</f>
        <v>45382</v>
      </c>
      <c r="G4" s="156">
        <f>+España!G32</f>
        <v>45473</v>
      </c>
      <c r="H4" s="156">
        <f>+España!H32</f>
        <v>45565</v>
      </c>
      <c r="I4" s="156">
        <f>+España!I32</f>
        <v>45657</v>
      </c>
    </row>
    <row r="5" spans="1:12">
      <c r="A5" s="12" t="str">
        <f>HLOOKUP(INDICE!$F$2,Nombres!$C$3:$D$636,114,FALSE)</f>
        <v>Depósitos a la vista + Disponibles con preaviso</v>
      </c>
      <c r="B5" s="273">
        <v>190585.72439600001</v>
      </c>
      <c r="C5" s="273">
        <v>189100.14316200002</v>
      </c>
      <c r="D5" s="273">
        <v>187297.06860100001</v>
      </c>
      <c r="E5" s="273">
        <v>187937.43450800001</v>
      </c>
      <c r="F5" s="273">
        <v>183523.92004399994</v>
      </c>
      <c r="G5" s="273">
        <v>0</v>
      </c>
      <c r="H5" s="273">
        <v>0</v>
      </c>
      <c r="I5" s="273">
        <v>0</v>
      </c>
      <c r="L5" s="12"/>
    </row>
    <row r="6" spans="1:12">
      <c r="A6" s="12" t="str">
        <f>HLOOKUP(INDICE!$F$2,Nombres!$C$3:$D$636,115,FALSE)</f>
        <v>Depósitos a plazo</v>
      </c>
      <c r="B6" s="273">
        <v>23723.972753999999</v>
      </c>
      <c r="C6" s="273">
        <v>24853.957061999998</v>
      </c>
      <c r="D6" s="273">
        <v>25432.302337000001</v>
      </c>
      <c r="E6" s="273">
        <v>28067.107490999999</v>
      </c>
      <c r="F6" s="273">
        <v>33135.440518999996</v>
      </c>
      <c r="G6" s="273">
        <v>0</v>
      </c>
      <c r="H6" s="273">
        <v>0</v>
      </c>
      <c r="I6" s="273">
        <v>0</v>
      </c>
      <c r="L6" s="12"/>
    </row>
    <row r="7" spans="1:12">
      <c r="A7" s="12" t="str">
        <f>HLOOKUP(INDICE!$F$2,Nombres!$C$3:$D$636,116,FALSE)</f>
        <v>Recursos fuera de balance (*)</v>
      </c>
      <c r="B7" s="273">
        <v>90577.405610050002</v>
      </c>
      <c r="C7" s="273">
        <v>92847.539063799995</v>
      </c>
      <c r="D7" s="273">
        <v>93024.473001999984</v>
      </c>
      <c r="E7" s="273">
        <v>97252.903658000025</v>
      </c>
      <c r="F7" s="273">
        <v>100561.22529526001</v>
      </c>
      <c r="G7" s="273">
        <v>0</v>
      </c>
      <c r="H7" s="273">
        <v>0</v>
      </c>
      <c r="I7" s="273">
        <v>0</v>
      </c>
      <c r="L7" s="12"/>
    </row>
    <row r="8" spans="1:12">
      <c r="A8" s="13" t="str">
        <f>HLOOKUP(INDICE!$F$2,Nombres!$C$3:$D$636,208,FALSE)</f>
        <v xml:space="preserve"> Recursos de clientes en gestión (**)</v>
      </c>
      <c r="B8" s="13">
        <v>304887.10276004998</v>
      </c>
      <c r="C8" s="13">
        <v>306801.63928779995</v>
      </c>
      <c r="D8" s="13">
        <v>305753.84393999999</v>
      </c>
      <c r="E8" s="13">
        <v>313257.445657</v>
      </c>
      <c r="F8" s="13">
        <v>317220.58585825999</v>
      </c>
      <c r="G8" s="13">
        <v>0</v>
      </c>
      <c r="H8" s="13">
        <v>0</v>
      </c>
      <c r="I8" s="13">
        <v>0</v>
      </c>
      <c r="L8" s="13"/>
    </row>
    <row r="9" spans="1:12">
      <c r="A9" s="12" t="str">
        <f>HLOOKUP(INDICE!$F$2,Nombres!$C$3:$D$636,118,FALSE)</f>
        <v>Vista+Plazo</v>
      </c>
      <c r="B9" s="273">
        <f t="shared" ref="B9:I9" si="0">+B5+B6</f>
        <v>214309.69714999999</v>
      </c>
      <c r="C9" s="273">
        <f t="shared" si="0"/>
        <v>213954.10022400002</v>
      </c>
      <c r="D9" s="273">
        <f t="shared" si="0"/>
        <v>212729.37093800001</v>
      </c>
      <c r="E9" s="273">
        <f t="shared" si="0"/>
        <v>216004.54199900001</v>
      </c>
      <c r="F9" s="273">
        <f t="shared" si="0"/>
        <v>216659.36056299994</v>
      </c>
      <c r="G9" s="273">
        <f t="shared" si="0"/>
        <v>0</v>
      </c>
      <c r="H9" s="273">
        <f t="shared" si="0"/>
        <v>0</v>
      </c>
      <c r="I9" s="273">
        <f t="shared" si="0"/>
        <v>0</v>
      </c>
      <c r="L9" s="14"/>
    </row>
    <row r="10" spans="1:12">
      <c r="A10" s="14"/>
      <c r="B10" s="277">
        <f>+B5+B6+B7-B8</f>
        <v>0</v>
      </c>
      <c r="C10" s="277">
        <f t="shared" ref="C10:I10" si="1">+C5+C6+C7-C8</f>
        <v>0</v>
      </c>
      <c r="D10" s="277">
        <f t="shared" si="1"/>
        <v>0</v>
      </c>
      <c r="E10" s="277">
        <f t="shared" si="1"/>
        <v>0</v>
      </c>
      <c r="F10" s="277">
        <f t="shared" si="1"/>
        <v>0</v>
      </c>
      <c r="G10" s="277">
        <f t="shared" si="1"/>
        <v>0</v>
      </c>
      <c r="H10" s="277">
        <f t="shared" si="1"/>
        <v>0</v>
      </c>
      <c r="I10" s="277">
        <f t="shared" si="1"/>
        <v>0</v>
      </c>
    </row>
    <row r="11" spans="1:12">
      <c r="A11" s="14"/>
      <c r="B11" s="277">
        <f>+B9-España!B54</f>
        <v>0</v>
      </c>
      <c r="C11" s="277">
        <f>+C9-España!C54</f>
        <v>0</v>
      </c>
      <c r="D11" s="277">
        <f>+D9-España!D54</f>
        <v>0</v>
      </c>
      <c r="E11" s="277">
        <f>+E9-España!E54</f>
        <v>0</v>
      </c>
      <c r="F11" s="277">
        <f>+F9-España!F54</f>
        <v>0</v>
      </c>
      <c r="G11" s="277">
        <f>+G9-España!G54</f>
        <v>0</v>
      </c>
      <c r="H11" s="277">
        <f>+H9-España!H54</f>
        <v>0</v>
      </c>
      <c r="I11" s="277">
        <f>+I9-España!I54</f>
        <v>0</v>
      </c>
    </row>
    <row r="12" spans="1:12" ht="15.75" customHeight="1">
      <c r="A12" s="271"/>
      <c r="B12" s="306" t="str">
        <f>HLOOKUP([16]INDICE!$F$2,[16]Nombres!$C$3:$D$636,204,FALSE)</f>
        <v>Mexico (***)</v>
      </c>
      <c r="C12" s="306"/>
      <c r="D12" s="306"/>
      <c r="E12" s="306"/>
      <c r="F12" s="306"/>
      <c r="G12" s="306"/>
      <c r="H12" s="306"/>
      <c r="I12" s="306"/>
      <c r="L12" s="288"/>
    </row>
    <row r="13" spans="1:12">
      <c r="A13" s="272"/>
      <c r="B13" s="156">
        <f>+B$4</f>
        <v>45016</v>
      </c>
      <c r="C13" s="156">
        <f t="shared" ref="C13:I13" si="2">+C$4</f>
        <v>45107</v>
      </c>
      <c r="D13" s="156">
        <f t="shared" si="2"/>
        <v>45199</v>
      </c>
      <c r="E13" s="156">
        <f t="shared" si="2"/>
        <v>45291</v>
      </c>
      <c r="F13" s="156">
        <f t="shared" si="2"/>
        <v>45382</v>
      </c>
      <c r="G13" s="156">
        <f t="shared" si="2"/>
        <v>45473</v>
      </c>
      <c r="H13" s="156">
        <f t="shared" si="2"/>
        <v>45565</v>
      </c>
      <c r="I13" s="156">
        <f t="shared" si="2"/>
        <v>45657</v>
      </c>
    </row>
    <row r="14" spans="1:12">
      <c r="A14" s="12" t="str">
        <f>HLOOKUP(INDICE!$F$2,Nombres!$C$3:$D$636,114,FALSE)</f>
        <v>Depósitos a la vista + Disponibles con preaviso</v>
      </c>
      <c r="B14" s="273">
        <v>73451.535183023152</v>
      </c>
      <c r="C14" s="273">
        <v>72379.82808896128</v>
      </c>
      <c r="D14" s="273">
        <v>73476.047825819638</v>
      </c>
      <c r="E14" s="273">
        <v>82418.088610833554</v>
      </c>
      <c r="F14" s="273">
        <v>77038.937856289922</v>
      </c>
      <c r="G14" s="273">
        <v>0</v>
      </c>
      <c r="H14" s="273">
        <v>0</v>
      </c>
      <c r="I14" s="273">
        <v>0</v>
      </c>
      <c r="J14" s="273"/>
      <c r="L14" s="12"/>
    </row>
    <row r="15" spans="1:12">
      <c r="A15" s="12" t="str">
        <f>HLOOKUP(INDICE!$F$2,Nombres!$C$3:$D$636,115,FALSE)</f>
        <v>Depósitos a plazo</v>
      </c>
      <c r="B15" s="273">
        <v>13267.459076303217</v>
      </c>
      <c r="C15" s="273">
        <v>13193.845373335733</v>
      </c>
      <c r="D15" s="273">
        <v>13993.341152134684</v>
      </c>
      <c r="E15" s="273">
        <v>13655.755972216026</v>
      </c>
      <c r="F15" s="273">
        <v>14156.567075081855</v>
      </c>
      <c r="G15" s="273">
        <v>0</v>
      </c>
      <c r="H15" s="273">
        <v>0</v>
      </c>
      <c r="I15" s="273">
        <v>0</v>
      </c>
      <c r="J15" s="273"/>
      <c r="L15" s="12"/>
    </row>
    <row r="16" spans="1:12">
      <c r="A16" s="12" t="str">
        <f>HLOOKUP(INDICE!$F$2,Nombres!$C$3:$D$636,116,FALSE)</f>
        <v>Recursos fuera de balance (*)</v>
      </c>
      <c r="B16" s="273">
        <v>48674.422759295907</v>
      </c>
      <c r="C16" s="273">
        <v>51443.35193431659</v>
      </c>
      <c r="D16" s="273">
        <v>54463.125709995787</v>
      </c>
      <c r="E16" s="273">
        <v>55647.308363450233</v>
      </c>
      <c r="F16" s="273">
        <v>61154.335703060002</v>
      </c>
      <c r="G16" s="273">
        <v>0</v>
      </c>
      <c r="H16" s="273">
        <v>0</v>
      </c>
      <c r="I16" s="273">
        <v>0</v>
      </c>
      <c r="J16" s="273"/>
      <c r="L16" s="12"/>
    </row>
    <row r="17" spans="1:12">
      <c r="A17" s="13" t="str">
        <f>HLOOKUP(INDICE!$F$2,Nombres!$C$3:$D$636,208,FALSE)</f>
        <v xml:space="preserve"> Recursos de clientes en gestión (**)</v>
      </c>
      <c r="B17" s="13">
        <v>135393.41701862228</v>
      </c>
      <c r="C17" s="13">
        <v>137017.02539661361</v>
      </c>
      <c r="D17" s="13">
        <v>141932.51468795011</v>
      </c>
      <c r="E17" s="13">
        <v>151721.15294649982</v>
      </c>
      <c r="F17" s="13">
        <v>152349.84063443178</v>
      </c>
      <c r="G17" s="13">
        <v>0</v>
      </c>
      <c r="H17" s="13">
        <v>0</v>
      </c>
      <c r="I17" s="13">
        <v>0</v>
      </c>
      <c r="J17" s="273"/>
      <c r="L17" s="12"/>
    </row>
    <row r="18" spans="1:12">
      <c r="A18" s="12" t="str">
        <f>HLOOKUP(INDICE!$F$2,Nombres!$C$3:$D$636,118,FALSE)</f>
        <v>Vista+Plazo</v>
      </c>
      <c r="B18" s="273">
        <v>86718.99425932637</v>
      </c>
      <c r="C18" s="273">
        <v>85573.673462297011</v>
      </c>
      <c r="D18" s="273">
        <v>87469.388977954324</v>
      </c>
      <c r="E18" s="273">
        <v>96073.844583049577</v>
      </c>
      <c r="F18" s="273">
        <v>91195.504931371775</v>
      </c>
      <c r="G18" s="273">
        <v>0</v>
      </c>
      <c r="H18" s="273">
        <v>0</v>
      </c>
      <c r="I18" s="273">
        <v>0</v>
      </c>
      <c r="J18" s="13"/>
      <c r="L18" s="13"/>
    </row>
    <row r="19" spans="1:12">
      <c r="A19" s="284" t="str">
        <f>HLOOKUP([16]INDICE!$F$2,[16]Nombres!$C$3:$D$636,205,FALSE)</f>
        <v xml:space="preserve">Criterio Local Contable(***) </v>
      </c>
      <c r="B19" s="277">
        <f>+B14+B15+B16-B17</f>
        <v>0</v>
      </c>
      <c r="C19" s="277">
        <f t="shared" ref="C19:I19" si="3">+C14+C15+C16-C17</f>
        <v>0</v>
      </c>
      <c r="D19" s="277">
        <f t="shared" si="3"/>
        <v>0</v>
      </c>
      <c r="E19" s="277">
        <f t="shared" si="3"/>
        <v>0</v>
      </c>
      <c r="F19" s="277">
        <f t="shared" si="3"/>
        <v>0</v>
      </c>
      <c r="G19" s="277">
        <f t="shared" si="3"/>
        <v>0</v>
      </c>
      <c r="H19" s="277">
        <f t="shared" si="3"/>
        <v>0</v>
      </c>
      <c r="I19" s="277">
        <f t="shared" si="3"/>
        <v>0</v>
      </c>
    </row>
    <row r="20" spans="1:12">
      <c r="A20" s="14"/>
      <c r="B20" s="289">
        <f>+B14+B15+B16-B17</f>
        <v>0</v>
      </c>
      <c r="C20" s="289">
        <f t="shared" ref="C20:F20" si="4">+C14+C15+C16-C17</f>
        <v>0</v>
      </c>
      <c r="D20" s="289">
        <f t="shared" si="4"/>
        <v>0</v>
      </c>
      <c r="E20" s="289">
        <f t="shared" si="4"/>
        <v>0</v>
      </c>
      <c r="F20" s="289">
        <f t="shared" si="4"/>
        <v>0</v>
      </c>
      <c r="G20" s="277">
        <f>+G17-Mexico!G108-Mexico!G109-Mexico!G110-Mexico!G111</f>
        <v>0</v>
      </c>
      <c r="H20" s="277">
        <f>+H17-Mexico!H108-Mexico!H109-Mexico!H110-Mexico!H111</f>
        <v>0</v>
      </c>
      <c r="I20" s="277">
        <f>+I17-Mexico!I108-Mexico!I109-Mexico!I110-Mexico!I111</f>
        <v>0</v>
      </c>
      <c r="L20" s="288"/>
    </row>
    <row r="21" spans="1:12" ht="15.75" customHeight="1">
      <c r="A21" s="271"/>
      <c r="B21" s="306" t="str">
        <f>HLOOKUP(INDICE!$F$2,Nombres!$C$3:$D$636,12,FALSE)</f>
        <v xml:space="preserve">Turquía </v>
      </c>
      <c r="C21" s="306"/>
      <c r="D21" s="306"/>
      <c r="E21" s="306"/>
      <c r="F21" s="306"/>
      <c r="G21" s="306"/>
      <c r="H21" s="306"/>
      <c r="I21" s="306"/>
      <c r="L21" s="288"/>
    </row>
    <row r="22" spans="1:12">
      <c r="A22" s="272"/>
      <c r="B22" s="156">
        <f>+B$4</f>
        <v>45016</v>
      </c>
      <c r="C22" s="156">
        <f t="shared" ref="C22:I22" si="5">+C$4</f>
        <v>45107</v>
      </c>
      <c r="D22" s="156">
        <f t="shared" si="5"/>
        <v>45199</v>
      </c>
      <c r="E22" s="156">
        <f t="shared" si="5"/>
        <v>45291</v>
      </c>
      <c r="F22" s="156">
        <f t="shared" si="5"/>
        <v>45382</v>
      </c>
      <c r="G22" s="156">
        <f t="shared" si="5"/>
        <v>45473</v>
      </c>
      <c r="H22" s="156">
        <f t="shared" si="5"/>
        <v>45565</v>
      </c>
      <c r="I22" s="156">
        <f t="shared" si="5"/>
        <v>45657</v>
      </c>
    </row>
    <row r="23" spans="1:12">
      <c r="A23" s="12" t="str">
        <f>HLOOKUP(INDICE!$F$2,Nombres!$C$3:$D$636,114,FALSE)</f>
        <v>Depósitos a la vista + Disponibles con preaviso</v>
      </c>
      <c r="B23" s="273">
        <v>14399.654835204567</v>
      </c>
      <c r="C23" s="273">
        <v>17589.788515730488</v>
      </c>
      <c r="D23" s="273">
        <v>19376.408567945702</v>
      </c>
      <c r="E23" s="273">
        <v>21582.575399008947</v>
      </c>
      <c r="F23" s="273">
        <v>23955.309000000001</v>
      </c>
      <c r="G23" s="273">
        <v>0</v>
      </c>
      <c r="H23" s="273">
        <v>0</v>
      </c>
      <c r="I23" s="273">
        <v>0</v>
      </c>
      <c r="L23" s="12"/>
    </row>
    <row r="24" spans="1:12">
      <c r="A24" s="12" t="str">
        <f>HLOOKUP(INDICE!$F$2,Nombres!$C$3:$D$636,115,FALSE)</f>
        <v>Depósitos a plazo</v>
      </c>
      <c r="B24" s="273">
        <v>15332.938391565378</v>
      </c>
      <c r="C24" s="273">
        <v>22536.688990450919</v>
      </c>
      <c r="D24" s="273">
        <v>21999.072836537522</v>
      </c>
      <c r="E24" s="273">
        <v>24498.410421766959</v>
      </c>
      <c r="F24" s="273">
        <v>26432.337000000003</v>
      </c>
      <c r="G24" s="273">
        <v>0</v>
      </c>
      <c r="H24" s="273">
        <v>0</v>
      </c>
      <c r="I24" s="273">
        <v>0</v>
      </c>
      <c r="L24" s="12"/>
    </row>
    <row r="25" spans="1:12">
      <c r="A25" s="12" t="str">
        <f>HLOOKUP(INDICE!$F$2,Nombres!$C$3:$D$636,116,FALSE)</f>
        <v>Recursos fuera de balance (*)</v>
      </c>
      <c r="B25" s="273">
        <v>4472.0849182424363</v>
      </c>
      <c r="C25" s="273">
        <v>5510.3458577730044</v>
      </c>
      <c r="D25" s="273">
        <v>6561.6935253853899</v>
      </c>
      <c r="E25" s="273">
        <v>7258.1936334274305</v>
      </c>
      <c r="F25" s="273">
        <v>9987.8850000000002</v>
      </c>
      <c r="G25" s="273">
        <v>0</v>
      </c>
      <c r="H25" s="273">
        <v>0</v>
      </c>
      <c r="I25" s="273">
        <v>0</v>
      </c>
      <c r="L25" s="12"/>
    </row>
    <row r="26" spans="1:12">
      <c r="A26" s="13" t="str">
        <f>HLOOKUP(INDICE!$F$2,Nombres!$C$3:$D$636,208,FALSE)</f>
        <v xml:space="preserve"> Recursos de clientes en gestión (**)</v>
      </c>
      <c r="B26" s="13">
        <v>34204.678145012389</v>
      </c>
      <c r="C26" s="13">
        <v>45636.823363954405</v>
      </c>
      <c r="D26" s="13">
        <v>47937.174929868619</v>
      </c>
      <c r="E26" s="13">
        <v>53339.179454203346</v>
      </c>
      <c r="F26" s="13">
        <v>60375.531000000003</v>
      </c>
      <c r="G26" s="13">
        <v>0</v>
      </c>
      <c r="H26" s="13">
        <v>0</v>
      </c>
      <c r="I26" s="13">
        <v>0</v>
      </c>
      <c r="L26" s="13"/>
    </row>
    <row r="27" spans="1:12">
      <c r="A27" s="12" t="str">
        <f>HLOOKUP(INDICE!$F$2,Nombres!$C$3:$D$636,118,FALSE)</f>
        <v>Vista+Plazo</v>
      </c>
      <c r="B27" s="273">
        <f t="shared" ref="B27:I27" si="6">+B23+B24</f>
        <v>29732.593226769946</v>
      </c>
      <c r="C27" s="273">
        <f t="shared" si="6"/>
        <v>40126.477506181407</v>
      </c>
      <c r="D27" s="273">
        <f t="shared" si="6"/>
        <v>41375.481404483224</v>
      </c>
      <c r="E27" s="273">
        <f t="shared" si="6"/>
        <v>46080.98582077591</v>
      </c>
      <c r="F27" s="273">
        <f t="shared" si="6"/>
        <v>50387.646000000008</v>
      </c>
      <c r="G27" s="273">
        <f t="shared" si="6"/>
        <v>0</v>
      </c>
      <c r="H27" s="273">
        <f t="shared" si="6"/>
        <v>0</v>
      </c>
      <c r="I27" s="273">
        <f t="shared" si="6"/>
        <v>0</v>
      </c>
    </row>
    <row r="28" spans="1:12">
      <c r="A28" s="14"/>
      <c r="B28" s="277">
        <f>+B23+B24+B25-B26</f>
        <v>0</v>
      </c>
      <c r="C28" s="277">
        <f t="shared" ref="C28:I28" si="7">+C23+C24+C25-C26</f>
        <v>0</v>
      </c>
      <c r="D28" s="277">
        <f t="shared" si="7"/>
        <v>0</v>
      </c>
      <c r="E28" s="277">
        <f t="shared" si="7"/>
        <v>0</v>
      </c>
      <c r="F28" s="277">
        <f t="shared" si="7"/>
        <v>0</v>
      </c>
      <c r="G28" s="277">
        <f t="shared" si="7"/>
        <v>0</v>
      </c>
      <c r="H28" s="277">
        <f t="shared" si="7"/>
        <v>0</v>
      </c>
      <c r="I28" s="277">
        <f t="shared" si="7"/>
        <v>0</v>
      </c>
    </row>
    <row r="29" spans="1:12">
      <c r="A29" s="13"/>
      <c r="B29" s="277">
        <f>+B26-Turquia!B108-Turquia!B109-Turquia!B110</f>
        <v>6.3664629124104977E-12</v>
      </c>
      <c r="C29" s="277">
        <f>+C26-Turquia!C108-Turquia!C109-Turquia!C110</f>
        <v>0</v>
      </c>
      <c r="D29" s="277">
        <f>+D26-Turquia!D108-Turquia!D109-Turquia!D110</f>
        <v>0</v>
      </c>
      <c r="E29" s="277">
        <f>+E26-Turquia!E108-Turquia!E109-Turquia!E110</f>
        <v>0</v>
      </c>
      <c r="F29" s="277">
        <f>+F26-Turquia!F108-Turquia!F109-Turquia!F110</f>
        <v>9.5496943686157465E-12</v>
      </c>
      <c r="G29" s="277">
        <f>+G26-Turquia!G108-Turquia!G109-Turquia!G110</f>
        <v>0</v>
      </c>
      <c r="H29" s="277">
        <f>+H26-Turquia!H108-Turquia!H109-Turquia!H110</f>
        <v>0</v>
      </c>
      <c r="I29" s="277">
        <f>+I26-Turquia!I108-Turquia!I109-Turquia!I110</f>
        <v>0</v>
      </c>
    </row>
    <row r="30" spans="1:12" ht="15.75" customHeight="1">
      <c r="A30" s="271"/>
      <c r="B30" s="306" t="str">
        <f>HLOOKUP(INDICE!$F$2,Nombres!$C$3:$D$636,296,FALSE)</f>
        <v>Turquia solo Banco</v>
      </c>
      <c r="C30" s="306"/>
      <c r="D30" s="306"/>
      <c r="E30" s="306"/>
      <c r="F30" s="306"/>
      <c r="G30" s="306"/>
      <c r="H30" s="306"/>
      <c r="I30" s="306"/>
      <c r="L30" s="288"/>
    </row>
    <row r="31" spans="1:12">
      <c r="A31" s="272"/>
      <c r="B31" s="156">
        <f>+B$4</f>
        <v>45016</v>
      </c>
      <c r="C31" s="156">
        <f t="shared" ref="C31:I31" si="8">+C$4</f>
        <v>45107</v>
      </c>
      <c r="D31" s="156">
        <f t="shared" si="8"/>
        <v>45199</v>
      </c>
      <c r="E31" s="156">
        <f t="shared" si="8"/>
        <v>45291</v>
      </c>
      <c r="F31" s="156">
        <f t="shared" si="8"/>
        <v>45382</v>
      </c>
      <c r="G31" s="156">
        <f t="shared" si="8"/>
        <v>45473</v>
      </c>
      <c r="H31" s="156">
        <f t="shared" si="8"/>
        <v>45565</v>
      </c>
      <c r="I31" s="156">
        <f t="shared" si="8"/>
        <v>45657</v>
      </c>
    </row>
    <row r="32" spans="1:12">
      <c r="A32" s="12" t="str">
        <f>HLOOKUP(INDICE!$F$2,Nombres!$C$3:$D$636,289,FALSE)</f>
        <v>Depósitos Vista TL</v>
      </c>
      <c r="B32" s="273">
        <v>3601.554095163558</v>
      </c>
      <c r="C32" s="273">
        <v>3927.633747075969</v>
      </c>
      <c r="D32" s="273">
        <v>4300.2471083814617</v>
      </c>
      <c r="E32" s="273">
        <v>4304.4586056829221</v>
      </c>
      <c r="F32" s="273">
        <v>4678.8372034959175</v>
      </c>
      <c r="G32" s="273">
        <v>0</v>
      </c>
      <c r="H32" s="273">
        <v>0</v>
      </c>
      <c r="I32" s="273">
        <v>0</v>
      </c>
    </row>
    <row r="33" spans="1:12">
      <c r="A33" s="12" t="str">
        <f>HLOOKUP(INDICE!$F$2,Nombres!$C$3:$D$636,290,FALSE)</f>
        <v>Depósitos Plazo TL</v>
      </c>
      <c r="B33" s="273">
        <v>12267.905266115453</v>
      </c>
      <c r="C33" s="273">
        <v>15159.387519585118</v>
      </c>
      <c r="D33" s="273">
        <v>16941.137945654558</v>
      </c>
      <c r="E33" s="273">
        <v>19436.211250442437</v>
      </c>
      <c r="F33" s="273">
        <v>19834.001887895764</v>
      </c>
      <c r="G33" s="273">
        <v>0</v>
      </c>
      <c r="H33" s="273">
        <v>0</v>
      </c>
      <c r="I33" s="273">
        <v>0</v>
      </c>
    </row>
    <row r="34" spans="1:12">
      <c r="A34" s="13" t="str">
        <f>HLOOKUP(INDICE!$F$2,Nombres!$C$3:$D$636,291,FALSE)</f>
        <v>Total Depósitos TL</v>
      </c>
      <c r="B34" s="13">
        <v>15869.459361279012</v>
      </c>
      <c r="C34" s="13">
        <v>19087.021266661086</v>
      </c>
      <c r="D34" s="13">
        <v>21241.385054036018</v>
      </c>
      <c r="E34" s="13">
        <v>23740.669856125358</v>
      </c>
      <c r="F34" s="13">
        <v>24512.839091391681</v>
      </c>
      <c r="G34" s="13">
        <v>0</v>
      </c>
      <c r="H34" s="13">
        <v>0</v>
      </c>
      <c r="I34" s="13">
        <v>0</v>
      </c>
    </row>
    <row r="35" spans="1:12">
      <c r="A35" s="12" t="str">
        <f>HLOOKUP(INDICE!$F$2,Nombres!$C$3:$D$636,292,FALSE)</f>
        <v>Depósitos Vista FC</v>
      </c>
      <c r="B35" s="273">
        <v>13345.496249270149</v>
      </c>
      <c r="C35" s="273">
        <v>13380.560495048585</v>
      </c>
      <c r="D35" s="273">
        <v>13890.601573196744</v>
      </c>
      <c r="E35" s="273">
        <v>13887.6918043063</v>
      </c>
      <c r="F35" s="273">
        <v>15027.715971421159</v>
      </c>
      <c r="G35" s="273">
        <v>0</v>
      </c>
      <c r="H35" s="273">
        <v>0</v>
      </c>
      <c r="I35" s="273">
        <v>0</v>
      </c>
    </row>
    <row r="36" spans="1:12">
      <c r="A36" s="12" t="str">
        <f>HLOOKUP(INDICE!$F$2,Nombres!$C$3:$D$636,293,FALSE)</f>
        <v>Depósitos Plazo FC</v>
      </c>
      <c r="B36" s="273">
        <v>3251.3219366312019</v>
      </c>
      <c r="C36" s="273">
        <v>2791.885361239656</v>
      </c>
      <c r="D36" s="273">
        <v>2165.6124322392316</v>
      </c>
      <c r="E36" s="273">
        <v>1952.093912990355</v>
      </c>
      <c r="F36" s="273">
        <v>1770.7674643924918</v>
      </c>
      <c r="G36" s="273">
        <v>0</v>
      </c>
      <c r="H36" s="273">
        <v>0</v>
      </c>
      <c r="I36" s="273">
        <v>0</v>
      </c>
    </row>
    <row r="37" spans="1:12">
      <c r="A37" s="13" t="str">
        <f>HLOOKUP(INDICE!$F$2,Nombres!$C$3:$D$636,294,FALSE)</f>
        <v>Total Depósitos FC</v>
      </c>
      <c r="B37" s="13">
        <v>16596.818185901349</v>
      </c>
      <c r="C37" s="13">
        <v>16172.445856288239</v>
      </c>
      <c r="D37" s="13">
        <v>16056.214005435977</v>
      </c>
      <c r="E37" s="13">
        <v>15839.785717296654</v>
      </c>
      <c r="F37" s="13">
        <v>16798.483435813654</v>
      </c>
      <c r="G37" s="13">
        <v>0</v>
      </c>
      <c r="H37" s="13">
        <v>0</v>
      </c>
      <c r="I37" s="13">
        <v>0</v>
      </c>
    </row>
    <row r="38" spans="1:12">
      <c r="A38" s="284" t="str">
        <f>HLOOKUP(INDICE!$F$2,Nombres!$C$3:$D$636,295,FALSE)</f>
        <v>(TL Lira Turca FC Moneda Extranjera)</v>
      </c>
      <c r="B38" s="13"/>
      <c r="C38" s="13"/>
      <c r="D38" s="13"/>
      <c r="E38" s="13"/>
      <c r="F38" s="13"/>
      <c r="G38" s="13"/>
      <c r="H38" s="13"/>
      <c r="I38" s="13"/>
    </row>
    <row r="39" spans="1:12">
      <c r="A39" s="13"/>
      <c r="B39" s="13"/>
      <c r="C39" s="13"/>
      <c r="D39" s="13"/>
      <c r="E39" s="13"/>
      <c r="F39" s="13"/>
      <c r="G39" s="13"/>
      <c r="H39" s="13"/>
      <c r="I39" s="13"/>
    </row>
    <row r="40" spans="1:12">
      <c r="A40" s="271"/>
      <c r="B40" s="306" t="str">
        <f>HLOOKUP(INDICE!$F$2,Nombres!$C$3:$D$636,283,FALSE)</f>
        <v xml:space="preserve">América del Sur </v>
      </c>
      <c r="C40" s="306"/>
      <c r="D40" s="306"/>
      <c r="E40" s="306"/>
      <c r="F40" s="306"/>
      <c r="G40" s="306"/>
      <c r="H40" s="306"/>
      <c r="I40" s="306"/>
      <c r="L40" s="288"/>
    </row>
    <row r="41" spans="1:12">
      <c r="A41" s="272"/>
      <c r="B41" s="156">
        <f>+B$4</f>
        <v>45016</v>
      </c>
      <c r="C41" s="156">
        <f t="shared" ref="C41:I41" si="9">+C$4</f>
        <v>45107</v>
      </c>
      <c r="D41" s="156">
        <f t="shared" si="9"/>
        <v>45199</v>
      </c>
      <c r="E41" s="156">
        <f t="shared" si="9"/>
        <v>45291</v>
      </c>
      <c r="F41" s="156">
        <f t="shared" si="9"/>
        <v>45382</v>
      </c>
      <c r="G41" s="156">
        <f t="shared" si="9"/>
        <v>45473</v>
      </c>
      <c r="H41" s="156">
        <f t="shared" si="9"/>
        <v>45565</v>
      </c>
      <c r="I41" s="156">
        <f t="shared" si="9"/>
        <v>45657</v>
      </c>
    </row>
    <row r="42" spans="1:12">
      <c r="A42" s="12" t="s">
        <v>29</v>
      </c>
      <c r="B42" s="273">
        <v>2254.6040548490605</v>
      </c>
      <c r="C42" s="273">
        <v>2842.4956318787717</v>
      </c>
      <c r="D42" s="273">
        <v>3749.4302400238657</v>
      </c>
      <c r="E42" s="273">
        <v>5300.979990648585</v>
      </c>
      <c r="F42" s="273">
        <v>6732.085150410001</v>
      </c>
      <c r="G42" s="273">
        <v>0</v>
      </c>
      <c r="H42" s="273">
        <v>0</v>
      </c>
      <c r="I42" s="273">
        <v>0</v>
      </c>
      <c r="L42" s="12"/>
    </row>
    <row r="43" spans="1:12">
      <c r="A43" s="12" t="s">
        <v>30</v>
      </c>
      <c r="B43" s="273">
        <v>6.7695336080584694</v>
      </c>
      <c r="C43" s="273">
        <v>4.5995820163479211</v>
      </c>
      <c r="D43" s="273">
        <v>5.6945739852657438</v>
      </c>
      <c r="E43" s="273">
        <v>6.1273507946573265</v>
      </c>
      <c r="F43" s="273">
        <v>6.5229999999999988</v>
      </c>
      <c r="G43" s="273">
        <v>0</v>
      </c>
      <c r="H43" s="273">
        <v>0</v>
      </c>
      <c r="I43" s="273">
        <v>0</v>
      </c>
      <c r="L43" s="12"/>
    </row>
    <row r="44" spans="1:12">
      <c r="A44" s="12" t="s">
        <v>31</v>
      </c>
      <c r="B44" s="273">
        <v>19433.671190167388</v>
      </c>
      <c r="C44" s="273">
        <v>19016.712756383371</v>
      </c>
      <c r="D44" s="273">
        <v>19950.935175480976</v>
      </c>
      <c r="E44" s="273">
        <v>20721.776537623107</v>
      </c>
      <c r="F44" s="273">
        <v>20953.937890600002</v>
      </c>
      <c r="G44" s="273">
        <v>0</v>
      </c>
      <c r="H44" s="273">
        <v>0</v>
      </c>
      <c r="I44" s="273">
        <v>0</v>
      </c>
      <c r="L44" s="12"/>
    </row>
    <row r="45" spans="1:12">
      <c r="A45" s="12" t="s">
        <v>32</v>
      </c>
      <c r="B45" s="273">
        <v>18216.505761293462</v>
      </c>
      <c r="C45" s="273">
        <v>17977.135058287167</v>
      </c>
      <c r="D45" s="273">
        <v>18429.933126578486</v>
      </c>
      <c r="E45" s="273">
        <v>18924.856068029927</v>
      </c>
      <c r="F45" s="273">
        <v>19050.281472529998</v>
      </c>
      <c r="G45" s="273">
        <v>0</v>
      </c>
      <c r="H45" s="273">
        <v>0</v>
      </c>
      <c r="I45" s="273">
        <v>0</v>
      </c>
      <c r="L45" s="12"/>
    </row>
    <row r="46" spans="1:12">
      <c r="A46" s="12" t="s">
        <v>215</v>
      </c>
      <c r="B46" s="273">
        <f t="shared" ref="B46:I46" si="10">+B47-B45-B44-B43-B42</f>
        <v>15817.069311497529</v>
      </c>
      <c r="C46" s="273">
        <f t="shared" si="10"/>
        <v>3895.5978957256939</v>
      </c>
      <c r="D46" s="273">
        <f t="shared" si="10"/>
        <v>3879.7590470311288</v>
      </c>
      <c r="E46" s="273">
        <f t="shared" si="10"/>
        <v>3892.102137960138</v>
      </c>
      <c r="F46" s="273">
        <f t="shared" si="10"/>
        <v>3922.9406633400031</v>
      </c>
      <c r="G46" s="273">
        <f t="shared" si="10"/>
        <v>0</v>
      </c>
      <c r="H46" s="273">
        <f t="shared" si="10"/>
        <v>0</v>
      </c>
      <c r="I46" s="273">
        <f t="shared" si="10"/>
        <v>0</v>
      </c>
      <c r="L46" s="12"/>
    </row>
    <row r="47" spans="1:12">
      <c r="A47" s="13" t="str">
        <f>HLOOKUP(INDICE!$F$2,Nombres!$C$3:$D$636,208,FALSE)</f>
        <v xml:space="preserve"> Recursos de clientes en gestión (**)</v>
      </c>
      <c r="B47" s="13">
        <v>55728.619851415497</v>
      </c>
      <c r="C47" s="13">
        <v>43736.540924291352</v>
      </c>
      <c r="D47" s="13">
        <v>46015.752163099722</v>
      </c>
      <c r="E47" s="13">
        <v>48845.842085056414</v>
      </c>
      <c r="F47" s="13">
        <v>50665.768176880003</v>
      </c>
      <c r="G47" s="13">
        <v>0</v>
      </c>
      <c r="H47" s="13">
        <v>0</v>
      </c>
      <c r="I47" s="13">
        <v>0</v>
      </c>
      <c r="L47" s="13"/>
    </row>
    <row r="48" spans="1:12">
      <c r="A48" s="14"/>
      <c r="B48" s="277">
        <f>+B42+B43+B44+B45+B46-B47</f>
        <v>0</v>
      </c>
      <c r="C48" s="277">
        <f t="shared" ref="C48:I48" si="11">+C42+C43+C44+C45+C46-C47</f>
        <v>0</v>
      </c>
      <c r="D48" s="277">
        <f t="shared" si="11"/>
        <v>0</v>
      </c>
      <c r="E48" s="277">
        <f t="shared" si="11"/>
        <v>0</v>
      </c>
      <c r="F48" s="277">
        <f t="shared" si="11"/>
        <v>0</v>
      </c>
      <c r="G48" s="277">
        <f t="shared" si="11"/>
        <v>0</v>
      </c>
      <c r="H48" s="277">
        <f t="shared" si="11"/>
        <v>0</v>
      </c>
      <c r="I48" s="277">
        <f t="shared" si="11"/>
        <v>0</v>
      </c>
    </row>
    <row r="51" spans="1:9">
      <c r="A51" s="15" t="str">
        <f>HLOOKUP(INDICE!$F$2,Nombres!$C$3:$D$636,206,FALSE)</f>
        <v>Incluye fondos de inversión, carteras gestionadas , fondos de pensiones y otros recursos fuera de balance.(*)</v>
      </c>
    </row>
    <row r="52" spans="1:9">
      <c r="A52" s="15" t="str">
        <f>HLOOKUP(INDICE!$F$2,Nombres!$C$3:$D$636,207,FALSE)</f>
        <v>No incluye las cesiones temporales de activos.  (**)</v>
      </c>
    </row>
    <row r="53" spans="1:9">
      <c r="A53" s="15"/>
    </row>
    <row r="54" spans="1:9">
      <c r="B54" s="290"/>
      <c r="C54" s="290"/>
      <c r="D54" s="290"/>
      <c r="E54" s="290"/>
      <c r="F54" s="290"/>
      <c r="G54" s="290"/>
      <c r="H54" s="290"/>
      <c r="I54" s="290"/>
    </row>
    <row r="55" spans="1:9">
      <c r="B55" s="277">
        <f>+B42-Argentina!B108-Argentina!B109-Argentina!B110-Argentina!B111</f>
        <v>0</v>
      </c>
      <c r="C55" s="277">
        <f>+C42-Argentina!C108-Argentina!C109-Argentina!C110-Argentina!C111</f>
        <v>2.2737367544323206E-13</v>
      </c>
      <c r="D55" s="277">
        <f>+D42-Argentina!D108-Argentina!D109-Argentina!D110-Argentina!D111</f>
        <v>-2.2737367544323206E-13</v>
      </c>
      <c r="E55" s="277">
        <f>+E42-Argentina!E108-Argentina!E109-Argentina!E110-Argentina!E111</f>
        <v>9.0949470177292824E-13</v>
      </c>
      <c r="F55" s="277">
        <f>+F42-Argentina!F108-Argentina!F109-Argentina!F110-Argentina!F111</f>
        <v>9.0949470177292824E-13</v>
      </c>
      <c r="G55" s="277">
        <f>+G42-Argentina!G108-Argentina!G109-Argentina!G110-Argentina!G111</f>
        <v>0</v>
      </c>
      <c r="H55" s="277">
        <f>+H42-Argentina!H108-Argentina!H109-Argentina!H110-Argentina!H111</f>
        <v>0</v>
      </c>
      <c r="I55" s="277">
        <f>+I42-Argentina!I108-Argentina!I109-Argentina!I110-Argentina!I111</f>
        <v>0</v>
      </c>
    </row>
    <row r="56" spans="1:9">
      <c r="B56" s="277">
        <f>+B43-Chile!B108-Chile!B109-Chile!B110-Chile!B111</f>
        <v>0</v>
      </c>
      <c r="C56" s="277">
        <f>+C43-Chile!C108-Chile!C109-Chile!C110-Chile!C111</f>
        <v>0</v>
      </c>
      <c r="D56" s="277">
        <f>+D43-Chile!D108-Chile!D109-Chile!D110-Chile!D111</f>
        <v>0</v>
      </c>
      <c r="E56" s="277">
        <f>+E43-Chile!E108-Chile!E109-Chile!E110-Chile!E111</f>
        <v>0</v>
      </c>
      <c r="F56" s="277">
        <f>+F43-Chile!F108-Chile!F109-Chile!F110-Chile!F111</f>
        <v>0</v>
      </c>
      <c r="G56" s="277">
        <f>+G43-Chile!G108-Chile!G109-Chile!G110-Chile!G111</f>
        <v>0</v>
      </c>
      <c r="H56" s="277">
        <f>+H43-Chile!H108-Chile!H109-Chile!H110-Chile!H111</f>
        <v>0</v>
      </c>
      <c r="I56" s="277">
        <f>+I43-Chile!I108-Chile!I109-Chile!I110-Chile!I111</f>
        <v>0</v>
      </c>
    </row>
    <row r="57" spans="1:9">
      <c r="B57" s="277">
        <f>+B44-Colombia!B108-Colombia!B109-Colombia!B110-Colombia!B111</f>
        <v>0</v>
      </c>
      <c r="C57" s="277">
        <f>+C44-Colombia!C108-Colombia!C109-Colombia!C110-Colombia!C111</f>
        <v>4.0927261579781771E-12</v>
      </c>
      <c r="D57" s="277">
        <f>+D44-Colombia!D108-Colombia!D109-Colombia!D110-Colombia!D111</f>
        <v>2.2737367544323206E-12</v>
      </c>
      <c r="E57" s="277">
        <f>+E44-Colombia!E108-Colombia!E109-Colombia!E110-Colombia!E111</f>
        <v>1.3642420526593924E-12</v>
      </c>
      <c r="F57" s="277">
        <f>+F44-Colombia!F108-Colombia!F109-Colombia!F110-Colombia!F111</f>
        <v>1.8189894035458565E-12</v>
      </c>
      <c r="G57" s="277">
        <f>+G44-Colombia!G108-Colombia!G109-Colombia!G110-Colombia!G111</f>
        <v>0</v>
      </c>
      <c r="H57" s="277">
        <f>+H44-Colombia!H108-Colombia!H109-Colombia!H110-Colombia!H111</f>
        <v>0</v>
      </c>
      <c r="I57" s="277">
        <f>+I44-Colombia!I108-Colombia!I109-Colombia!I110-Colombia!I111</f>
        <v>0</v>
      </c>
    </row>
    <row r="58" spans="1:9">
      <c r="B58" s="277">
        <f>+B45-Peru!B108-Peru!B109-Peru!B110-Peru!B111</f>
        <v>-4.0927261579781771E-12</v>
      </c>
      <c r="C58" s="277">
        <f>+C45-Peru!C108-Peru!C109-Peru!C110-Peru!C111</f>
        <v>3.1832314562052488E-12</v>
      </c>
      <c r="D58" s="277">
        <f>+D45-Peru!D108-Peru!D109-Peru!D110-Peru!D111</f>
        <v>2.2737367544323206E-13</v>
      </c>
      <c r="E58" s="277">
        <f>+E45-Peru!E108-Peru!E109-Peru!E110-Peru!E111</f>
        <v>-9.0949470177292824E-13</v>
      </c>
      <c r="F58" s="277">
        <f>+F45-Peru!F108-Peru!F109-Peru!F110-Peru!F111</f>
        <v>1.3642420526593924E-12</v>
      </c>
      <c r="G58" s="277">
        <f>+G45-Peru!G108-Peru!G109-Peru!G110-Peru!G111</f>
        <v>0</v>
      </c>
      <c r="H58" s="277">
        <f>+H45-Peru!H108-Peru!H109-Peru!H110-Peru!H111</f>
        <v>0</v>
      </c>
      <c r="I58" s="277">
        <f>+I45-Peru!I108-Peru!I109-Peru!I110-Peru!I111</f>
        <v>0</v>
      </c>
    </row>
    <row r="59" spans="1:9">
      <c r="B59" s="277">
        <f>+B47-AdS!B108-AdS!B109-AdS!B110-AdS!B111</f>
        <v>-1.8189894035458565E-12</v>
      </c>
      <c r="C59" s="277">
        <f>+C47-AdS!C108-AdS!C109-AdS!C110-AdS!C111</f>
        <v>4.5474735088646412E-12</v>
      </c>
      <c r="D59" s="277">
        <f>+D47-AdS!D108-AdS!D109-AdS!D110-AdS!D111</f>
        <v>5.4569682106375694E-12</v>
      </c>
      <c r="E59" s="277">
        <f>+E47-AdS!E108-AdS!E109-AdS!E110-AdS!E111</f>
        <v>2.7284841053187847E-12</v>
      </c>
      <c r="F59" s="277">
        <f>+F47-AdS!F108-AdS!F109-AdS!F110-AdS!F111</f>
        <v>1.1823431123048067E-11</v>
      </c>
      <c r="G59" s="277">
        <f>+G47-AdS!G108-AdS!G109-AdS!G110-AdS!G111</f>
        <v>0</v>
      </c>
      <c r="H59" s="277">
        <f>+H47-AdS!H108-AdS!H109-AdS!H110-AdS!H111</f>
        <v>0</v>
      </c>
      <c r="I59" s="277">
        <f>+I47-AdS!I108-AdS!I109-AdS!I110-AdS!I111</f>
        <v>0</v>
      </c>
    </row>
    <row r="60" spans="1:9">
      <c r="B60" s="290"/>
      <c r="C60" s="290"/>
      <c r="D60" s="290"/>
      <c r="E60" s="290"/>
      <c r="F60" s="290"/>
      <c r="G60" s="290"/>
      <c r="H60" s="290"/>
      <c r="I60" s="290"/>
    </row>
    <row r="61" spans="1:9">
      <c r="B61" s="290"/>
      <c r="C61" s="290"/>
      <c r="D61" s="290"/>
      <c r="E61" s="290"/>
      <c r="F61" s="290"/>
      <c r="G61" s="290"/>
      <c r="H61" s="290"/>
      <c r="I61" s="290"/>
    </row>
    <row r="62" spans="1:9">
      <c r="B62" s="290"/>
      <c r="C62" s="290"/>
      <c r="D62" s="290"/>
      <c r="E62" s="290"/>
      <c r="F62" s="290"/>
      <c r="G62" s="290"/>
      <c r="H62" s="290"/>
      <c r="I62" s="290"/>
    </row>
    <row r="63" spans="1:9">
      <c r="B63" s="290"/>
      <c r="C63" s="290"/>
      <c r="D63" s="290"/>
      <c r="E63" s="290"/>
      <c r="F63" s="290"/>
      <c r="G63" s="290"/>
      <c r="H63" s="290"/>
      <c r="I63" s="290"/>
    </row>
    <row r="64" spans="1:9">
      <c r="B64" s="290"/>
      <c r="C64" s="290"/>
      <c r="D64" s="290"/>
      <c r="E64" s="290"/>
      <c r="F64" s="290"/>
      <c r="G64" s="290"/>
      <c r="H64" s="290"/>
      <c r="I64" s="290"/>
    </row>
    <row r="65" spans="2:9">
      <c r="B65" s="290"/>
      <c r="C65" s="290"/>
      <c r="D65" s="290"/>
      <c r="E65" s="290"/>
      <c r="F65" s="290"/>
      <c r="G65" s="290"/>
      <c r="H65" s="290"/>
      <c r="I65" s="290"/>
    </row>
    <row r="1001" spans="1:1">
      <c r="A1001" s="268" t="s">
        <v>550</v>
      </c>
    </row>
  </sheetData>
  <mergeCells count="5">
    <mergeCell ref="B3:I3"/>
    <mergeCell ref="B12:I12"/>
    <mergeCell ref="B21:I21"/>
    <mergeCell ref="B30:I30"/>
    <mergeCell ref="B40:I40"/>
  </mergeCells>
  <conditionalFormatting sqref="B10:I10">
    <cfRule type="cellIs" dxfId="11" priority="9" operator="notBetween">
      <formula>0.5</formula>
      <formula>-0.5</formula>
    </cfRule>
  </conditionalFormatting>
  <conditionalFormatting sqref="B19:I19">
    <cfRule type="cellIs" dxfId="10" priority="8" operator="notBetween">
      <formula>0.5</formula>
      <formula>-0.5</formula>
    </cfRule>
  </conditionalFormatting>
  <conditionalFormatting sqref="B28:I28">
    <cfRule type="cellIs" dxfId="9" priority="7" operator="notBetween">
      <formula>0.5</formula>
      <formula>-0.5</formula>
    </cfRule>
  </conditionalFormatting>
  <conditionalFormatting sqref="B48:I48">
    <cfRule type="cellIs" dxfId="8" priority="6" operator="notBetween">
      <formula>0.5</formula>
      <formula>-0.5</formula>
    </cfRule>
  </conditionalFormatting>
  <conditionalFormatting sqref="B11">
    <cfRule type="cellIs" dxfId="7" priority="5" operator="notBetween">
      <formula>0.5</formula>
      <formula>-0.5</formula>
    </cfRule>
  </conditionalFormatting>
  <conditionalFormatting sqref="C11:I11">
    <cfRule type="cellIs" dxfId="6" priority="4" operator="notBetween">
      <formula>0.5</formula>
      <formula>-0.5</formula>
    </cfRule>
  </conditionalFormatting>
  <conditionalFormatting sqref="B20:I20">
    <cfRule type="cellIs" dxfId="5" priority="3" operator="notBetween">
      <formula>0.5</formula>
      <formula>-0.5</formula>
    </cfRule>
  </conditionalFormatting>
  <conditionalFormatting sqref="B29:I29">
    <cfRule type="cellIs" dxfId="4" priority="2" operator="notBetween">
      <formula>0.5</formula>
      <formula>-0.5</formula>
    </cfRule>
  </conditionalFormatting>
  <conditionalFormatting sqref="B55:I59">
    <cfRule type="cellIs" dxfId="3" priority="1" operator="notBetween">
      <formula>0.5</formula>
      <formula>-0.5</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97"/>
  <sheetViews>
    <sheetView showGridLines="0" zoomScale="90" zoomScaleNormal="90" workbookViewId="0">
      <selection activeCell="P38" sqref="P38"/>
    </sheetView>
  </sheetViews>
  <sheetFormatPr baseColWidth="10" defaultRowHeight="14.5"/>
  <cols>
    <col min="1" max="1" width="33.7265625" customWidth="1"/>
    <col min="7" max="9" width="0" hidden="1" customWidth="1"/>
  </cols>
  <sheetData>
    <row r="1" spans="1:9" ht="17">
      <c r="A1" s="291" t="str">
        <f>HLOOKUP(INDICE!$F$2,Nombres!$C$3:$D$636,242,FALSE)</f>
        <v>Carteras Coap</v>
      </c>
      <c r="B1" s="266"/>
      <c r="C1" s="266"/>
      <c r="D1" s="266"/>
      <c r="E1" s="266"/>
      <c r="F1" s="266"/>
      <c r="G1" s="266"/>
      <c r="H1" s="266"/>
      <c r="I1" s="266"/>
    </row>
    <row r="2" spans="1:9">
      <c r="A2" s="117" t="str">
        <f>HLOOKUP(INDICE!$F$2,Nombres!$C$3:$D$636,32,FALSE)</f>
        <v>(Millones de euros)</v>
      </c>
      <c r="B2" s="14"/>
      <c r="C2" s="14"/>
      <c r="D2" s="14"/>
      <c r="E2" s="14"/>
      <c r="F2" s="14"/>
      <c r="G2" s="268"/>
      <c r="H2" s="268"/>
      <c r="I2" s="268"/>
    </row>
    <row r="3" spans="1:9">
      <c r="A3" s="270"/>
      <c r="B3" s="14"/>
      <c r="C3" s="14"/>
      <c r="D3" s="14"/>
      <c r="E3" s="14"/>
      <c r="F3" s="14"/>
      <c r="G3" s="268"/>
      <c r="H3" s="268"/>
      <c r="I3" s="268"/>
    </row>
    <row r="4" spans="1:9">
      <c r="A4" s="271"/>
      <c r="B4" s="307" t="str">
        <f>HLOOKUP(INDICE!$F$2,Nombres!$C$3:$D$636,239,FALSE)</f>
        <v>Total Cartera COAP</v>
      </c>
      <c r="C4" s="306"/>
      <c r="D4" s="306"/>
      <c r="E4" s="306"/>
      <c r="F4" s="306"/>
      <c r="G4" s="306"/>
      <c r="H4" s="306"/>
      <c r="I4" s="306"/>
    </row>
    <row r="5" spans="1:9">
      <c r="A5" s="272"/>
      <c r="B5" s="156">
        <f>+España!B32</f>
        <v>45016</v>
      </c>
      <c r="C5" s="156">
        <f>+España!C32</f>
        <v>45107</v>
      </c>
      <c r="D5" s="156">
        <f>+España!D32</f>
        <v>45199</v>
      </c>
      <c r="E5" s="156">
        <f>+España!E32</f>
        <v>45291</v>
      </c>
      <c r="F5" s="156">
        <f>+España!F32</f>
        <v>45382</v>
      </c>
      <c r="G5" s="156">
        <f>+España!G32</f>
        <v>45473</v>
      </c>
      <c r="H5" s="156">
        <f>+España!H32</f>
        <v>45565</v>
      </c>
      <c r="I5" s="156">
        <f>+España!I32</f>
        <v>45657</v>
      </c>
    </row>
    <row r="6" spans="1:9">
      <c r="A6" s="292" t="str">
        <f>HLOOKUP(INDICE!$F$2,Nombres!$C$3:$D$636,230,FALSE)</f>
        <v>Grupo BBVA</v>
      </c>
      <c r="B6" s="276">
        <v>63661</v>
      </c>
      <c r="C6" s="276">
        <v>67469</v>
      </c>
      <c r="D6" s="276">
        <v>70563.600000000006</v>
      </c>
      <c r="E6" s="276">
        <v>70092</v>
      </c>
      <c r="F6" s="276">
        <v>73764</v>
      </c>
      <c r="G6" s="276">
        <v>0</v>
      </c>
      <c r="H6" s="276">
        <v>0</v>
      </c>
      <c r="I6" s="276">
        <v>0</v>
      </c>
    </row>
    <row r="7" spans="1:9">
      <c r="A7" s="293" t="str">
        <f>HLOOKUP(INDICE!$F$2,Nombres!$C$3:$D$636,231,FALSE)</f>
        <v>Balance Euro</v>
      </c>
      <c r="B7" s="273">
        <v>32852</v>
      </c>
      <c r="C7" s="273">
        <v>35494</v>
      </c>
      <c r="D7" s="273">
        <v>37958</v>
      </c>
      <c r="E7" s="273">
        <v>38720</v>
      </c>
      <c r="F7" s="273">
        <v>39189</v>
      </c>
      <c r="G7" s="273">
        <v>0</v>
      </c>
      <c r="H7" s="273">
        <v>0</v>
      </c>
      <c r="I7" s="273">
        <v>0</v>
      </c>
    </row>
    <row r="8" spans="1:9">
      <c r="A8" s="294" t="str">
        <f>HLOOKUP(INDICE!$F$2,Nombres!$C$3:$D$636,232,FALSE)</f>
        <v>España</v>
      </c>
      <c r="B8" s="273">
        <v>20119</v>
      </c>
      <c r="C8" s="273">
        <v>22482</v>
      </c>
      <c r="D8" s="273">
        <v>24953</v>
      </c>
      <c r="E8" s="273">
        <v>25941</v>
      </c>
      <c r="F8" s="273">
        <v>26822</v>
      </c>
      <c r="G8" s="273">
        <v>0</v>
      </c>
      <c r="H8" s="273">
        <v>0</v>
      </c>
      <c r="I8" s="273">
        <v>0</v>
      </c>
    </row>
    <row r="9" spans="1:9">
      <c r="A9" s="294" t="str">
        <f>HLOOKUP(INDICE!$F$2,Nombres!$C$3:$D$636,233,FALSE)</f>
        <v>Italia</v>
      </c>
      <c r="B9" s="273">
        <v>7386</v>
      </c>
      <c r="C9" s="273">
        <v>7375</v>
      </c>
      <c r="D9" s="273">
        <v>7365</v>
      </c>
      <c r="E9" s="273">
        <v>7352</v>
      </c>
      <c r="F9" s="273">
        <v>7039</v>
      </c>
      <c r="G9" s="273">
        <v>0</v>
      </c>
      <c r="H9" s="273">
        <v>0</v>
      </c>
      <c r="I9" s="273">
        <v>0</v>
      </c>
    </row>
    <row r="10" spans="1:9">
      <c r="A10" s="295" t="str">
        <f>HLOOKUP(INDICE!$F$2,Nombres!$C$3:$D$636,234,FALSE)</f>
        <v>Resto</v>
      </c>
      <c r="B10" s="296">
        <v>5347</v>
      </c>
      <c r="C10" s="296">
        <v>5637</v>
      </c>
      <c r="D10" s="296">
        <v>5640</v>
      </c>
      <c r="E10" s="296">
        <v>5427</v>
      </c>
      <c r="F10" s="296">
        <v>5328</v>
      </c>
      <c r="G10" s="296">
        <v>0</v>
      </c>
      <c r="H10" s="296">
        <v>0</v>
      </c>
      <c r="I10" s="296">
        <v>0</v>
      </c>
    </row>
    <row r="11" spans="1:9">
      <c r="A11" s="293" t="str">
        <f>HLOOKUP(INDICE!$F$2,Nombres!$C$3:$D$636,236,FALSE)</f>
        <v>Turquia</v>
      </c>
      <c r="B11" s="273">
        <v>10176</v>
      </c>
      <c r="C11" s="273">
        <v>8070</v>
      </c>
      <c r="D11" s="273">
        <v>8428</v>
      </c>
      <c r="E11" s="273">
        <v>8491</v>
      </c>
      <c r="F11" s="296">
        <v>9152</v>
      </c>
      <c r="G11" s="273">
        <v>0</v>
      </c>
      <c r="H11" s="296">
        <v>0</v>
      </c>
      <c r="I11" s="273">
        <v>0</v>
      </c>
    </row>
    <row r="12" spans="1:9">
      <c r="A12" s="293" t="str">
        <f>HLOOKUP(INDICE!$F$2,Nombres!$C$3:$D$636,237,FALSE)</f>
        <v>Mexico</v>
      </c>
      <c r="B12" s="273">
        <v>14381</v>
      </c>
      <c r="C12" s="273">
        <v>17258</v>
      </c>
      <c r="D12" s="273">
        <v>17862.599999999999</v>
      </c>
      <c r="E12" s="273">
        <v>18221</v>
      </c>
      <c r="F12" s="296">
        <v>20335</v>
      </c>
      <c r="G12" s="273">
        <v>0</v>
      </c>
      <c r="H12" s="296">
        <v>0</v>
      </c>
      <c r="I12" s="273">
        <v>0</v>
      </c>
    </row>
    <row r="13" spans="1:9">
      <c r="A13" s="293" t="str">
        <f>HLOOKUP(INDICE!$F$2,Nombres!$C$3:$D$636,238,FALSE)</f>
        <v>Amércia del Sur</v>
      </c>
      <c r="B13" s="273">
        <v>6252</v>
      </c>
      <c r="C13" s="273">
        <v>6647</v>
      </c>
      <c r="D13" s="273">
        <v>6315</v>
      </c>
      <c r="E13" s="273">
        <v>4660</v>
      </c>
      <c r="F13" s="296">
        <v>5088</v>
      </c>
      <c r="G13" s="273">
        <v>0</v>
      </c>
      <c r="H13" s="296">
        <v>0</v>
      </c>
      <c r="I13" s="273">
        <v>0</v>
      </c>
    </row>
    <row r="14" spans="1:9">
      <c r="A14" s="279"/>
      <c r="B14" s="297">
        <f t="shared" ref="B14:I14" si="0">+B6-B8-B9-B10-B11-B12-B13</f>
        <v>0</v>
      </c>
      <c r="C14" s="297">
        <f t="shared" si="0"/>
        <v>0</v>
      </c>
      <c r="D14" s="297">
        <f t="shared" si="0"/>
        <v>7.2759576141834259E-12</v>
      </c>
      <c r="E14" s="297">
        <f t="shared" si="0"/>
        <v>0</v>
      </c>
      <c r="F14" s="297">
        <f t="shared" si="0"/>
        <v>0</v>
      </c>
      <c r="G14" s="297">
        <f t="shared" si="0"/>
        <v>0</v>
      </c>
      <c r="H14" s="297">
        <f t="shared" si="0"/>
        <v>0</v>
      </c>
      <c r="I14" s="297">
        <f t="shared" si="0"/>
        <v>0</v>
      </c>
    </row>
    <row r="15" spans="1:9">
      <c r="A15" s="279"/>
      <c r="B15" s="297"/>
      <c r="C15" s="297"/>
      <c r="D15" s="297"/>
      <c r="E15" s="297"/>
      <c r="F15" s="297"/>
      <c r="G15" s="297"/>
      <c r="H15" s="297"/>
      <c r="I15" s="297"/>
    </row>
    <row r="16" spans="1:9">
      <c r="A16" s="279"/>
      <c r="B16" s="297"/>
      <c r="C16" s="297"/>
      <c r="D16" s="297"/>
      <c r="E16" s="297"/>
      <c r="F16" s="297"/>
      <c r="G16" s="297"/>
      <c r="H16" s="297"/>
      <c r="I16" s="297"/>
    </row>
    <row r="17" spans="1:9">
      <c r="A17" s="271"/>
      <c r="B17" s="307" t="str">
        <f>HLOOKUP(INDICE!$F$2,Nombres!$C$3:$D$636,240,FALSE)</f>
        <v>Cartera COAP a Coste Amortizado</v>
      </c>
      <c r="C17" s="306"/>
      <c r="D17" s="306"/>
      <c r="E17" s="306"/>
      <c r="F17" s="306"/>
      <c r="G17" s="306"/>
      <c r="H17" s="306"/>
      <c r="I17" s="306"/>
    </row>
    <row r="18" spans="1:9">
      <c r="A18" s="272"/>
      <c r="B18" s="156">
        <f t="shared" ref="B18:I18" si="1">+B$5</f>
        <v>45016</v>
      </c>
      <c r="C18" s="156">
        <f t="shared" si="1"/>
        <v>45107</v>
      </c>
      <c r="D18" s="156">
        <f t="shared" si="1"/>
        <v>45199</v>
      </c>
      <c r="E18" s="156">
        <f t="shared" si="1"/>
        <v>45291</v>
      </c>
      <c r="F18" s="156">
        <f t="shared" si="1"/>
        <v>45382</v>
      </c>
      <c r="G18" s="156">
        <f t="shared" si="1"/>
        <v>45473</v>
      </c>
      <c r="H18" s="156">
        <f t="shared" si="1"/>
        <v>45565</v>
      </c>
      <c r="I18" s="156">
        <f t="shared" si="1"/>
        <v>45657</v>
      </c>
    </row>
    <row r="19" spans="1:9">
      <c r="A19" s="292" t="str">
        <f>HLOOKUP(INDICE!$F$2,Nombres!$C$3:$D$636,230,FALSE)</f>
        <v>Grupo BBVA</v>
      </c>
      <c r="B19" s="276">
        <v>33011</v>
      </c>
      <c r="C19" s="276">
        <v>34894</v>
      </c>
      <c r="D19" s="276">
        <v>37641</v>
      </c>
      <c r="E19" s="276">
        <v>39149</v>
      </c>
      <c r="F19" s="276">
        <v>41610</v>
      </c>
      <c r="G19" s="276">
        <v>0</v>
      </c>
      <c r="H19" s="276">
        <v>0</v>
      </c>
      <c r="I19" s="276">
        <v>0</v>
      </c>
    </row>
    <row r="20" spans="1:9">
      <c r="A20" s="293" t="str">
        <f>HLOOKUP(INDICE!$F$2,Nombres!$C$3:$D$636,231,FALSE)</f>
        <v>Balance Euro</v>
      </c>
      <c r="B20" s="273">
        <v>19542</v>
      </c>
      <c r="C20" s="273">
        <v>21872</v>
      </c>
      <c r="D20" s="273">
        <v>24134</v>
      </c>
      <c r="E20" s="273">
        <v>26039</v>
      </c>
      <c r="F20" s="273">
        <v>27546</v>
      </c>
      <c r="G20" s="273">
        <v>0</v>
      </c>
      <c r="H20" s="273">
        <v>0</v>
      </c>
      <c r="I20" s="273">
        <v>0</v>
      </c>
    </row>
    <row r="21" spans="1:9">
      <c r="A21" s="294" t="str">
        <f>HLOOKUP(INDICE!$F$2,Nombres!$C$3:$D$636,232,FALSE)</f>
        <v>España</v>
      </c>
      <c r="B21" s="273">
        <v>14127</v>
      </c>
      <c r="C21" s="273">
        <v>15799</v>
      </c>
      <c r="D21" s="273">
        <v>17987</v>
      </c>
      <c r="E21" s="273">
        <v>19959</v>
      </c>
      <c r="F21" s="273">
        <v>21763</v>
      </c>
      <c r="G21" s="273">
        <v>0</v>
      </c>
      <c r="H21" s="273">
        <v>0</v>
      </c>
      <c r="I21" s="273">
        <v>0</v>
      </c>
    </row>
    <row r="22" spans="1:9">
      <c r="A22" s="294" t="str">
        <f>HLOOKUP(INDICE!$F$2,Nombres!$C$3:$D$636,233,FALSE)</f>
        <v>Italia</v>
      </c>
      <c r="B22" s="273">
        <v>3228</v>
      </c>
      <c r="C22" s="273">
        <v>3224</v>
      </c>
      <c r="D22" s="273">
        <v>3220</v>
      </c>
      <c r="E22" s="273">
        <v>3215</v>
      </c>
      <c r="F22" s="273">
        <v>2909</v>
      </c>
      <c r="G22" s="273">
        <v>0</v>
      </c>
      <c r="H22" s="273">
        <v>0</v>
      </c>
      <c r="I22" s="273">
        <v>0</v>
      </c>
    </row>
    <row r="23" spans="1:9">
      <c r="A23" s="295" t="str">
        <f>HLOOKUP(INDICE!$F$2,Nombres!$C$3:$D$636,234,FALSE)</f>
        <v>Resto</v>
      </c>
      <c r="B23" s="273">
        <v>2187</v>
      </c>
      <c r="C23" s="273">
        <v>2849</v>
      </c>
      <c r="D23" s="273">
        <v>2927</v>
      </c>
      <c r="E23" s="273">
        <v>2865</v>
      </c>
      <c r="F23" s="273">
        <v>2874</v>
      </c>
      <c r="G23" s="273">
        <v>0</v>
      </c>
      <c r="H23" s="273">
        <v>0</v>
      </c>
      <c r="I23" s="273">
        <v>0</v>
      </c>
    </row>
    <row r="24" spans="1:9">
      <c r="A24" s="293" t="str">
        <f>HLOOKUP(INDICE!$F$2,Nombres!$C$3:$D$636,236,FALSE)</f>
        <v>Turquia</v>
      </c>
      <c r="B24" s="273">
        <v>7019</v>
      </c>
      <c r="C24" s="273">
        <v>5655</v>
      </c>
      <c r="D24" s="273">
        <v>6226</v>
      </c>
      <c r="E24" s="273">
        <v>6219</v>
      </c>
      <c r="F24" s="273">
        <v>6815</v>
      </c>
      <c r="G24" s="273">
        <v>0</v>
      </c>
      <c r="H24" s="273">
        <v>0</v>
      </c>
      <c r="I24" s="273">
        <v>0</v>
      </c>
    </row>
    <row r="25" spans="1:9">
      <c r="A25" s="293" t="str">
        <f>HLOOKUP(INDICE!$F$2,Nombres!$C$3:$D$636,237,FALSE)</f>
        <v>Mexico</v>
      </c>
      <c r="B25" s="273">
        <v>6230</v>
      </c>
      <c r="C25" s="273">
        <v>7092</v>
      </c>
      <c r="D25" s="273">
        <v>7047</v>
      </c>
      <c r="E25" s="273">
        <v>6743</v>
      </c>
      <c r="F25" s="273">
        <v>7019</v>
      </c>
      <c r="G25" s="273">
        <v>0</v>
      </c>
      <c r="H25" s="273">
        <v>0</v>
      </c>
      <c r="I25" s="273">
        <v>0</v>
      </c>
    </row>
    <row r="26" spans="1:9">
      <c r="A26" s="293" t="str">
        <f>HLOOKUP(INDICE!$F$2,Nombres!$C$3:$D$636,238,FALSE)</f>
        <v>Amércia del Sur</v>
      </c>
      <c r="B26" s="273">
        <v>220</v>
      </c>
      <c r="C26" s="273">
        <v>275</v>
      </c>
      <c r="D26" s="273">
        <v>234</v>
      </c>
      <c r="E26" s="273">
        <v>148</v>
      </c>
      <c r="F26" s="273">
        <v>230</v>
      </c>
      <c r="G26" s="273">
        <v>0</v>
      </c>
      <c r="H26" s="273">
        <v>0</v>
      </c>
      <c r="I26" s="273">
        <v>0</v>
      </c>
    </row>
    <row r="27" spans="1:9">
      <c r="A27" s="279"/>
      <c r="B27" s="297">
        <f t="shared" ref="B27:I27" si="2">+B19-B21-B22-B23-B24-B25-B26</f>
        <v>0</v>
      </c>
      <c r="C27" s="297">
        <f t="shared" si="2"/>
        <v>0</v>
      </c>
      <c r="D27" s="297">
        <f t="shared" si="2"/>
        <v>0</v>
      </c>
      <c r="E27" s="297">
        <f t="shared" si="2"/>
        <v>0</v>
      </c>
      <c r="F27" s="297">
        <f t="shared" si="2"/>
        <v>0</v>
      </c>
      <c r="G27" s="297">
        <f t="shared" si="2"/>
        <v>0</v>
      </c>
      <c r="H27" s="297">
        <f t="shared" si="2"/>
        <v>0</v>
      </c>
      <c r="I27" s="297">
        <f t="shared" si="2"/>
        <v>0</v>
      </c>
    </row>
    <row r="28" spans="1:9">
      <c r="A28" s="279"/>
      <c r="B28" s="268"/>
      <c r="C28" s="268"/>
      <c r="D28" s="268"/>
      <c r="E28" s="268"/>
      <c r="F28" s="280"/>
      <c r="G28" s="280"/>
      <c r="H28" s="280"/>
      <c r="I28" s="280"/>
    </row>
    <row r="29" spans="1:9">
      <c r="A29" s="14"/>
      <c r="B29" s="280"/>
      <c r="C29" s="280"/>
      <c r="D29" s="280"/>
      <c r="E29" s="280"/>
      <c r="F29" s="280"/>
      <c r="G29" s="268"/>
      <c r="H29" s="268"/>
      <c r="I29" s="268"/>
    </row>
    <row r="30" spans="1:9">
      <c r="A30" s="271"/>
      <c r="B30" s="307" t="str">
        <f>HLOOKUP(INDICE!$F$2,Nombres!$C$3:$D$636,241,FALSE)</f>
        <v>Cartera COAP a Valor Razonable</v>
      </c>
      <c r="C30" s="306"/>
      <c r="D30" s="306"/>
      <c r="E30" s="306"/>
      <c r="F30" s="306"/>
      <c r="G30" s="306"/>
      <c r="H30" s="306"/>
      <c r="I30" s="306"/>
    </row>
    <row r="31" spans="1:9">
      <c r="A31" s="272"/>
      <c r="B31" s="156">
        <f t="shared" ref="B31:I31" si="3">+B$5</f>
        <v>45016</v>
      </c>
      <c r="C31" s="156">
        <f t="shared" si="3"/>
        <v>45107</v>
      </c>
      <c r="D31" s="156">
        <f t="shared" si="3"/>
        <v>45199</v>
      </c>
      <c r="E31" s="156">
        <f t="shared" si="3"/>
        <v>45291</v>
      </c>
      <c r="F31" s="156">
        <f t="shared" si="3"/>
        <v>45382</v>
      </c>
      <c r="G31" s="156">
        <f t="shared" si="3"/>
        <v>45473</v>
      </c>
      <c r="H31" s="156">
        <f t="shared" si="3"/>
        <v>45565</v>
      </c>
      <c r="I31" s="156">
        <f t="shared" si="3"/>
        <v>45657</v>
      </c>
    </row>
    <row r="32" spans="1:9">
      <c r="A32" s="292" t="str">
        <f>HLOOKUP(INDICE!$F$2,Nombres!$C$3:$D$636,230,FALSE)</f>
        <v>Grupo BBVA</v>
      </c>
      <c r="B32" s="276">
        <v>30650</v>
      </c>
      <c r="C32" s="276">
        <v>32575</v>
      </c>
      <c r="D32" s="276">
        <v>32922.6</v>
      </c>
      <c r="E32" s="276">
        <v>30943</v>
      </c>
      <c r="F32" s="276">
        <v>32153</v>
      </c>
      <c r="G32" s="276">
        <v>0</v>
      </c>
      <c r="H32" s="276">
        <v>0</v>
      </c>
      <c r="I32" s="276">
        <v>0</v>
      </c>
    </row>
    <row r="33" spans="1:9">
      <c r="A33" s="12" t="str">
        <f>HLOOKUP(INDICE!$F$2,Nombres!$C$3:$D$636,231,FALSE)</f>
        <v>Balance Euro</v>
      </c>
      <c r="B33" s="273">
        <v>13310</v>
      </c>
      <c r="C33" s="273">
        <v>13622</v>
      </c>
      <c r="D33" s="273">
        <v>13824</v>
      </c>
      <c r="E33" s="273">
        <v>12681</v>
      </c>
      <c r="F33" s="273">
        <v>11643</v>
      </c>
      <c r="G33" s="273">
        <v>0</v>
      </c>
      <c r="H33" s="273">
        <v>0</v>
      </c>
      <c r="I33" s="273">
        <v>0</v>
      </c>
    </row>
    <row r="34" spans="1:9">
      <c r="A34" s="295" t="str">
        <f>HLOOKUP(INDICE!$F$2,Nombres!$C$3:$D$636,232,FALSE)</f>
        <v>España</v>
      </c>
      <c r="B34" s="273">
        <v>5992</v>
      </c>
      <c r="C34" s="273">
        <v>6683</v>
      </c>
      <c r="D34" s="273">
        <v>6966</v>
      </c>
      <c r="E34" s="273">
        <v>5982</v>
      </c>
      <c r="F34" s="273">
        <v>5059</v>
      </c>
      <c r="G34" s="273">
        <v>0</v>
      </c>
      <c r="H34" s="273">
        <v>0</v>
      </c>
      <c r="I34" s="273">
        <v>0</v>
      </c>
    </row>
    <row r="35" spans="1:9">
      <c r="A35" s="295" t="str">
        <f>HLOOKUP(INDICE!$F$2,Nombres!$C$3:$D$636,233,FALSE)</f>
        <v>Italia</v>
      </c>
      <c r="B35" s="273">
        <v>4158</v>
      </c>
      <c r="C35" s="273">
        <v>4151</v>
      </c>
      <c r="D35" s="273">
        <v>4145</v>
      </c>
      <c r="E35" s="273">
        <v>4137</v>
      </c>
      <c r="F35" s="273">
        <v>4130</v>
      </c>
      <c r="G35" s="273">
        <v>0</v>
      </c>
      <c r="H35" s="273">
        <v>0</v>
      </c>
      <c r="I35" s="273">
        <v>0</v>
      </c>
    </row>
    <row r="36" spans="1:9">
      <c r="A36" s="295" t="str">
        <f>HLOOKUP(INDICE!$F$2,Nombres!$C$3:$D$636,234,FALSE)</f>
        <v>Resto</v>
      </c>
      <c r="B36" s="273">
        <v>3160</v>
      </c>
      <c r="C36" s="273">
        <v>2788</v>
      </c>
      <c r="D36" s="273">
        <v>2713</v>
      </c>
      <c r="E36" s="273">
        <v>2562</v>
      </c>
      <c r="F36" s="273">
        <v>2454</v>
      </c>
      <c r="G36" s="273">
        <v>0</v>
      </c>
      <c r="H36" s="273">
        <v>0</v>
      </c>
      <c r="I36" s="273">
        <v>0</v>
      </c>
    </row>
    <row r="37" spans="1:9">
      <c r="A37" s="12" t="str">
        <f>HLOOKUP(INDICE!$F$2,Nombres!$C$3:$D$636,236,FALSE)</f>
        <v>Turquia</v>
      </c>
      <c r="B37" s="273">
        <v>3157</v>
      </c>
      <c r="C37" s="273">
        <v>2415</v>
      </c>
      <c r="D37" s="273">
        <v>2202</v>
      </c>
      <c r="E37" s="273">
        <v>2272</v>
      </c>
      <c r="F37" s="273">
        <v>2337</v>
      </c>
      <c r="G37" s="273">
        <v>0</v>
      </c>
      <c r="H37" s="273">
        <v>0</v>
      </c>
      <c r="I37" s="273">
        <v>0</v>
      </c>
    </row>
    <row r="38" spans="1:9">
      <c r="A38" s="12" t="str">
        <f>HLOOKUP(INDICE!$F$2,Nombres!$C$3:$D$636,237,FALSE)</f>
        <v>Mexico</v>
      </c>
      <c r="B38" s="273">
        <v>8151</v>
      </c>
      <c r="C38" s="273">
        <v>10166</v>
      </c>
      <c r="D38" s="273">
        <v>10815.6</v>
      </c>
      <c r="E38" s="273">
        <v>11478</v>
      </c>
      <c r="F38" s="273">
        <v>13316</v>
      </c>
      <c r="G38" s="273">
        <v>0</v>
      </c>
      <c r="H38" s="273">
        <v>0</v>
      </c>
      <c r="I38" s="273">
        <v>0</v>
      </c>
    </row>
    <row r="39" spans="1:9">
      <c r="A39" s="12" t="str">
        <f>HLOOKUP(INDICE!$F$2,Nombres!$C$3:$D$636,238,FALSE)</f>
        <v>Amércia del Sur</v>
      </c>
      <c r="B39" s="273">
        <v>6032</v>
      </c>
      <c r="C39" s="273">
        <v>6372</v>
      </c>
      <c r="D39" s="273">
        <v>6081</v>
      </c>
      <c r="E39" s="273">
        <v>4512</v>
      </c>
      <c r="F39" s="273">
        <v>4857</v>
      </c>
      <c r="G39" s="273">
        <v>0</v>
      </c>
      <c r="H39" s="273">
        <v>0</v>
      </c>
      <c r="I39" s="273">
        <v>0</v>
      </c>
    </row>
    <row r="40" spans="1:9">
      <c r="B40" s="297">
        <f t="shared" ref="B40:I40" si="4">+B32-B34-B35-B36-B37-B38-B39</f>
        <v>0</v>
      </c>
      <c r="C40" s="297">
        <f t="shared" si="4"/>
        <v>0</v>
      </c>
      <c r="D40" s="297">
        <f t="shared" si="4"/>
        <v>0</v>
      </c>
      <c r="E40" s="297">
        <f t="shared" si="4"/>
        <v>0</v>
      </c>
      <c r="F40" s="297">
        <f t="shared" si="4"/>
        <v>0</v>
      </c>
      <c r="G40" s="297">
        <f t="shared" si="4"/>
        <v>0</v>
      </c>
      <c r="H40" s="297">
        <f t="shared" si="4"/>
        <v>0</v>
      </c>
      <c r="I40" s="297">
        <f t="shared" si="4"/>
        <v>0</v>
      </c>
    </row>
    <row r="997" spans="1:1">
      <c r="A997" s="268" t="s">
        <v>550</v>
      </c>
    </row>
  </sheetData>
  <mergeCells count="3">
    <mergeCell ref="B4:I4"/>
    <mergeCell ref="B17:I17"/>
    <mergeCell ref="B30:I30"/>
  </mergeCells>
  <conditionalFormatting sqref="B14:I16">
    <cfRule type="cellIs" dxfId="2" priority="3" operator="notBetween">
      <formula>1</formula>
      <formula>-1</formula>
    </cfRule>
  </conditionalFormatting>
  <conditionalFormatting sqref="B27:I27">
    <cfRule type="cellIs" dxfId="1" priority="2" operator="notBetween">
      <formula>1</formula>
      <formula>-1</formula>
    </cfRule>
  </conditionalFormatting>
  <conditionalFormatting sqref="B40:I40">
    <cfRule type="cellIs" dxfId="0" priority="1" operator="notBetween">
      <formula>1</formula>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95"/>
  <sheetViews>
    <sheetView showGridLines="0" zoomScale="90" zoomScaleNormal="90" workbookViewId="0">
      <selection activeCell="A41" sqref="A41"/>
    </sheetView>
  </sheetViews>
  <sheetFormatPr baseColWidth="10" defaultColWidth="11.453125" defaultRowHeight="14.5"/>
  <cols>
    <col min="1" max="1" width="79.1796875" style="63" customWidth="1"/>
    <col min="2" max="4" width="11.453125" style="63"/>
    <col min="5" max="5" width="10.453125" style="63" customWidth="1"/>
    <col min="6" max="6" width="11.453125" style="63"/>
    <col min="7" max="7" width="11.81640625" style="63" hidden="1" customWidth="1"/>
    <col min="8" max="9" width="11.54296875" style="63" hidden="1" customWidth="1"/>
    <col min="10" max="16384" width="11.453125" style="63"/>
  </cols>
  <sheetData>
    <row r="1" spans="1:9" ht="17">
      <c r="A1" s="61" t="str">
        <f>HLOOKUP(INDICE!$F$2,Nombres!$C$3:$D$636,91,FALSE)</f>
        <v>Grupo BBVA. Cuentas de resultados consolidadas</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301">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5641.9540000699999</v>
      </c>
      <c r="C8" s="25">
        <v>5767.6619999200002</v>
      </c>
      <c r="D8" s="25">
        <v>6433.7190000599994</v>
      </c>
      <c r="E8" s="73">
        <v>5245.8199999699991</v>
      </c>
      <c r="F8" s="25">
        <v>6511.8370000800005</v>
      </c>
      <c r="G8" s="74">
        <v>0</v>
      </c>
      <c r="H8" s="74">
        <v>0</v>
      </c>
      <c r="I8" s="74">
        <v>0</v>
      </c>
    </row>
    <row r="9" spans="1:9">
      <c r="A9" s="17" t="str">
        <f>HLOOKUP(INDICE!$F$2,Nombres!$C$3:$D$636,34,FALSE)</f>
        <v>Comisiones netas</v>
      </c>
      <c r="B9" s="75">
        <v>1439.0629999400001</v>
      </c>
      <c r="C9" s="75">
        <v>1469.8379999900003</v>
      </c>
      <c r="D9" s="75">
        <v>1684.7030000499999</v>
      </c>
      <c r="E9" s="76">
        <v>1694.2510000499997</v>
      </c>
      <c r="F9" s="75">
        <v>1886.51300012</v>
      </c>
      <c r="G9" s="75">
        <v>0</v>
      </c>
      <c r="H9" s="75">
        <v>0</v>
      </c>
      <c r="I9" s="75">
        <v>0</v>
      </c>
    </row>
    <row r="10" spans="1:9">
      <c r="A10" s="17" t="str">
        <f>HLOOKUP(INDICE!$F$2,Nombres!$C$3:$D$636,35,FALSE)</f>
        <v>Resultados de operaciones financieras</v>
      </c>
      <c r="B10" s="75">
        <v>438.14999996</v>
      </c>
      <c r="C10" s="75">
        <v>334.49600007999993</v>
      </c>
      <c r="D10" s="75">
        <v>657.60799995000002</v>
      </c>
      <c r="E10" s="76">
        <v>752.63300002000005</v>
      </c>
      <c r="F10" s="75">
        <v>772.18300000999989</v>
      </c>
      <c r="G10" s="75">
        <v>0</v>
      </c>
      <c r="H10" s="75">
        <v>0</v>
      </c>
      <c r="I10" s="75">
        <v>0</v>
      </c>
    </row>
    <row r="11" spans="1:9">
      <c r="A11" s="17" t="str">
        <f>HLOOKUP(INDICE!$F$2,Nombres!$C$3:$D$636,96,FALSE)</f>
        <v>Ingresos por dividendos</v>
      </c>
      <c r="B11" s="75">
        <v>4.2979999999999654</v>
      </c>
      <c r="C11" s="75">
        <v>68.851999999999947</v>
      </c>
      <c r="D11" s="75">
        <v>2.340000000000189</v>
      </c>
      <c r="E11" s="76">
        <v>42.600999999999758</v>
      </c>
      <c r="F11" s="75">
        <v>4.7469999999998933</v>
      </c>
      <c r="G11" s="75">
        <v>0</v>
      </c>
      <c r="H11" s="75">
        <v>0</v>
      </c>
      <c r="I11" s="75">
        <v>0</v>
      </c>
    </row>
    <row r="12" spans="1:9">
      <c r="A12" s="17" t="str">
        <f>HLOOKUP(INDICE!$F$2,Nombres!$C$3:$D$636,97,FALSE)</f>
        <v>Part. gananc/pdas inversiones en dependientes, neg conjunt y asoc</v>
      </c>
      <c r="B12" s="75">
        <v>6.2720000000000011</v>
      </c>
      <c r="C12" s="75">
        <v>8.11</v>
      </c>
      <c r="D12" s="75">
        <v>5.8759999999999986</v>
      </c>
      <c r="E12" s="76">
        <v>5.9849999999999994</v>
      </c>
      <c r="F12" s="75">
        <v>9.511000000000001</v>
      </c>
      <c r="G12" s="75">
        <v>0</v>
      </c>
      <c r="H12" s="75">
        <v>0</v>
      </c>
      <c r="I12" s="75">
        <v>0</v>
      </c>
    </row>
    <row r="13" spans="1:9">
      <c r="A13" s="17" t="str">
        <f>HLOOKUP(INDICE!$F$2,Nombres!$C$3:$D$636,98,FALSE)</f>
        <v>Otros productos/cargas de explotación</v>
      </c>
      <c r="B13" s="75">
        <v>-571.6110000000001</v>
      </c>
      <c r="C13" s="75">
        <v>-459.50500001000034</v>
      </c>
      <c r="D13" s="75">
        <v>-827.82099999999969</v>
      </c>
      <c r="E13" s="76">
        <v>-303.75699998000073</v>
      </c>
      <c r="F13" s="75">
        <v>-966.40100002999998</v>
      </c>
      <c r="G13" s="75">
        <v>0</v>
      </c>
      <c r="H13" s="75">
        <v>0</v>
      </c>
      <c r="I13" s="75">
        <v>0</v>
      </c>
    </row>
    <row r="14" spans="1:9">
      <c r="A14" s="25" t="str">
        <f>HLOOKUP(INDICE!$F$2,Nombres!$C$3:$D$636,37,FALSE)</f>
        <v>Margen bruto</v>
      </c>
      <c r="B14" s="25">
        <f>+SUM(B8:B13)</f>
        <v>6958.1259999699996</v>
      </c>
      <c r="C14" s="25">
        <f t="shared" ref="C14:I14" si="0">+SUM(C8:C13)</f>
        <v>7189.4529999799997</v>
      </c>
      <c r="D14" s="25">
        <f t="shared" si="0"/>
        <v>7956.4250000600005</v>
      </c>
      <c r="E14" s="73">
        <f t="shared" si="0"/>
        <v>7437.5330000599979</v>
      </c>
      <c r="F14" s="25">
        <f t="shared" si="0"/>
        <v>8218.3900001799993</v>
      </c>
      <c r="G14" s="74">
        <f t="shared" si="0"/>
        <v>0</v>
      </c>
      <c r="H14" s="74">
        <f t="shared" si="0"/>
        <v>0</v>
      </c>
      <c r="I14" s="74">
        <f t="shared" si="0"/>
        <v>0</v>
      </c>
    </row>
    <row r="15" spans="1:9">
      <c r="A15" s="17" t="str">
        <f>HLOOKUP(INDICE!$F$2,Nombres!$C$3:$D$636,38,FALSE)</f>
        <v>Gastos de explotación</v>
      </c>
      <c r="B15" s="75">
        <v>-3016.0949999200002</v>
      </c>
      <c r="C15" s="75">
        <v>-2922.1360002199999</v>
      </c>
      <c r="D15" s="75">
        <v>-3302.6369998199998</v>
      </c>
      <c r="E15" s="76">
        <v>-3067.5370000599996</v>
      </c>
      <c r="F15" s="75">
        <v>-3382.9820002199995</v>
      </c>
      <c r="G15" s="75">
        <v>0</v>
      </c>
      <c r="H15" s="75">
        <v>0</v>
      </c>
      <c r="I15" s="75">
        <v>0</v>
      </c>
    </row>
    <row r="16" spans="1:9">
      <c r="A16" s="17" t="str">
        <f>HLOOKUP(INDICE!$F$2,Nombres!$C$3:$D$636,39,FALSE)</f>
        <v xml:space="preserve">  Gastos de administración</v>
      </c>
      <c r="B16" s="75">
        <v>-2677.5749999099999</v>
      </c>
      <c r="C16" s="75">
        <v>-2584.8830002</v>
      </c>
      <c r="D16" s="75">
        <v>-2924.6279998199998</v>
      </c>
      <c r="E16" s="76">
        <v>-2718.2460000699998</v>
      </c>
      <c r="F16" s="75">
        <v>-3007.4900001700003</v>
      </c>
      <c r="G16" s="75">
        <v>0</v>
      </c>
      <c r="H16" s="75">
        <v>0</v>
      </c>
      <c r="I16" s="75">
        <v>0</v>
      </c>
    </row>
    <row r="17" spans="1:9">
      <c r="A17" s="77" t="str">
        <f>HLOOKUP(INDICE!$F$2,Nombres!$C$3:$D$636,40,FALSE)</f>
        <v xml:space="preserve">  Gastos de personal</v>
      </c>
      <c r="B17" s="75">
        <v>-1550.69199989</v>
      </c>
      <c r="C17" s="75">
        <v>-1530.4930001299999</v>
      </c>
      <c r="D17" s="75">
        <v>-1755.9859999400001</v>
      </c>
      <c r="E17" s="76">
        <v>-1693.1490000900001</v>
      </c>
      <c r="F17" s="75">
        <v>-1778.4030000600001</v>
      </c>
      <c r="G17" s="75">
        <v>0</v>
      </c>
      <c r="H17" s="75">
        <v>0</v>
      </c>
      <c r="I17" s="75">
        <v>0</v>
      </c>
    </row>
    <row r="18" spans="1:9">
      <c r="A18" s="77" t="str">
        <f>HLOOKUP(INDICE!$F$2,Nombres!$C$3:$D$636,41,FALSE)</f>
        <v xml:space="preserve">  Otros gastos de administración</v>
      </c>
      <c r="B18" s="75">
        <v>-1126.8830000200001</v>
      </c>
      <c r="C18" s="75">
        <v>-1054.3900000699998</v>
      </c>
      <c r="D18" s="75">
        <v>-1168.64199988</v>
      </c>
      <c r="E18" s="76">
        <v>-1025.09699998</v>
      </c>
      <c r="F18" s="75">
        <v>-1229.08700011</v>
      </c>
      <c r="G18" s="75">
        <v>0</v>
      </c>
      <c r="H18" s="75">
        <v>0</v>
      </c>
      <c r="I18" s="75">
        <v>0</v>
      </c>
    </row>
    <row r="19" spans="1:9">
      <c r="A19" s="17" t="str">
        <f>HLOOKUP(INDICE!$F$2,Nombres!$C$3:$D$636,42,FALSE)</f>
        <v xml:space="preserve">  Amortización</v>
      </c>
      <c r="B19" s="75">
        <v>-338.52000000999999</v>
      </c>
      <c r="C19" s="75">
        <v>-337.25300002</v>
      </c>
      <c r="D19" s="75">
        <v>-378.00900000000001</v>
      </c>
      <c r="E19" s="76">
        <v>-349.29099999000005</v>
      </c>
      <c r="F19" s="75">
        <v>-375.49200005</v>
      </c>
      <c r="G19" s="75">
        <v>0</v>
      </c>
      <c r="H19" s="75">
        <v>0</v>
      </c>
      <c r="I19" s="75">
        <v>0</v>
      </c>
    </row>
    <row r="20" spans="1:9">
      <c r="A20" s="25" t="str">
        <f>HLOOKUP(INDICE!$F$2,Nombres!$C$3:$D$636,43,FALSE)</f>
        <v>Margen neto</v>
      </c>
      <c r="B20" s="25">
        <f>+B14+B15</f>
        <v>3942.0310000499994</v>
      </c>
      <c r="C20" s="25">
        <f t="shared" ref="C20:I20" si="1">+C14+C15</f>
        <v>4267.3169997599998</v>
      </c>
      <c r="D20" s="25">
        <f t="shared" si="1"/>
        <v>4653.7880002400007</v>
      </c>
      <c r="E20" s="73">
        <f t="shared" si="1"/>
        <v>4369.9959999999983</v>
      </c>
      <c r="F20" s="25">
        <f t="shared" si="1"/>
        <v>4835.4079999599999</v>
      </c>
      <c r="G20" s="74">
        <f t="shared" si="1"/>
        <v>0</v>
      </c>
      <c r="H20" s="74">
        <f t="shared" si="1"/>
        <v>0</v>
      </c>
      <c r="I20" s="74">
        <f t="shared" si="1"/>
        <v>0</v>
      </c>
    </row>
    <row r="21" spans="1:9">
      <c r="A21" s="17" t="str">
        <f>HLOOKUP(INDICE!$F$2,Nombres!$C$3:$D$636,44,FALSE)</f>
        <v>Deterioro de activos financieros no valorados a valor razonable con cambios en resultados</v>
      </c>
      <c r="B21" s="75">
        <v>-968.0609999400001</v>
      </c>
      <c r="C21" s="75">
        <v>-1024.6990000800001</v>
      </c>
      <c r="D21" s="75">
        <v>-1210.3029999999999</v>
      </c>
      <c r="E21" s="76">
        <v>-1225.2169999600003</v>
      </c>
      <c r="F21" s="75">
        <v>-1360.51099995</v>
      </c>
      <c r="G21" s="75">
        <v>0</v>
      </c>
      <c r="H21" s="75">
        <v>0</v>
      </c>
      <c r="I21" s="75">
        <v>0</v>
      </c>
    </row>
    <row r="22" spans="1:9">
      <c r="A22" s="17" t="str">
        <f>HLOOKUP(INDICE!$F$2,Nombres!$C$3:$D$636,247,FALSE)</f>
        <v>Provisiones o reversión de provisiones</v>
      </c>
      <c r="B22" s="75">
        <v>-13.882999990000002</v>
      </c>
      <c r="C22" s="75">
        <v>-114.91100000000002</v>
      </c>
      <c r="D22" s="75">
        <v>-81.216000000000008</v>
      </c>
      <c r="E22" s="76">
        <v>-163.34000003000006</v>
      </c>
      <c r="F22" s="75">
        <v>-57.23599999000001</v>
      </c>
      <c r="G22" s="75">
        <v>0</v>
      </c>
      <c r="H22" s="75">
        <v>0</v>
      </c>
      <c r="I22" s="75">
        <v>0</v>
      </c>
    </row>
    <row r="23" spans="1:9">
      <c r="A23" s="17" t="str">
        <f>HLOOKUP(INDICE!$F$2,Nombres!$C$3:$D$636,248,FALSE)</f>
        <v>Otros resultados</v>
      </c>
      <c r="B23" s="75">
        <v>-15.885000000000003</v>
      </c>
      <c r="C23" s="75">
        <v>50.215000000000003</v>
      </c>
      <c r="D23" s="75">
        <v>2.2820000000000036</v>
      </c>
      <c r="E23" s="76">
        <v>-49.376000000000005</v>
      </c>
      <c r="F23" s="75">
        <v>39.989000000000004</v>
      </c>
      <c r="G23" s="75">
        <v>0</v>
      </c>
      <c r="H23" s="75">
        <v>0</v>
      </c>
      <c r="I23" s="75">
        <v>0</v>
      </c>
    </row>
    <row r="24" spans="1:9">
      <c r="A24" s="25" t="str">
        <f>HLOOKUP(INDICE!$F$2,Nombres!$C$3:$D$636,46,FALSE)</f>
        <v>Resultado antes de impuestos</v>
      </c>
      <c r="B24" s="74">
        <f t="shared" ref="B24:I24" si="2">+B20+B21+B22+B23</f>
        <v>2944.202000119999</v>
      </c>
      <c r="C24" s="74">
        <f t="shared" si="2"/>
        <v>3177.9219996799998</v>
      </c>
      <c r="D24" s="74">
        <f t="shared" si="2"/>
        <v>3364.551000240001</v>
      </c>
      <c r="E24" s="73">
        <f t="shared" si="2"/>
        <v>2932.0630000099982</v>
      </c>
      <c r="F24" s="74">
        <f t="shared" si="2"/>
        <v>3457.6500000199999</v>
      </c>
      <c r="G24" s="74">
        <f t="shared" si="2"/>
        <v>0</v>
      </c>
      <c r="H24" s="74">
        <f t="shared" si="2"/>
        <v>0</v>
      </c>
      <c r="I24" s="74">
        <f t="shared" si="2"/>
        <v>0</v>
      </c>
    </row>
    <row r="25" spans="1:9">
      <c r="A25" s="17" t="str">
        <f>HLOOKUP(INDICE!$F$2,Nombres!$C$3:$D$636,47,FALSE)</f>
        <v>Impuesto sobre beneficios</v>
      </c>
      <c r="B25" s="75">
        <v>-949.80000005000011</v>
      </c>
      <c r="C25" s="75">
        <v>-1028.2579999300001</v>
      </c>
      <c r="D25" s="75">
        <v>-1225.5919999600001</v>
      </c>
      <c r="E25" s="76">
        <v>-798.97100008000018</v>
      </c>
      <c r="F25" s="75">
        <v>-1151.05099995</v>
      </c>
      <c r="G25" s="75">
        <v>0</v>
      </c>
      <c r="H25" s="75">
        <v>0</v>
      </c>
      <c r="I25" s="75">
        <v>0</v>
      </c>
    </row>
    <row r="26" spans="1:9">
      <c r="A26" s="25" t="str">
        <f>HLOOKUP(INDICE!$F$2,Nombres!$C$3:$D$636,48,FALSE)</f>
        <v>Resultado del ejercicio</v>
      </c>
      <c r="B26" s="74">
        <f t="shared" ref="B26:I26" si="3">+B24+B25</f>
        <v>1994.4020000699988</v>
      </c>
      <c r="C26" s="74">
        <f t="shared" si="3"/>
        <v>2149.6639997499997</v>
      </c>
      <c r="D26" s="74">
        <f t="shared" si="3"/>
        <v>2138.959000280001</v>
      </c>
      <c r="E26" s="73">
        <f t="shared" si="3"/>
        <v>2133.0919999299981</v>
      </c>
      <c r="F26" s="74">
        <f t="shared" si="3"/>
        <v>2306.5990000699999</v>
      </c>
      <c r="G26" s="74">
        <f t="shared" si="3"/>
        <v>0</v>
      </c>
      <c r="H26" s="74">
        <f t="shared" si="3"/>
        <v>0</v>
      </c>
      <c r="I26" s="74">
        <f t="shared" si="3"/>
        <v>0</v>
      </c>
    </row>
    <row r="27" spans="1:9">
      <c r="A27" s="17" t="str">
        <f>HLOOKUP(INDICE!$F$2,Nombres!$C$3:$D$636,49,FALSE)</f>
        <v>Minoritarios</v>
      </c>
      <c r="B27" s="75">
        <v>-148.11299998999999</v>
      </c>
      <c r="C27" s="75">
        <v>-117.99200000999998</v>
      </c>
      <c r="D27" s="75">
        <v>-55.705999989999995</v>
      </c>
      <c r="E27" s="76">
        <v>-75.230000010000026</v>
      </c>
      <c r="F27" s="75">
        <v>-106.80799999999998</v>
      </c>
      <c r="G27" s="75">
        <v>0</v>
      </c>
      <c r="H27" s="75">
        <v>0</v>
      </c>
      <c r="I27" s="75">
        <v>0</v>
      </c>
    </row>
    <row r="28" spans="1:9">
      <c r="A28" s="19" t="str">
        <f>HLOOKUP(INDICE!$F$2,Nombres!$C$3:$D$636,305,FALSE)</f>
        <v>Resultado atribuido excluyendo impactos no recurrentes</v>
      </c>
      <c r="B28" s="19">
        <f>+B26+B27</f>
        <v>1846.2890000799989</v>
      </c>
      <c r="C28" s="19">
        <f t="shared" ref="C28:I28" si="4">+C26+C27</f>
        <v>2031.6719997399996</v>
      </c>
      <c r="D28" s="19">
        <f t="shared" si="4"/>
        <v>2083.2530002900012</v>
      </c>
      <c r="E28" s="19">
        <f t="shared" si="4"/>
        <v>2057.8619999199982</v>
      </c>
      <c r="F28" s="19">
        <f t="shared" si="4"/>
        <v>2199.7910000699999</v>
      </c>
      <c r="G28" s="19">
        <f t="shared" si="4"/>
        <v>0</v>
      </c>
      <c r="H28" s="19">
        <f t="shared" si="4"/>
        <v>0</v>
      </c>
      <c r="I28" s="19">
        <f t="shared" si="4"/>
        <v>0</v>
      </c>
    </row>
    <row r="29" spans="1:9">
      <c r="B29" s="78" t="e">
        <v>#REF!</v>
      </c>
      <c r="C29" s="78" t="e">
        <v>#REF!</v>
      </c>
      <c r="D29" s="78" t="e">
        <v>#REF!</v>
      </c>
      <c r="E29" s="78" t="e">
        <v>#REF!</v>
      </c>
      <c r="F29" s="78" t="e">
        <v>#REF!</v>
      </c>
      <c r="G29" s="78" t="e">
        <v>#REF!</v>
      </c>
      <c r="H29" s="78" t="e">
        <v>#REF!</v>
      </c>
      <c r="I29" s="78" t="e">
        <v>#REF!</v>
      </c>
    </row>
    <row r="30" spans="1:9" ht="22.5" customHeight="1">
      <c r="A30" s="17"/>
      <c r="B30" s="78">
        <v>0</v>
      </c>
      <c r="C30" s="78">
        <v>0</v>
      </c>
      <c r="D30" s="78">
        <v>0</v>
      </c>
      <c r="E30" s="78">
        <v>0</v>
      </c>
      <c r="F30" s="78">
        <v>0</v>
      </c>
      <c r="G30" s="78">
        <v>0</v>
      </c>
      <c r="H30" s="78">
        <v>0</v>
      </c>
      <c r="I30" s="78">
        <v>0</v>
      </c>
    </row>
    <row r="31" spans="1:9" ht="15" customHeight="1">
      <c r="A31" s="298"/>
      <c r="B31" s="298"/>
      <c r="C31" s="298"/>
      <c r="D31" s="298"/>
      <c r="E31" s="298"/>
      <c r="F31" s="298"/>
      <c r="G31" s="298"/>
      <c r="H31" s="298"/>
      <c r="I31" s="298"/>
    </row>
    <row r="32" spans="1:9" ht="15" customHeight="1">
      <c r="A32" s="298"/>
      <c r="B32" s="298"/>
      <c r="C32" s="298"/>
      <c r="D32" s="298"/>
      <c r="E32" s="298"/>
      <c r="F32" s="298"/>
      <c r="G32" s="298"/>
      <c r="H32" s="298"/>
      <c r="I32" s="298"/>
    </row>
    <row r="33" spans="1:9">
      <c r="A33" s="298"/>
      <c r="B33" s="298"/>
      <c r="C33" s="298"/>
      <c r="D33" s="298"/>
      <c r="E33" s="298"/>
      <c r="F33" s="298"/>
      <c r="G33" s="298"/>
      <c r="H33" s="298"/>
      <c r="I33" s="298"/>
    </row>
    <row r="34" spans="1:9">
      <c r="A34" s="17"/>
      <c r="B34" s="79"/>
      <c r="C34" s="79"/>
      <c r="D34" s="79"/>
      <c r="E34" s="79"/>
      <c r="F34" s="80"/>
      <c r="G34" s="79"/>
      <c r="H34" s="79"/>
      <c r="I34" s="79"/>
    </row>
    <row r="35" spans="1:9">
      <c r="B35" s="81"/>
      <c r="C35" s="81"/>
      <c r="D35" s="81"/>
      <c r="E35" s="81"/>
      <c r="F35" s="81"/>
      <c r="G35" s="81"/>
      <c r="H35" s="81"/>
      <c r="I35" s="81"/>
    </row>
    <row r="37" spans="1:9" ht="17">
      <c r="A37" s="65" t="str">
        <f>HLOOKUP(INDICE!$F$2,Nombres!$C$3:$D$636,31,FALSE)</f>
        <v xml:space="preserve">Cuenta de resultados  </v>
      </c>
      <c r="B37" s="66"/>
      <c r="C37" s="66"/>
      <c r="D37" s="66"/>
      <c r="E37" s="66"/>
      <c r="F37" s="66"/>
      <c r="G37" s="66"/>
      <c r="H37" s="66"/>
      <c r="I37" s="66"/>
    </row>
    <row r="38" spans="1:9">
      <c r="A38" s="67" t="str">
        <f>HLOOKUP(INDICE!$F$2,Nombres!$C$3:$D$636,73,FALSE)</f>
        <v>(Millones de euros constantes)</v>
      </c>
      <c r="B38" s="62"/>
      <c r="C38" s="68"/>
      <c r="D38" s="68"/>
      <c r="E38" s="68"/>
      <c r="F38" s="62"/>
      <c r="G38" s="62"/>
      <c r="H38" s="62"/>
      <c r="I38" s="62"/>
    </row>
    <row r="39" spans="1:9">
      <c r="A39" s="69"/>
      <c r="B39" s="62"/>
      <c r="C39" s="68"/>
      <c r="D39" s="68"/>
      <c r="E39" s="68"/>
      <c r="F39" s="62"/>
      <c r="G39" s="62"/>
      <c r="H39" s="62"/>
      <c r="I39" s="62"/>
    </row>
    <row r="40" spans="1:9">
      <c r="A40" s="70"/>
      <c r="B40" s="299">
        <f>+España!B6</f>
        <v>2023</v>
      </c>
      <c r="C40" s="299"/>
      <c r="D40" s="299"/>
      <c r="E40" s="300"/>
      <c r="F40" s="301">
        <f>+España!F6</f>
        <v>2024</v>
      </c>
      <c r="G40" s="299"/>
      <c r="H40" s="299"/>
      <c r="I40" s="299"/>
    </row>
    <row r="41" spans="1:9">
      <c r="A41" s="70"/>
      <c r="B41" s="71" t="str">
        <f>+España!B7</f>
        <v>1er Trim.</v>
      </c>
      <c r="C41" s="71" t="str">
        <f>+España!C7</f>
        <v>2º Trim.</v>
      </c>
      <c r="D41" s="71" t="str">
        <f>+España!D7</f>
        <v>3er Trim.</v>
      </c>
      <c r="E41" s="72" t="str">
        <f>+España!E7</f>
        <v>4º Trim.</v>
      </c>
      <c r="F41" s="71" t="str">
        <f>+España!F7</f>
        <v>1er Trim.</v>
      </c>
      <c r="G41" s="71" t="str">
        <f>+España!G7</f>
        <v>2º Trim.</v>
      </c>
      <c r="H41" s="71" t="str">
        <f>+España!H7</f>
        <v>3er Trim.</v>
      </c>
      <c r="I41" s="71" t="str">
        <f>+España!I7</f>
        <v>4º Trim.</v>
      </c>
    </row>
    <row r="42" spans="1:9">
      <c r="A42" s="25" t="str">
        <f>HLOOKUP(INDICE!$F$2,Nombres!$C$3:$D$636,33,FALSE)</f>
        <v>Margen de intereses</v>
      </c>
      <c r="B42" s="25">
        <v>5228.9756900234588</v>
      </c>
      <c r="C42" s="25">
        <v>5604.2306664998741</v>
      </c>
      <c r="D42" s="25">
        <v>6292.1069781248571</v>
      </c>
      <c r="E42" s="73">
        <v>6285.5558746799124</v>
      </c>
      <c r="F42" s="25">
        <v>6511.8370000800005</v>
      </c>
      <c r="G42" s="74">
        <v>0</v>
      </c>
      <c r="H42" s="74">
        <v>0</v>
      </c>
      <c r="I42" s="74">
        <v>0</v>
      </c>
    </row>
    <row r="43" spans="1:9">
      <c r="A43" s="17" t="str">
        <f>HLOOKUP(INDICE!$F$2,Nombres!$C$3:$D$636,34,FALSE)</f>
        <v>Comisiones netas</v>
      </c>
      <c r="B43" s="75">
        <v>1381.8637716721269</v>
      </c>
      <c r="C43" s="75">
        <v>1460.6683028631289</v>
      </c>
      <c r="D43" s="75">
        <v>1653.9123193561745</v>
      </c>
      <c r="E43" s="76">
        <v>1823.2451398503949</v>
      </c>
      <c r="F43" s="75">
        <v>1886.51300012</v>
      </c>
      <c r="G43" s="75">
        <v>0</v>
      </c>
      <c r="H43" s="75">
        <v>0</v>
      </c>
      <c r="I43" s="75">
        <v>0</v>
      </c>
    </row>
    <row r="44" spans="1:9">
      <c r="A44" s="17" t="str">
        <f>HLOOKUP(INDICE!$F$2,Nombres!$C$3:$D$636,35,FALSE)</f>
        <v>Resultados de operaciones financieras</v>
      </c>
      <c r="B44" s="75">
        <v>344.82820058851667</v>
      </c>
      <c r="C44" s="75">
        <v>324.85419179621346</v>
      </c>
      <c r="D44" s="75">
        <v>598.15020730906258</v>
      </c>
      <c r="E44" s="76">
        <v>885.58851667718955</v>
      </c>
      <c r="F44" s="75">
        <v>772.18300001</v>
      </c>
      <c r="G44" s="75">
        <v>0</v>
      </c>
      <c r="H44" s="75">
        <v>0</v>
      </c>
      <c r="I44" s="75">
        <v>0</v>
      </c>
    </row>
    <row r="45" spans="1:9">
      <c r="A45" s="17" t="str">
        <f>HLOOKUP(INDICE!$F$2,Nombres!$C$3:$D$636,96,FALSE)</f>
        <v>Ingresos por dividendos</v>
      </c>
      <c r="B45" s="75">
        <v>4.5181473550082147</v>
      </c>
      <c r="C45" s="75">
        <v>68.689410422989312</v>
      </c>
      <c r="D45" s="75">
        <v>1.9077896424370413</v>
      </c>
      <c r="E45" s="76">
        <v>43.675352272300913</v>
      </c>
      <c r="F45" s="75">
        <v>4.7469999999998933</v>
      </c>
      <c r="G45" s="75">
        <v>0</v>
      </c>
      <c r="H45" s="75">
        <v>0</v>
      </c>
      <c r="I45" s="75">
        <v>0</v>
      </c>
    </row>
    <row r="46" spans="1:9">
      <c r="A46" s="17" t="str">
        <f>HLOOKUP(INDICE!$F$2,Nombres!$C$3:$D$636,97,FALSE)</f>
        <v>Part. gananc/pdas inversiones en dependientes, neg conjunt y asoc</v>
      </c>
      <c r="B46" s="75">
        <v>7.2103713000053062</v>
      </c>
      <c r="C46" s="75">
        <v>7.7557862761921772</v>
      </c>
      <c r="D46" s="75">
        <v>6.0468975712407964</v>
      </c>
      <c r="E46" s="76">
        <v>5.6155556207753472</v>
      </c>
      <c r="F46" s="75">
        <v>9.5110000000000028</v>
      </c>
      <c r="G46" s="75">
        <v>0</v>
      </c>
      <c r="H46" s="75">
        <v>0</v>
      </c>
      <c r="I46" s="75">
        <v>0</v>
      </c>
    </row>
    <row r="47" spans="1:9">
      <c r="A47" s="17" t="str">
        <f>HLOOKUP(INDICE!$F$2,Nombres!$C$3:$D$636,98,FALSE)</f>
        <v>Otros productos/cargas de explotación</v>
      </c>
      <c r="B47" s="75">
        <v>-694.49207301658464</v>
      </c>
      <c r="C47" s="75">
        <v>-332.86822950659382</v>
      </c>
      <c r="D47" s="75">
        <v>-894.39642322709096</v>
      </c>
      <c r="E47" s="76">
        <v>-306.07815566757245</v>
      </c>
      <c r="F47" s="75">
        <v>-966.40100002999975</v>
      </c>
      <c r="G47" s="75">
        <v>0</v>
      </c>
      <c r="H47" s="75">
        <v>0</v>
      </c>
      <c r="I47" s="75">
        <v>0</v>
      </c>
    </row>
    <row r="48" spans="1:9">
      <c r="A48" s="25" t="str">
        <f>HLOOKUP(INDICE!$F$2,Nombres!$C$3:$D$636,37,FALSE)</f>
        <v>Margen bruto</v>
      </c>
      <c r="B48" s="25">
        <f>+SUM(B42:B47)</f>
        <v>6272.9041079225308</v>
      </c>
      <c r="C48" s="25">
        <f t="shared" ref="C48:I48" si="5">+SUM(C42:C47)</f>
        <v>7133.3301283518049</v>
      </c>
      <c r="D48" s="25">
        <f t="shared" si="5"/>
        <v>7657.7277687766809</v>
      </c>
      <c r="E48" s="73">
        <f t="shared" si="5"/>
        <v>8737.6022834330015</v>
      </c>
      <c r="F48" s="25">
        <f t="shared" si="5"/>
        <v>8218.3900001799993</v>
      </c>
      <c r="G48" s="74">
        <f t="shared" si="5"/>
        <v>0</v>
      </c>
      <c r="H48" s="74">
        <f t="shared" si="5"/>
        <v>0</v>
      </c>
      <c r="I48" s="74">
        <f t="shared" si="5"/>
        <v>0</v>
      </c>
    </row>
    <row r="49" spans="1:9">
      <c r="A49" s="17" t="str">
        <f>HLOOKUP(INDICE!$F$2,Nombres!$C$3:$D$636,38,FALSE)</f>
        <v>Gastos de explotación</v>
      </c>
      <c r="B49" s="75">
        <v>-2831.8816149269956</v>
      </c>
      <c r="C49" s="75">
        <v>-2918.0342906912156</v>
      </c>
      <c r="D49" s="75">
        <v>-3231.4843055134284</v>
      </c>
      <c r="E49" s="76">
        <v>-3434.7912466556718</v>
      </c>
      <c r="F49" s="75">
        <v>-3382.9820002199999</v>
      </c>
      <c r="G49" s="75">
        <v>0</v>
      </c>
      <c r="H49" s="75">
        <v>0</v>
      </c>
      <c r="I49" s="75">
        <v>0</v>
      </c>
    </row>
    <row r="50" spans="1:9">
      <c r="A50" s="17" t="str">
        <f>HLOOKUP(INDICE!$F$2,Nombres!$C$3:$D$636,39,FALSE)</f>
        <v xml:space="preserve">  Gastos de administración</v>
      </c>
      <c r="B50" s="75">
        <v>-2494.2013400572087</v>
      </c>
      <c r="C50" s="75">
        <v>-2575.7856596565266</v>
      </c>
      <c r="D50" s="75">
        <v>-2855.1715692006974</v>
      </c>
      <c r="E50" s="76">
        <v>-3073.6869586575344</v>
      </c>
      <c r="F50" s="75">
        <v>-3007.4900001699998</v>
      </c>
      <c r="G50" s="75">
        <v>0</v>
      </c>
      <c r="H50" s="75">
        <v>0</v>
      </c>
      <c r="I50" s="75">
        <v>0</v>
      </c>
    </row>
    <row r="51" spans="1:9">
      <c r="A51" s="77" t="str">
        <f>HLOOKUP(INDICE!$F$2,Nombres!$C$3:$D$636,40,FALSE)</f>
        <v xml:space="preserve">  Gastos de personal</v>
      </c>
      <c r="B51" s="75">
        <v>-1447.0592558031224</v>
      </c>
      <c r="C51" s="75">
        <v>-1524.8707539950146</v>
      </c>
      <c r="D51" s="75">
        <v>-1715.7559496110164</v>
      </c>
      <c r="E51" s="76">
        <v>-1884.3133977707625</v>
      </c>
      <c r="F51" s="75">
        <v>-1778.4030000600001</v>
      </c>
      <c r="G51" s="75">
        <v>0</v>
      </c>
      <c r="H51" s="75">
        <v>0</v>
      </c>
      <c r="I51" s="75">
        <v>0</v>
      </c>
    </row>
    <row r="52" spans="1:9">
      <c r="A52" s="77" t="str">
        <f>HLOOKUP(INDICE!$F$2,Nombres!$C$3:$D$636,41,FALSE)</f>
        <v xml:space="preserve">  Otros gastos de administración</v>
      </c>
      <c r="B52" s="75">
        <v>-1047.1420842540861</v>
      </c>
      <c r="C52" s="75">
        <v>-1050.9149056615115</v>
      </c>
      <c r="D52" s="75">
        <v>-1139.4156195896815</v>
      </c>
      <c r="E52" s="76">
        <v>-1189.3735608867723</v>
      </c>
      <c r="F52" s="75">
        <v>-1229.0870001100002</v>
      </c>
      <c r="G52" s="75">
        <v>0</v>
      </c>
      <c r="H52" s="75">
        <v>0</v>
      </c>
      <c r="I52" s="75">
        <v>0</v>
      </c>
    </row>
    <row r="53" spans="1:9">
      <c r="A53" s="17" t="str">
        <f>HLOOKUP(INDICE!$F$2,Nombres!$C$3:$D$636,42,FALSE)</f>
        <v xml:space="preserve">  Amortización</v>
      </c>
      <c r="B53" s="75">
        <v>-337.68027486978735</v>
      </c>
      <c r="C53" s="75">
        <v>-342.24863103468925</v>
      </c>
      <c r="D53" s="75">
        <v>-376.31273631273086</v>
      </c>
      <c r="E53" s="76">
        <v>-361.10428799813661</v>
      </c>
      <c r="F53" s="75">
        <v>-375.49200005</v>
      </c>
      <c r="G53" s="75">
        <v>0</v>
      </c>
      <c r="H53" s="75">
        <v>0</v>
      </c>
      <c r="I53" s="75">
        <v>0</v>
      </c>
    </row>
    <row r="54" spans="1:9">
      <c r="A54" s="25" t="str">
        <f>HLOOKUP(INDICE!$F$2,Nombres!$C$3:$D$636,43,FALSE)</f>
        <v>Margen neto</v>
      </c>
      <c r="B54" s="25">
        <f>+B48+B49</f>
        <v>3441.0224929955352</v>
      </c>
      <c r="C54" s="25">
        <f t="shared" ref="C54:I54" si="6">+C48+C49</f>
        <v>4215.2958376605893</v>
      </c>
      <c r="D54" s="25">
        <f t="shared" si="6"/>
        <v>4426.2434632632521</v>
      </c>
      <c r="E54" s="73">
        <f t="shared" si="6"/>
        <v>5302.8110367773297</v>
      </c>
      <c r="F54" s="25">
        <f t="shared" si="6"/>
        <v>4835.4079999599999</v>
      </c>
      <c r="G54" s="74">
        <f t="shared" si="6"/>
        <v>0</v>
      </c>
      <c r="H54" s="74">
        <f t="shared" si="6"/>
        <v>0</v>
      </c>
      <c r="I54" s="74">
        <f t="shared" si="6"/>
        <v>0</v>
      </c>
    </row>
    <row r="55" spans="1:9">
      <c r="A55" s="17" t="str">
        <f>HLOOKUP(INDICE!$F$2,Nombres!$C$3:$D$636,44,FALSE)</f>
        <v>Deterioro de activos financieros no valorados a valor razonable con cambios en resultados</v>
      </c>
      <c r="B55" s="75">
        <v>-966.9641864345765</v>
      </c>
      <c r="C55" s="75">
        <v>-1025.1853050216487</v>
      </c>
      <c r="D55" s="75">
        <v>-1227.5288360090899</v>
      </c>
      <c r="E55" s="76">
        <v>-1323.0300044483836</v>
      </c>
      <c r="F55" s="75">
        <v>-1360.51099995</v>
      </c>
      <c r="G55" s="75">
        <v>0</v>
      </c>
      <c r="H55" s="75">
        <v>0</v>
      </c>
      <c r="I55" s="75">
        <v>0</v>
      </c>
    </row>
    <row r="56" spans="1:9">
      <c r="A56" s="17" t="str">
        <f>HLOOKUP(INDICE!$F$2,Nombres!$C$3:$D$636,247,FALSE)</f>
        <v>Provisiones o reversión de provisiones</v>
      </c>
      <c r="B56" s="75">
        <v>-10.254954522269365</v>
      </c>
      <c r="C56" s="75">
        <v>-99.715470530839767</v>
      </c>
      <c r="D56" s="75">
        <v>-80.180719959120239</v>
      </c>
      <c r="E56" s="76">
        <v>-181.19754201950889</v>
      </c>
      <c r="F56" s="75">
        <v>-57.235999990000018</v>
      </c>
      <c r="G56" s="75">
        <v>0</v>
      </c>
      <c r="H56" s="75">
        <v>0</v>
      </c>
      <c r="I56" s="75">
        <v>0</v>
      </c>
    </row>
    <row r="57" spans="1:9">
      <c r="A57" s="17" t="str">
        <f>HLOOKUP(INDICE!$F$2,Nombres!$C$3:$D$636,248,FALSE)</f>
        <v>Otros resultados</v>
      </c>
      <c r="B57" s="75">
        <v>-15.461618490786734</v>
      </c>
      <c r="C57" s="75">
        <v>52.233155689701505</v>
      </c>
      <c r="D57" s="75">
        <v>2.0851143308922424</v>
      </c>
      <c r="E57" s="76">
        <v>-48.205905824937346</v>
      </c>
      <c r="F57" s="75">
        <v>39.988999999999997</v>
      </c>
      <c r="G57" s="75">
        <v>0</v>
      </c>
      <c r="H57" s="75">
        <v>0</v>
      </c>
      <c r="I57" s="75">
        <v>0</v>
      </c>
    </row>
    <row r="58" spans="1:9">
      <c r="A58" s="25" t="str">
        <f>HLOOKUP(INDICE!$F$2,Nombres!$C$3:$D$636,46,FALSE)</f>
        <v>Resultado antes de impuestos</v>
      </c>
      <c r="B58" s="74">
        <f t="shared" ref="B58:I58" si="7">+B54+B55+B56+B57</f>
        <v>2448.341733547903</v>
      </c>
      <c r="C58" s="74">
        <f t="shared" si="7"/>
        <v>3142.6282177978023</v>
      </c>
      <c r="D58" s="74">
        <f t="shared" si="7"/>
        <v>3120.6190216259342</v>
      </c>
      <c r="E58" s="73">
        <f t="shared" si="7"/>
        <v>3750.3775844844995</v>
      </c>
      <c r="F58" s="74">
        <f t="shared" si="7"/>
        <v>3457.6500000199999</v>
      </c>
      <c r="G58" s="74">
        <f t="shared" si="7"/>
        <v>0</v>
      </c>
      <c r="H58" s="74">
        <f t="shared" si="7"/>
        <v>0</v>
      </c>
      <c r="I58" s="74">
        <f t="shared" si="7"/>
        <v>0</v>
      </c>
    </row>
    <row r="59" spans="1:9">
      <c r="A59" s="17" t="str">
        <f>HLOOKUP(INDICE!$F$2,Nombres!$C$3:$D$636,47,FALSE)</f>
        <v>Impuesto sobre beneficios</v>
      </c>
      <c r="B59" s="75">
        <v>-804.99550002071021</v>
      </c>
      <c r="C59" s="75">
        <v>-1000.8403704909115</v>
      </c>
      <c r="D59" s="75">
        <v>-1145.1156695075665</v>
      </c>
      <c r="E59" s="76">
        <v>-1060.6454099142361</v>
      </c>
      <c r="F59" s="75">
        <v>-1151.05099995</v>
      </c>
      <c r="G59" s="75">
        <v>0</v>
      </c>
      <c r="H59" s="75">
        <v>0</v>
      </c>
      <c r="I59" s="75">
        <v>0</v>
      </c>
    </row>
    <row r="60" spans="1:9">
      <c r="A60" s="25" t="str">
        <f>HLOOKUP(INDICE!$F$2,Nombres!$C$3:$D$636,48,FALSE)</f>
        <v>Resultado del ejercicio</v>
      </c>
      <c r="B60" s="74">
        <f t="shared" ref="B60:I60" si="8">+B58+B59</f>
        <v>1643.3462335271929</v>
      </c>
      <c r="C60" s="74">
        <f t="shared" si="8"/>
        <v>2141.7878473068909</v>
      </c>
      <c r="D60" s="74">
        <f t="shared" si="8"/>
        <v>1975.5033521183677</v>
      </c>
      <c r="E60" s="73">
        <f t="shared" si="8"/>
        <v>2689.7321745702634</v>
      </c>
      <c r="F60" s="74">
        <f t="shared" si="8"/>
        <v>2306.5990000699999</v>
      </c>
      <c r="G60" s="74">
        <f t="shared" si="8"/>
        <v>0</v>
      </c>
      <c r="H60" s="74">
        <f t="shared" si="8"/>
        <v>0</v>
      </c>
      <c r="I60" s="74">
        <f t="shared" si="8"/>
        <v>0</v>
      </c>
    </row>
    <row r="61" spans="1:9">
      <c r="A61" s="17" t="str">
        <f>HLOOKUP(INDICE!$F$2,Nombres!$C$3:$D$636,49,FALSE)</f>
        <v>Minoritarios</v>
      </c>
      <c r="B61" s="75">
        <v>-50.598169704289084</v>
      </c>
      <c r="C61" s="75">
        <v>-77.126726488224193</v>
      </c>
      <c r="D61" s="75">
        <v>-20.724787151786451</v>
      </c>
      <c r="E61" s="76">
        <v>-213.58133459982719</v>
      </c>
      <c r="F61" s="75">
        <v>-106.80799999999998</v>
      </c>
      <c r="G61" s="75">
        <v>0</v>
      </c>
      <c r="H61" s="75">
        <v>0</v>
      </c>
      <c r="I61" s="75">
        <v>0</v>
      </c>
    </row>
    <row r="62" spans="1:9">
      <c r="A62" s="19" t="str">
        <f>HLOOKUP(INDICE!$F$2,Nombres!$C$3:$D$636,305,FALSE)</f>
        <v>Resultado atribuido excluyendo impactos no recurrentes</v>
      </c>
      <c r="B62" s="19">
        <f>+B60+B61</f>
        <v>1592.7480638229038</v>
      </c>
      <c r="C62" s="19">
        <f t="shared" ref="C62:I62" si="9">+C60+C61</f>
        <v>2064.6611208186669</v>
      </c>
      <c r="D62" s="19">
        <f t="shared" si="9"/>
        <v>1954.7785649665814</v>
      </c>
      <c r="E62" s="19">
        <f t="shared" si="9"/>
        <v>2476.1508399704362</v>
      </c>
      <c r="F62" s="19">
        <f t="shared" si="9"/>
        <v>2199.7910000699999</v>
      </c>
      <c r="G62" s="19">
        <f t="shared" si="9"/>
        <v>0</v>
      </c>
      <c r="H62" s="19">
        <f t="shared" si="9"/>
        <v>0</v>
      </c>
      <c r="I62" s="19">
        <f t="shared" si="9"/>
        <v>0</v>
      </c>
    </row>
    <row r="63" spans="1:9">
      <c r="A63" s="17"/>
      <c r="B63" s="78">
        <v>0</v>
      </c>
      <c r="C63" s="78">
        <v>3.637978807091713E-12</v>
      </c>
      <c r="D63" s="78">
        <v>0</v>
      </c>
      <c r="E63" s="78">
        <v>0</v>
      </c>
      <c r="F63" s="78">
        <v>0</v>
      </c>
      <c r="G63" s="78">
        <v>0</v>
      </c>
      <c r="H63" s="78">
        <v>0</v>
      </c>
      <c r="I63" s="78">
        <v>0</v>
      </c>
    </row>
    <row r="64" spans="1:9" ht="12.75" customHeight="1">
      <c r="A64" s="28"/>
      <c r="B64" s="78" t="e">
        <v>#REF!</v>
      </c>
      <c r="C64" s="78" t="e">
        <v>#REF!</v>
      </c>
      <c r="D64" s="78" t="e">
        <v>#REF!</v>
      </c>
      <c r="E64" s="78" t="e">
        <v>#REF!</v>
      </c>
      <c r="F64" s="78" t="e">
        <v>#REF!</v>
      </c>
      <c r="G64" s="78" t="e">
        <v>#REF!</v>
      </c>
      <c r="H64" s="78" t="e">
        <v>#REF!</v>
      </c>
      <c r="I64" s="78" t="e">
        <v>#REF!</v>
      </c>
    </row>
    <row r="65" spans="1:9" ht="15" customHeight="1">
      <c r="A65" s="298"/>
      <c r="B65" s="298"/>
      <c r="C65" s="298"/>
      <c r="D65" s="298"/>
      <c r="E65" s="298"/>
      <c r="F65" s="298"/>
      <c r="G65" s="298"/>
      <c r="H65" s="298"/>
      <c r="I65" s="298"/>
    </row>
    <row r="66" spans="1:9" ht="15" customHeight="1">
      <c r="A66" s="298"/>
      <c r="B66" s="298"/>
      <c r="C66" s="298"/>
      <c r="D66" s="298"/>
      <c r="E66" s="298"/>
      <c r="F66" s="298"/>
      <c r="G66" s="298"/>
      <c r="H66" s="298"/>
      <c r="I66" s="298"/>
    </row>
    <row r="67" spans="1:9">
      <c r="A67" s="17"/>
      <c r="B67" s="58"/>
      <c r="C67" s="58"/>
      <c r="D67" s="58"/>
      <c r="E67" s="58"/>
      <c r="F67" s="58"/>
      <c r="G67" s="58"/>
      <c r="H67" s="58"/>
      <c r="I67" s="58"/>
    </row>
    <row r="68" spans="1:9">
      <c r="A68"/>
      <c r="B68" s="58"/>
      <c r="C68" s="58"/>
      <c r="D68" s="58"/>
      <c r="E68" s="58"/>
      <c r="F68" s="58"/>
      <c r="G68" s="58"/>
      <c r="H68" s="58"/>
      <c r="I68" s="58"/>
    </row>
    <row r="69" spans="1:9">
      <c r="B69" s="58"/>
      <c r="C69" s="58"/>
      <c r="D69" s="58"/>
      <c r="E69" s="58"/>
      <c r="F69" s="58"/>
      <c r="G69" s="58"/>
      <c r="H69" s="58"/>
      <c r="I69" s="58"/>
    </row>
    <row r="81" spans="1:1">
      <c r="A81"/>
    </row>
    <row r="995" spans="1:1">
      <c r="A995" s="63" t="s">
        <v>550</v>
      </c>
    </row>
  </sheetData>
  <mergeCells count="9">
    <mergeCell ref="A65:I65"/>
    <mergeCell ref="A66:I66"/>
    <mergeCell ref="B6:E6"/>
    <mergeCell ref="F6:I6"/>
    <mergeCell ref="A31:I31"/>
    <mergeCell ref="A32:I32"/>
    <mergeCell ref="A33:I33"/>
    <mergeCell ref="B40:E40"/>
    <mergeCell ref="F40:I40"/>
  </mergeCells>
  <conditionalFormatting sqref="B34:I34">
    <cfRule type="cellIs" dxfId="128" priority="44" operator="notBetween">
      <formula>0.4</formula>
      <formula>-0.4</formula>
    </cfRule>
  </conditionalFormatting>
  <conditionalFormatting sqref="B35:I35">
    <cfRule type="cellIs" dxfId="127" priority="43" operator="notBetween">
      <formula>0.4</formula>
      <formula>-0.4</formula>
    </cfRule>
  </conditionalFormatting>
  <conditionalFormatting sqref="E29">
    <cfRule type="cellIs" dxfId="126" priority="35" operator="notBetween">
      <formula>0.5</formula>
      <formula>-0.5</formula>
    </cfRule>
  </conditionalFormatting>
  <conditionalFormatting sqref="C29">
    <cfRule type="cellIs" dxfId="125" priority="33" operator="notBetween">
      <formula>0.5</formula>
      <formula>-0.5</formula>
    </cfRule>
  </conditionalFormatting>
  <conditionalFormatting sqref="H29">
    <cfRule type="cellIs" dxfId="124" priority="38" operator="notBetween">
      <formula>0.5</formula>
      <formula>-0.5</formula>
    </cfRule>
  </conditionalFormatting>
  <conditionalFormatting sqref="I29">
    <cfRule type="cellIs" dxfId="123" priority="42" operator="notBetween">
      <formula>0.5</formula>
      <formula>-0.5</formula>
    </cfRule>
  </conditionalFormatting>
  <conditionalFormatting sqref="B67:G67">
    <cfRule type="cellIs" dxfId="122" priority="41" operator="notBetween">
      <formula>0.4</formula>
      <formula>-0.4</formula>
    </cfRule>
  </conditionalFormatting>
  <conditionalFormatting sqref="G29">
    <cfRule type="cellIs" dxfId="121" priority="37" operator="notBetween">
      <formula>0.5</formula>
      <formula>-0.5</formula>
    </cfRule>
  </conditionalFormatting>
  <conditionalFormatting sqref="H67">
    <cfRule type="cellIs" dxfId="120" priority="40" operator="notBetween">
      <formula>0.4</formula>
      <formula>-0.4</formula>
    </cfRule>
  </conditionalFormatting>
  <conditionalFormatting sqref="I67">
    <cfRule type="cellIs" dxfId="119" priority="39" operator="notBetween">
      <formula>0.4</formula>
      <formula>-0.4</formula>
    </cfRule>
  </conditionalFormatting>
  <conditionalFormatting sqref="F29">
    <cfRule type="cellIs" dxfId="118" priority="36" operator="notBetween">
      <formula>0.5</formula>
      <formula>-0.5</formula>
    </cfRule>
  </conditionalFormatting>
  <conditionalFormatting sqref="D29">
    <cfRule type="cellIs" dxfId="117" priority="34" operator="notBetween">
      <formula>0.5</formula>
      <formula>-0.5</formula>
    </cfRule>
  </conditionalFormatting>
  <conditionalFormatting sqref="D30">
    <cfRule type="cellIs" dxfId="116" priority="30" operator="notBetween">
      <formula>0.5</formula>
      <formula>-0.5</formula>
    </cfRule>
  </conditionalFormatting>
  <conditionalFormatting sqref="B29:I29">
    <cfRule type="cellIs" dxfId="115" priority="32" operator="notBetween">
      <formula>0.5</formula>
      <formula>-0.5</formula>
    </cfRule>
  </conditionalFormatting>
  <conditionalFormatting sqref="C30">
    <cfRule type="cellIs" dxfId="114" priority="31" operator="notBetween">
      <formula>0.5</formula>
      <formula>-0.5</formula>
    </cfRule>
  </conditionalFormatting>
  <conditionalFormatting sqref="B30:I30">
    <cfRule type="cellIs" dxfId="113" priority="29" operator="notBetween">
      <formula>0.5</formula>
      <formula>-0.5</formula>
    </cfRule>
  </conditionalFormatting>
  <conditionalFormatting sqref="F29">
    <cfRule type="cellIs" dxfId="112" priority="28" operator="notBetween">
      <formula>0.5</formula>
      <formula>-0.5</formula>
    </cfRule>
  </conditionalFormatting>
  <conditionalFormatting sqref="G29">
    <cfRule type="cellIs" dxfId="111" priority="27" operator="notBetween">
      <formula>0.5</formula>
      <formula>-0.5</formula>
    </cfRule>
  </conditionalFormatting>
  <conditionalFormatting sqref="H29">
    <cfRule type="cellIs" dxfId="110" priority="26" operator="notBetween">
      <formula>0.5</formula>
      <formula>-0.5</formula>
    </cfRule>
  </conditionalFormatting>
  <conditionalFormatting sqref="I29">
    <cfRule type="cellIs" dxfId="109" priority="25" operator="notBetween">
      <formula>0.5</formula>
      <formula>-0.5</formula>
    </cfRule>
  </conditionalFormatting>
  <conditionalFormatting sqref="D29">
    <cfRule type="cellIs" dxfId="108" priority="24" operator="notBetween">
      <formula>0.5</formula>
      <formula>-0.5</formula>
    </cfRule>
  </conditionalFormatting>
  <conditionalFormatting sqref="C29">
    <cfRule type="cellIs" dxfId="107" priority="23" operator="notBetween">
      <formula>0.5</formula>
      <formula>-0.5</formula>
    </cfRule>
  </conditionalFormatting>
  <conditionalFormatting sqref="B29">
    <cfRule type="cellIs" dxfId="106" priority="22" operator="notBetween">
      <formula>0.5</formula>
      <formula>-0.5</formula>
    </cfRule>
  </conditionalFormatting>
  <conditionalFormatting sqref="F30:I30">
    <cfRule type="cellIs" dxfId="105" priority="21" operator="notBetween">
      <formula>0.5</formula>
      <formula>-0.5</formula>
    </cfRule>
  </conditionalFormatting>
  <conditionalFormatting sqref="B68:G68">
    <cfRule type="cellIs" dxfId="104" priority="20" operator="notBetween">
      <formula>0.4</formula>
      <formula>-0.4</formula>
    </cfRule>
  </conditionalFormatting>
  <conditionalFormatting sqref="H68">
    <cfRule type="cellIs" dxfId="103" priority="19" operator="notBetween">
      <formula>0.4</formula>
      <formula>-0.4</formula>
    </cfRule>
  </conditionalFormatting>
  <conditionalFormatting sqref="I68">
    <cfRule type="cellIs" dxfId="102" priority="18" operator="notBetween">
      <formula>0.4</formula>
      <formula>-0.4</formula>
    </cfRule>
  </conditionalFormatting>
  <conditionalFormatting sqref="E63">
    <cfRule type="cellIs" dxfId="101" priority="13" operator="notBetween">
      <formula>0.5</formula>
      <formula>-0.5</formula>
    </cfRule>
  </conditionalFormatting>
  <conditionalFormatting sqref="C63">
    <cfRule type="cellIs" dxfId="100" priority="11" operator="notBetween">
      <formula>0.5</formula>
      <formula>-0.5</formula>
    </cfRule>
  </conditionalFormatting>
  <conditionalFormatting sqref="H63">
    <cfRule type="cellIs" dxfId="99" priority="16" operator="notBetween">
      <formula>0.5</formula>
      <formula>-0.5</formula>
    </cfRule>
  </conditionalFormatting>
  <conditionalFormatting sqref="I63">
    <cfRule type="cellIs" dxfId="98" priority="17" operator="notBetween">
      <formula>0.5</formula>
      <formula>-0.5</formula>
    </cfRule>
  </conditionalFormatting>
  <conditionalFormatting sqref="G63">
    <cfRule type="cellIs" dxfId="97" priority="15" operator="notBetween">
      <formula>0.5</formula>
      <formula>-0.5</formula>
    </cfRule>
  </conditionalFormatting>
  <conditionalFormatting sqref="F63">
    <cfRule type="cellIs" dxfId="96" priority="14" operator="notBetween">
      <formula>0.5</formula>
      <formula>-0.5</formula>
    </cfRule>
  </conditionalFormatting>
  <conditionalFormatting sqref="D63">
    <cfRule type="cellIs" dxfId="95" priority="12" operator="notBetween">
      <formula>0.5</formula>
      <formula>-0.5</formula>
    </cfRule>
  </conditionalFormatting>
  <conditionalFormatting sqref="B63:I63">
    <cfRule type="cellIs" dxfId="94" priority="10" operator="notBetween">
      <formula>0.5</formula>
      <formula>-0.5</formula>
    </cfRule>
  </conditionalFormatting>
  <conditionalFormatting sqref="F63">
    <cfRule type="cellIs" dxfId="93" priority="9" operator="notBetween">
      <formula>0.5</formula>
      <formula>-0.5</formula>
    </cfRule>
  </conditionalFormatting>
  <conditionalFormatting sqref="G63">
    <cfRule type="cellIs" dxfId="92" priority="8" operator="notBetween">
      <formula>0.5</formula>
      <formula>-0.5</formula>
    </cfRule>
  </conditionalFormatting>
  <conditionalFormatting sqref="H63">
    <cfRule type="cellIs" dxfId="91" priority="7" operator="notBetween">
      <formula>0.5</formula>
      <formula>-0.5</formula>
    </cfRule>
  </conditionalFormatting>
  <conditionalFormatting sqref="I63">
    <cfRule type="cellIs" dxfId="90" priority="6" operator="notBetween">
      <formula>0.5</formula>
      <formula>-0.5</formula>
    </cfRule>
  </conditionalFormatting>
  <conditionalFormatting sqref="D63">
    <cfRule type="cellIs" dxfId="89" priority="5" operator="notBetween">
      <formula>0.5</formula>
      <formula>-0.5</formula>
    </cfRule>
  </conditionalFormatting>
  <conditionalFormatting sqref="C63">
    <cfRule type="cellIs" dxfId="88" priority="4" operator="notBetween">
      <formula>0.5</formula>
      <formula>-0.5</formula>
    </cfRule>
  </conditionalFormatting>
  <conditionalFormatting sqref="B63:I63">
    <cfRule type="cellIs" dxfId="87" priority="3" operator="notBetween">
      <formula>0.5</formula>
      <formula>-0.5</formula>
    </cfRule>
  </conditionalFormatting>
  <conditionalFormatting sqref="B64:I64">
    <cfRule type="cellIs" dxfId="86" priority="2" operator="notBetween">
      <formula>0.5</formula>
      <formula>-0.5</formula>
    </cfRule>
  </conditionalFormatting>
  <conditionalFormatting sqref="B64:I64">
    <cfRule type="cellIs" dxfId="85" priority="1" operator="notBetween">
      <formula>0.5</formula>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1000"/>
  <sheetViews>
    <sheetView showGridLines="0" zoomScale="90" zoomScaleNormal="90" workbookViewId="0">
      <selection activeCell="A41" sqref="A41"/>
    </sheetView>
  </sheetViews>
  <sheetFormatPr baseColWidth="10" defaultColWidth="11.453125" defaultRowHeight="14.5"/>
  <cols>
    <col min="1" max="1" width="86.453125" style="63" customWidth="1"/>
    <col min="2" max="2" width="10.453125" style="63" customWidth="1"/>
    <col min="3" max="6" width="11.453125" style="63"/>
    <col min="7" max="9" width="0" style="63" hidden="1" customWidth="1"/>
    <col min="10" max="16384" width="11.453125" style="63"/>
  </cols>
  <sheetData>
    <row r="1" spans="1:19" ht="17">
      <c r="A1" s="61" t="str">
        <f>HLOOKUP(INDICE!$F$2,Nombres!$C$3:$D$636,104,FALSE)</f>
        <v>Grupo BBVA. Balances de situación consolidados</v>
      </c>
      <c r="B1" s="62"/>
      <c r="C1" s="62"/>
      <c r="D1" s="62"/>
      <c r="E1" s="62"/>
      <c r="F1" s="62"/>
      <c r="G1" s="62"/>
      <c r="H1" s="62"/>
      <c r="I1" s="62"/>
    </row>
    <row r="2" spans="1:19" ht="19.5">
      <c r="A2" s="64"/>
      <c r="B2" s="62"/>
      <c r="C2" s="62"/>
      <c r="D2" s="62"/>
      <c r="E2" s="62"/>
      <c r="F2" s="62"/>
      <c r="G2" s="62"/>
      <c r="H2" s="62"/>
      <c r="I2" s="62"/>
    </row>
    <row r="3" spans="1:19" ht="17">
      <c r="A3" s="65" t="str">
        <f>HLOOKUP(INDICE!$F$2,Nombres!$C$3:$D$636,51,FALSE)</f>
        <v>Balances</v>
      </c>
      <c r="B3" s="66"/>
      <c r="C3" s="66"/>
      <c r="D3" s="66"/>
      <c r="E3" s="66"/>
      <c r="F3" s="66"/>
      <c r="G3" s="66"/>
      <c r="H3" s="66"/>
      <c r="I3" s="66"/>
    </row>
    <row r="4" spans="1:19">
      <c r="A4" s="67" t="str">
        <f>HLOOKUP(INDICE!$F$2,Nombres!$C$3:$D$636,32,FALSE)</f>
        <v>(Millones de euros)</v>
      </c>
      <c r="B4" s="62"/>
      <c r="C4" s="82"/>
      <c r="D4" s="82"/>
      <c r="E4" s="82"/>
      <c r="F4" s="62"/>
      <c r="G4" s="83"/>
      <c r="H4" s="83"/>
      <c r="I4" s="83"/>
    </row>
    <row r="5" spans="1:19">
      <c r="A5" s="62"/>
      <c r="B5" s="84">
        <f>+España!B32</f>
        <v>45016</v>
      </c>
      <c r="C5" s="84">
        <f>+España!C32</f>
        <v>45107</v>
      </c>
      <c r="D5" s="84">
        <f>+España!D32</f>
        <v>45199</v>
      </c>
      <c r="E5" s="84">
        <f>+España!E32</f>
        <v>45291</v>
      </c>
      <c r="F5" s="84">
        <f>+España!F32</f>
        <v>45382</v>
      </c>
      <c r="G5" s="84">
        <f>+España!G32</f>
        <v>45473</v>
      </c>
      <c r="H5" s="84">
        <f>+España!H32</f>
        <v>45565</v>
      </c>
      <c r="I5" s="84">
        <f>+España!I32</f>
        <v>45657</v>
      </c>
    </row>
    <row r="6" spans="1:19">
      <c r="A6" s="17" t="str">
        <f>HLOOKUP(INDICE!$F$2,Nombres!$C$3:$D$636,52,FALSE)</f>
        <v>Efectivo, saldos en efectivo en bancos centrales y otros depósitos a la vista</v>
      </c>
      <c r="B6" s="75">
        <v>83267.437999999995</v>
      </c>
      <c r="C6" s="75">
        <v>71857.706000000006</v>
      </c>
      <c r="D6" s="75">
        <v>66859.308000000005</v>
      </c>
      <c r="E6" s="75">
        <v>75416.388999999996</v>
      </c>
      <c r="F6" s="75">
        <v>76524</v>
      </c>
      <c r="G6" s="75">
        <v>0</v>
      </c>
      <c r="H6" s="75">
        <v>0</v>
      </c>
      <c r="I6" s="75">
        <v>0</v>
      </c>
      <c r="J6" s="85"/>
      <c r="K6" s="85"/>
      <c r="O6" s="85"/>
      <c r="P6" s="85"/>
      <c r="Q6" s="85"/>
      <c r="R6" s="85"/>
      <c r="S6" s="85"/>
    </row>
    <row r="7" spans="1:19">
      <c r="A7" s="17" t="str">
        <f>HLOOKUP(INDICE!$F$2,Nombres!$C$3:$D$636,131,FALSE)</f>
        <v>Activos financieros mantenidos para negociar</v>
      </c>
      <c r="B7" s="75">
        <v>119877.197</v>
      </c>
      <c r="C7" s="75">
        <v>141721.41099999999</v>
      </c>
      <c r="D7" s="75">
        <v>134804.38699999999</v>
      </c>
      <c r="E7" s="75">
        <v>141042.13699999999</v>
      </c>
      <c r="F7" s="75">
        <v>144253.223</v>
      </c>
      <c r="G7" s="75">
        <v>0</v>
      </c>
      <c r="H7" s="75">
        <v>0</v>
      </c>
      <c r="I7" s="75">
        <v>0</v>
      </c>
      <c r="J7" s="85"/>
      <c r="K7" s="85"/>
      <c r="O7" s="85"/>
      <c r="P7" s="85"/>
      <c r="Q7" s="85"/>
      <c r="R7" s="85"/>
      <c r="S7" s="85"/>
    </row>
    <row r="8" spans="1:19">
      <c r="A8" s="17" t="str">
        <f>HLOOKUP(INDICE!$F$2,Nombres!$C$3:$D$636,132,FALSE)</f>
        <v>Activos financieros no destinados a negociación valorados obligatoriamente a valor razonable con cambios en resultados</v>
      </c>
      <c r="B8" s="75">
        <v>7226.9210000000003</v>
      </c>
      <c r="C8" s="75">
        <v>8019.4579999999996</v>
      </c>
      <c r="D8" s="75">
        <v>8489.64</v>
      </c>
      <c r="E8" s="75">
        <v>8737.1730000000007</v>
      </c>
      <c r="F8" s="75">
        <v>9383.9750000000004</v>
      </c>
      <c r="G8" s="75">
        <v>0</v>
      </c>
      <c r="H8" s="75">
        <v>0</v>
      </c>
      <c r="I8" s="75">
        <v>0</v>
      </c>
      <c r="J8" s="85"/>
      <c r="K8" s="85"/>
      <c r="O8" s="85"/>
      <c r="P8" s="85"/>
      <c r="Q8" s="85"/>
      <c r="R8" s="85"/>
      <c r="S8" s="85"/>
    </row>
    <row r="9" spans="1:19">
      <c r="A9" s="17" t="str">
        <f>HLOOKUP(INDICE!$F$2,Nombres!$C$3:$D$636,133,FALSE)</f>
        <v>Activos financieros designados a valor razonable con cambios en resultados</v>
      </c>
      <c r="B9" s="75">
        <v>996.75900000000001</v>
      </c>
      <c r="C9" s="75">
        <v>1003.995</v>
      </c>
      <c r="D9" s="75">
        <v>939.36</v>
      </c>
      <c r="E9" s="75">
        <v>955.10699999999997</v>
      </c>
      <c r="F9" s="75">
        <v>839.89599999999996</v>
      </c>
      <c r="G9" s="75">
        <v>0</v>
      </c>
      <c r="H9" s="75">
        <v>0</v>
      </c>
      <c r="I9" s="75">
        <v>0</v>
      </c>
      <c r="J9" s="85"/>
      <c r="K9" s="85"/>
      <c r="O9" s="85"/>
      <c r="P9" s="85"/>
      <c r="Q9" s="85"/>
      <c r="R9" s="85"/>
      <c r="S9" s="85"/>
    </row>
    <row r="10" spans="1:19">
      <c r="A10" s="17" t="str">
        <f>HLOOKUP(INDICE!$F$2,Nombres!$C$3:$D$636,134,FALSE)</f>
        <v>Activos financieros designados a valor razonable con cambios en otro resultado global acumulado</v>
      </c>
      <c r="B10" s="75">
        <v>66277.337</v>
      </c>
      <c r="C10" s="75">
        <v>63979.421000000002</v>
      </c>
      <c r="D10" s="75">
        <v>63791.593000000001</v>
      </c>
      <c r="E10" s="75">
        <v>62204.887999999999</v>
      </c>
      <c r="F10" s="75">
        <v>62883.622000000003</v>
      </c>
      <c r="G10" s="75">
        <v>0</v>
      </c>
      <c r="H10" s="75">
        <v>0</v>
      </c>
      <c r="I10" s="75">
        <v>0</v>
      </c>
      <c r="J10" s="85"/>
      <c r="K10" s="85"/>
      <c r="O10" s="85"/>
      <c r="P10" s="85"/>
      <c r="Q10" s="85"/>
      <c r="R10" s="85"/>
      <c r="S10" s="85"/>
    </row>
    <row r="11" spans="1:19">
      <c r="A11" s="17" t="str">
        <f>HLOOKUP(INDICE!$F$2,Nombres!$C$3:$D$636,135,FALSE)</f>
        <v>Activos financieros a coste amortizado</v>
      </c>
      <c r="B11" s="75">
        <v>427259.44099999999</v>
      </c>
      <c r="C11" s="75">
        <v>438841.16899999994</v>
      </c>
      <c r="D11" s="75">
        <v>446045.90499999997</v>
      </c>
      <c r="E11" s="75">
        <v>451731.97500000003</v>
      </c>
      <c r="F11" s="75">
        <v>470379.74600000004</v>
      </c>
      <c r="G11" s="75">
        <v>0</v>
      </c>
      <c r="H11" s="75">
        <v>0</v>
      </c>
      <c r="I11" s="75">
        <v>0</v>
      </c>
      <c r="J11" s="85"/>
      <c r="K11" s="85"/>
      <c r="O11" s="85"/>
      <c r="P11" s="85"/>
      <c r="Q11" s="85"/>
      <c r="R11" s="85"/>
      <c r="S11" s="85"/>
    </row>
    <row r="12" spans="1:19">
      <c r="A12" s="86" t="str">
        <f>HLOOKUP(INDICE!$F$2,Nombres!$C$3:$D$636,136,FALSE)</f>
        <v>. Préstamos y anticipos en bancos centrales  y entidades de crédito</v>
      </c>
      <c r="B12" s="87">
        <v>22255.837</v>
      </c>
      <c r="C12" s="87">
        <v>24310.91</v>
      </c>
      <c r="D12" s="87">
        <v>21674.078000000001</v>
      </c>
      <c r="E12" s="87">
        <v>24627.222000000002</v>
      </c>
      <c r="F12" s="87">
        <v>28974.725999999999</v>
      </c>
      <c r="G12" s="87">
        <v>0</v>
      </c>
      <c r="H12" s="87">
        <v>0</v>
      </c>
      <c r="I12" s="87">
        <v>0</v>
      </c>
      <c r="J12" s="85"/>
      <c r="K12" s="85"/>
      <c r="O12" s="85"/>
      <c r="P12" s="85"/>
      <c r="Q12" s="85"/>
      <c r="R12" s="85"/>
      <c r="S12" s="85"/>
    </row>
    <row r="13" spans="1:19">
      <c r="A13" s="86" t="str">
        <f>HLOOKUP(INDICE!$F$2,Nombres!$C$3:$D$636,137,FALSE)</f>
        <v>. Préstamos y anticipos a la clientela</v>
      </c>
      <c r="B13" s="87">
        <v>362317.34100000001</v>
      </c>
      <c r="C13" s="87">
        <v>369760.77899999998</v>
      </c>
      <c r="D13" s="87">
        <v>376335.94699999999</v>
      </c>
      <c r="E13" s="87">
        <v>377642.59600000002</v>
      </c>
      <c r="F13" s="87">
        <v>388948.94099999999</v>
      </c>
      <c r="G13" s="87">
        <v>0</v>
      </c>
      <c r="H13" s="87">
        <v>0</v>
      </c>
      <c r="I13" s="87">
        <v>0</v>
      </c>
      <c r="J13" s="85"/>
      <c r="K13" s="85"/>
      <c r="O13" s="85"/>
      <c r="P13" s="85"/>
      <c r="Q13" s="85"/>
      <c r="R13" s="85"/>
      <c r="S13" s="85"/>
    </row>
    <row r="14" spans="1:19">
      <c r="A14" s="86" t="str">
        <f>HLOOKUP(INDICE!$F$2,Nombres!$C$3:$D$636,138,FALSE)</f>
        <v>. Valores representativos de deuda</v>
      </c>
      <c r="B14" s="87">
        <v>42686.262999999999</v>
      </c>
      <c r="C14" s="87">
        <v>44769.48</v>
      </c>
      <c r="D14" s="87">
        <v>48035.88</v>
      </c>
      <c r="E14" s="87">
        <v>49462.156999999999</v>
      </c>
      <c r="F14" s="87">
        <v>52456.078999999998</v>
      </c>
      <c r="G14" s="87">
        <v>0</v>
      </c>
      <c r="H14" s="87">
        <v>0</v>
      </c>
      <c r="I14" s="87">
        <v>0</v>
      </c>
      <c r="J14" s="85"/>
      <c r="K14" s="85"/>
      <c r="O14" s="85"/>
      <c r="P14" s="85"/>
      <c r="Q14" s="85"/>
      <c r="R14" s="85"/>
      <c r="S14" s="85"/>
    </row>
    <row r="15" spans="1:19" hidden="1">
      <c r="A15" s="17" t="str">
        <f>HLOOKUP(INDICE!$F$2,Nombres!$C$3:$D$636,139,FALSE)</f>
        <v>Inversiones mantenidas hasta el vencimiento</v>
      </c>
      <c r="B15" s="88"/>
      <c r="C15" s="88"/>
      <c r="D15" s="88"/>
      <c r="E15" s="88"/>
      <c r="F15" s="88"/>
      <c r="G15" s="88"/>
      <c r="H15" s="88"/>
      <c r="I15" s="88"/>
      <c r="J15" s="85"/>
      <c r="K15" s="85"/>
      <c r="O15" s="85"/>
      <c r="P15" s="85"/>
      <c r="Q15" s="85"/>
      <c r="R15" s="85"/>
      <c r="S15" s="85"/>
    </row>
    <row r="16" spans="1:19">
      <c r="A16" s="17" t="str">
        <f>HLOOKUP(INDICE!$F$2,Nombres!$C$3:$D$636,140,FALSE)</f>
        <v>Inversiones en negocios conjuntos y asociadas</v>
      </c>
      <c r="B16" s="75">
        <v>919.64200000000005</v>
      </c>
      <c r="C16" s="75">
        <v>929.29</v>
      </c>
      <c r="D16" s="75">
        <v>926.20699999999999</v>
      </c>
      <c r="E16" s="75">
        <v>976.20299999999997</v>
      </c>
      <c r="F16" s="75">
        <v>996.12099999999998</v>
      </c>
      <c r="G16" s="75">
        <v>0</v>
      </c>
      <c r="H16" s="75">
        <v>0</v>
      </c>
      <c r="I16" s="75">
        <v>0</v>
      </c>
      <c r="J16" s="85"/>
      <c r="K16" s="85"/>
      <c r="O16" s="85"/>
      <c r="P16" s="85"/>
      <c r="Q16" s="85"/>
      <c r="R16" s="85"/>
      <c r="S16" s="85"/>
    </row>
    <row r="17" spans="1:16384">
      <c r="A17" s="17" t="str">
        <f>HLOOKUP(INDICE!$F$2,Nombres!$C$3:$D$636,56,FALSE)</f>
        <v>Activos tangibles</v>
      </c>
      <c r="B17" s="75">
        <v>8945.2430000000004</v>
      </c>
      <c r="C17" s="75">
        <v>8891.8250000000007</v>
      </c>
      <c r="D17" s="75">
        <v>9385.0910000000003</v>
      </c>
      <c r="E17" s="75">
        <v>9253.4040000000005</v>
      </c>
      <c r="F17" s="75">
        <v>9659.9249999999993</v>
      </c>
      <c r="G17" s="75">
        <v>0</v>
      </c>
      <c r="H17" s="75">
        <v>0</v>
      </c>
      <c r="I17" s="75">
        <v>0</v>
      </c>
      <c r="J17" s="85"/>
      <c r="K17" s="85"/>
      <c r="O17" s="85"/>
      <c r="P17" s="85"/>
      <c r="Q17" s="85"/>
      <c r="R17" s="85"/>
      <c r="S17" s="85"/>
    </row>
    <row r="18" spans="1:16384">
      <c r="A18" s="17" t="str">
        <f>HLOOKUP(INDICE!$F$2,Nombres!$C$3:$D$636,141,FALSE)</f>
        <v>Activos Intangibles</v>
      </c>
      <c r="B18" s="75">
        <v>2208.6869999999999</v>
      </c>
      <c r="C18" s="75">
        <v>2283.6889999999999</v>
      </c>
      <c r="D18" s="75">
        <v>2310.34</v>
      </c>
      <c r="E18" s="75">
        <v>2362.5529999999999</v>
      </c>
      <c r="F18" s="75">
        <v>2407.4650000000001</v>
      </c>
      <c r="G18" s="75">
        <v>0</v>
      </c>
      <c r="H18" s="75">
        <v>0</v>
      </c>
      <c r="I18" s="75">
        <v>0</v>
      </c>
      <c r="J18" s="85"/>
      <c r="K18" s="85"/>
      <c r="O18" s="85"/>
      <c r="P18" s="85"/>
      <c r="Q18" s="85"/>
      <c r="R18" s="85"/>
      <c r="S18" s="85"/>
    </row>
    <row r="19" spans="1:16384">
      <c r="A19" s="17" t="str">
        <f>HLOOKUP(INDICE!$F$2,Nombres!$C$3:$D$636,57,FALSE)</f>
        <v>Otros activos</v>
      </c>
      <c r="B19" s="75">
        <v>22585.616999999995</v>
      </c>
      <c r="C19" s="75">
        <v>24928.331999999999</v>
      </c>
      <c r="D19" s="75">
        <v>24183.760000000002</v>
      </c>
      <c r="E19" s="75">
        <v>22878.457999999999</v>
      </c>
      <c r="F19" s="75">
        <v>24362.321999999996</v>
      </c>
      <c r="G19" s="75">
        <v>0</v>
      </c>
      <c r="H19" s="75">
        <v>0</v>
      </c>
      <c r="I19" s="75">
        <v>0</v>
      </c>
      <c r="J19" s="85"/>
      <c r="K19" s="85"/>
      <c r="O19" s="85"/>
      <c r="P19" s="85"/>
      <c r="Q19" s="85"/>
      <c r="R19" s="85"/>
      <c r="S19" s="85"/>
    </row>
    <row r="20" spans="1:16384">
      <c r="A20" s="19" t="str">
        <f>HLOOKUP(INDICE!$F$2,Nombres!$C$3:$D$636,58,FALSE)</f>
        <v>Total activo / pasivo</v>
      </c>
      <c r="B20" s="19">
        <f t="shared" ref="B20:I20" si="0">+SUM(B6:B11,B16:B19)</f>
        <v>739564.28200000001</v>
      </c>
      <c r="C20" s="19">
        <f t="shared" si="0"/>
        <v>762456.29599999997</v>
      </c>
      <c r="D20" s="19">
        <f t="shared" si="0"/>
        <v>757735.59100000001</v>
      </c>
      <c r="E20" s="19">
        <f t="shared" si="0"/>
        <v>775558.28699999989</v>
      </c>
      <c r="F20" s="19">
        <f t="shared" si="0"/>
        <v>801690.29500000016</v>
      </c>
      <c r="G20" s="19">
        <f t="shared" si="0"/>
        <v>0</v>
      </c>
      <c r="H20" s="19">
        <f t="shared" si="0"/>
        <v>0</v>
      </c>
      <c r="I20" s="19">
        <f t="shared" si="0"/>
        <v>0</v>
      </c>
      <c r="J20" s="85"/>
      <c r="K20" s="85"/>
      <c r="O20" s="85"/>
      <c r="P20" s="85"/>
      <c r="Q20" s="85"/>
      <c r="R20" s="85"/>
      <c r="S20" s="85"/>
    </row>
    <row r="21" spans="1:16384">
      <c r="A21" s="17" t="str">
        <f>HLOOKUP(INDICE!$F$2,Nombres!$C$3:$D$636,59,FALSE)</f>
        <v>Pasivos financieros mantenidos para negociar y designados a valor razonable con cambios en resultados</v>
      </c>
      <c r="B21" s="83">
        <v>107184.694</v>
      </c>
      <c r="C21" s="83">
        <v>127331.59699999999</v>
      </c>
      <c r="D21" s="83">
        <v>118276.43799999999</v>
      </c>
      <c r="E21" s="83">
        <v>121715.164</v>
      </c>
      <c r="F21" s="83">
        <v>118731.499</v>
      </c>
      <c r="G21" s="83">
        <v>0</v>
      </c>
      <c r="H21" s="83">
        <v>0</v>
      </c>
      <c r="I21" s="83">
        <v>0</v>
      </c>
      <c r="O21" s="85"/>
      <c r="P21" s="85"/>
      <c r="Q21" s="85"/>
      <c r="R21" s="85"/>
    </row>
    <row r="22" spans="1:16384">
      <c r="A22" s="17" t="str">
        <f>HLOOKUP(INDICE!$F$2,Nombres!$C$3:$D$636,142,FALSE)</f>
        <v>Pasivos financieros designados a valor razonable con cambios en resultados</v>
      </c>
      <c r="B22" s="83">
        <v>11309.111000000001</v>
      </c>
      <c r="C22" s="83">
        <v>12576.710999999999</v>
      </c>
      <c r="D22" s="83">
        <v>12861.576999999999</v>
      </c>
      <c r="E22" s="83">
        <v>13299.276</v>
      </c>
      <c r="F22" s="83">
        <v>14544</v>
      </c>
      <c r="G22" s="83">
        <v>0</v>
      </c>
      <c r="H22" s="83">
        <v>0</v>
      </c>
      <c r="I22" s="83">
        <v>0</v>
      </c>
      <c r="J22" s="7"/>
      <c r="K22" s="7"/>
      <c r="L22" s="7"/>
      <c r="M22" s="7"/>
      <c r="N22" s="7"/>
      <c r="O22" s="85"/>
      <c r="P22" s="85"/>
      <c r="Q22" s="85"/>
      <c r="R22" s="85"/>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c r="XFD22" s="7"/>
    </row>
    <row r="23" spans="1:16384">
      <c r="A23" s="17" t="str">
        <f>HLOOKUP(INDICE!$F$2,Nombres!$C$3:$D$636,143,FALSE)</f>
        <v>Pasivos financieros a coste amortizado</v>
      </c>
      <c r="B23" s="83">
        <v>542326.16</v>
      </c>
      <c r="C23" s="83">
        <v>541670.70499999996</v>
      </c>
      <c r="D23" s="83">
        <v>544853.38800000004</v>
      </c>
      <c r="E23" s="83">
        <v>557588.60699999996</v>
      </c>
      <c r="F23" s="83">
        <v>584698.12699999998</v>
      </c>
      <c r="G23" s="83">
        <v>0</v>
      </c>
      <c r="H23" s="83">
        <v>0</v>
      </c>
      <c r="I23" s="83">
        <v>0</v>
      </c>
      <c r="J23" s="7"/>
      <c r="K23" s="7"/>
      <c r="L23" s="7"/>
      <c r="M23" s="7"/>
      <c r="N23" s="7"/>
      <c r="O23" s="85"/>
      <c r="P23" s="85"/>
      <c r="Q23" s="85"/>
      <c r="R23" s="85"/>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c r="XFD23" s="7"/>
    </row>
    <row r="24" spans="1:16384">
      <c r="A24" s="86" t="str">
        <f>HLOOKUP(INDICE!$F$2,Nombres!$C$3:$D$636,60,FALSE)</f>
        <v>Depósitos de bancos centrales y entidades de crédito</v>
      </c>
      <c r="B24" s="83">
        <v>75109.218000000008</v>
      </c>
      <c r="C24" s="83">
        <v>59961.330999999998</v>
      </c>
      <c r="D24" s="83">
        <v>60139.582999999999</v>
      </c>
      <c r="E24" s="83">
        <v>60348.846000000005</v>
      </c>
      <c r="F24" s="83">
        <v>53824.308000000005</v>
      </c>
      <c r="G24" s="83">
        <v>0</v>
      </c>
      <c r="H24" s="83">
        <v>0</v>
      </c>
      <c r="I24" s="83">
        <v>0</v>
      </c>
      <c r="O24" s="85"/>
      <c r="P24" s="85"/>
      <c r="Q24" s="85"/>
      <c r="R24" s="85"/>
    </row>
    <row r="25" spans="1:16384" ht="15.75" customHeight="1">
      <c r="A25" s="86" t="str">
        <f>HLOOKUP(INDICE!$F$2,Nombres!$C$3:$D$636,61,FALSE)</f>
        <v>Depósitos de la clientela</v>
      </c>
      <c r="B25" s="83">
        <v>395879.93699999998</v>
      </c>
      <c r="C25" s="83">
        <v>402343.77399999998</v>
      </c>
      <c r="D25" s="83">
        <v>403860.74</v>
      </c>
      <c r="E25" s="83">
        <v>413486.538</v>
      </c>
      <c r="F25" s="83">
        <v>436763.15399999998</v>
      </c>
      <c r="G25" s="83">
        <v>0</v>
      </c>
      <c r="H25" s="83">
        <v>0</v>
      </c>
      <c r="I25" s="83">
        <v>0</v>
      </c>
      <c r="O25" s="85"/>
      <c r="P25" s="85"/>
      <c r="Q25" s="85"/>
      <c r="R25" s="85"/>
    </row>
    <row r="26" spans="1:16384">
      <c r="A26" s="86" t="str">
        <f>HLOOKUP(INDICE!$F$2,Nombres!$C$3:$D$636,62,FALSE)</f>
        <v>Valores representativos de deuda emitidos</v>
      </c>
      <c r="B26" s="83">
        <v>54586.156999999999</v>
      </c>
      <c r="C26" s="83">
        <v>63158.292000000001</v>
      </c>
      <c r="D26" s="83">
        <v>65241.368999999999</v>
      </c>
      <c r="E26" s="83">
        <v>68707.365999999995</v>
      </c>
      <c r="F26" s="83">
        <v>73626.520999999993</v>
      </c>
      <c r="G26" s="83">
        <v>0</v>
      </c>
      <c r="H26" s="83">
        <v>0</v>
      </c>
      <c r="I26" s="83">
        <v>0</v>
      </c>
      <c r="O26" s="85"/>
      <c r="P26" s="85"/>
      <c r="Q26" s="85"/>
      <c r="R26" s="85"/>
    </row>
    <row r="27" spans="1:16384">
      <c r="A27" s="86" t="str">
        <f>HLOOKUP(INDICE!$F$2,Nombres!$C$3:$D$636,144,FALSE)</f>
        <v>. Otros pasivos financieros</v>
      </c>
      <c r="B27" s="83">
        <v>16750.848000000002</v>
      </c>
      <c r="C27" s="83">
        <v>16207.308000000001</v>
      </c>
      <c r="D27" s="83">
        <v>15611.696</v>
      </c>
      <c r="E27" s="83">
        <v>15045.857</v>
      </c>
      <c r="F27" s="83">
        <v>20484.144</v>
      </c>
      <c r="G27" s="83">
        <v>0</v>
      </c>
      <c r="H27" s="83">
        <v>0</v>
      </c>
      <c r="I27" s="83">
        <v>0</v>
      </c>
      <c r="O27" s="85"/>
      <c r="P27" s="85"/>
      <c r="Q27" s="85"/>
      <c r="R27" s="85"/>
    </row>
    <row r="28" spans="1:16384">
      <c r="A28" s="17" t="str">
        <f>HLOOKUP(INDICE!$F$2,Nombres!$C$3:$D$636,145,FALSE)</f>
        <v>Pasivos amparados por contratos de seguros o reaseguro</v>
      </c>
      <c r="B28" s="83">
        <v>11009.56</v>
      </c>
      <c r="C28" s="83">
        <v>11537.468000000001</v>
      </c>
      <c r="D28" s="83">
        <v>11259.652</v>
      </c>
      <c r="E28" s="83">
        <v>12109.757</v>
      </c>
      <c r="F28" s="83">
        <v>12241.341</v>
      </c>
      <c r="G28" s="83">
        <v>0</v>
      </c>
      <c r="H28" s="83">
        <v>0</v>
      </c>
      <c r="I28" s="83">
        <v>0</v>
      </c>
      <c r="O28" s="85"/>
      <c r="P28" s="85"/>
      <c r="Q28" s="85"/>
      <c r="R28" s="85"/>
    </row>
    <row r="29" spans="1:16384">
      <c r="A29" s="17" t="str">
        <f>HLOOKUP(INDICE!$F$2,Nombres!$C$3:$D$636,63,FALSE)</f>
        <v>Otros pasivos</v>
      </c>
      <c r="B29" s="83">
        <v>16263.476999999999</v>
      </c>
      <c r="C29" s="83">
        <v>16771.393</v>
      </c>
      <c r="D29" s="83">
        <v>17031.874</v>
      </c>
      <c r="E29" s="83">
        <v>15580.023999999999</v>
      </c>
      <c r="F29" s="83">
        <v>15696.971999999998</v>
      </c>
      <c r="G29" s="83">
        <v>0</v>
      </c>
      <c r="H29" s="83">
        <v>0</v>
      </c>
      <c r="I29" s="83">
        <v>0</v>
      </c>
      <c r="O29" s="85"/>
      <c r="P29" s="85"/>
      <c r="Q29" s="85"/>
      <c r="R29" s="85"/>
    </row>
    <row r="30" spans="1:16384">
      <c r="A30" s="25" t="str">
        <f>HLOOKUP(INDICE!$F$2,Nombres!$C$3:$D$636,146,FALSE)</f>
        <v>Total pasivo</v>
      </c>
      <c r="B30" s="89">
        <f t="shared" ref="B30:I30" si="1">+SUM(B21:B23,B28:B29)</f>
        <v>688093.00200000009</v>
      </c>
      <c r="C30" s="89">
        <f t="shared" si="1"/>
        <v>709887.87399999995</v>
      </c>
      <c r="D30" s="89">
        <f t="shared" si="1"/>
        <v>704282.929</v>
      </c>
      <c r="E30" s="89">
        <f t="shared" si="1"/>
        <v>720292.82799999998</v>
      </c>
      <c r="F30" s="89">
        <f t="shared" si="1"/>
        <v>745911.9389999999</v>
      </c>
      <c r="G30" s="89">
        <f t="shared" si="1"/>
        <v>0</v>
      </c>
      <c r="H30" s="89">
        <f t="shared" si="1"/>
        <v>0</v>
      </c>
      <c r="I30" s="89">
        <f t="shared" si="1"/>
        <v>0</v>
      </c>
      <c r="O30" s="85"/>
      <c r="P30" s="85"/>
      <c r="Q30" s="85"/>
      <c r="R30" s="85"/>
    </row>
    <row r="31" spans="1:16384" ht="3.75" customHeight="1">
      <c r="A31" s="25"/>
      <c r="B31" s="89"/>
      <c r="C31" s="89"/>
      <c r="D31" s="89"/>
      <c r="E31" s="89"/>
      <c r="F31" s="89"/>
      <c r="G31" s="89"/>
      <c r="H31" s="89"/>
      <c r="I31" s="89"/>
      <c r="O31" s="85"/>
      <c r="P31" s="85"/>
      <c r="Q31" s="85"/>
      <c r="R31" s="85"/>
    </row>
    <row r="32" spans="1:16384" ht="14.25" customHeight="1">
      <c r="A32" s="17" t="str">
        <f>HLOOKUP(INDICE!$F$2,Nombres!$C$3:$D$636,147,FALSE)</f>
        <v>Intereses minoritarios</v>
      </c>
      <c r="B32" s="83">
        <v>3680.4250000000002</v>
      </c>
      <c r="C32" s="83">
        <v>3517.2350000000001</v>
      </c>
      <c r="D32" s="83">
        <v>3703.0309999999999</v>
      </c>
      <c r="E32" s="83">
        <v>3564.1619999999998</v>
      </c>
      <c r="F32" s="83">
        <v>3774.6149999999998</v>
      </c>
      <c r="G32" s="83">
        <v>0</v>
      </c>
      <c r="H32" s="83">
        <v>0</v>
      </c>
      <c r="I32" s="83">
        <v>0</v>
      </c>
      <c r="O32" s="85"/>
      <c r="P32" s="85"/>
      <c r="Q32" s="85"/>
      <c r="R32" s="85"/>
    </row>
    <row r="33" spans="1:18">
      <c r="A33" s="17" t="str">
        <f>HLOOKUP(INDICE!$F$2,Nombres!$C$3:$D$636,148,FALSE)</f>
        <v>Otro resultado global acumulado</v>
      </c>
      <c r="B33" s="83">
        <v>-16194.916999999999</v>
      </c>
      <c r="C33" s="83">
        <v>-16918.638999999999</v>
      </c>
      <c r="D33" s="83">
        <v>-16212.995000000001</v>
      </c>
      <c r="E33" s="83">
        <v>-16253.799000000001</v>
      </c>
      <c r="F33" s="83">
        <v>-14943.576999999999</v>
      </c>
      <c r="G33" s="83">
        <v>0</v>
      </c>
      <c r="H33" s="83">
        <v>0</v>
      </c>
      <c r="I33" s="83">
        <v>0</v>
      </c>
      <c r="O33" s="85"/>
      <c r="P33" s="85"/>
      <c r="Q33" s="85"/>
      <c r="R33" s="85"/>
    </row>
    <row r="34" spans="1:18">
      <c r="A34" s="17" t="str">
        <f>HLOOKUP(INDICE!$F$2,Nombres!$C$3:$D$636,149,FALSE)</f>
        <v>Fondos propios</v>
      </c>
      <c r="B34" s="83">
        <v>63985.771999999997</v>
      </c>
      <c r="C34" s="83">
        <v>65969.826000000001</v>
      </c>
      <c r="D34" s="83">
        <v>65962.626000000004</v>
      </c>
      <c r="E34" s="83">
        <v>67955.096000000005</v>
      </c>
      <c r="F34" s="83">
        <v>66947.316999999995</v>
      </c>
      <c r="G34" s="83">
        <v>0</v>
      </c>
      <c r="H34" s="83">
        <v>0</v>
      </c>
      <c r="I34" s="83">
        <v>0</v>
      </c>
      <c r="O34" s="85"/>
      <c r="P34" s="85"/>
      <c r="Q34" s="85"/>
      <c r="R34" s="85"/>
    </row>
    <row r="35" spans="1:18">
      <c r="A35" s="25" t="str">
        <f>HLOOKUP(INDICE!$F$2,Nombres!$C$3:$D$636,150,FALSE)</f>
        <v>Patrimonio neto</v>
      </c>
      <c r="B35" s="89">
        <f t="shared" ref="B35:I35" si="2">+B32+B33+B34</f>
        <v>51471.28</v>
      </c>
      <c r="C35" s="89">
        <f t="shared" si="2"/>
        <v>52568.422000000006</v>
      </c>
      <c r="D35" s="89">
        <f t="shared" si="2"/>
        <v>53452.662000000004</v>
      </c>
      <c r="E35" s="89">
        <f t="shared" si="2"/>
        <v>55265.459000000003</v>
      </c>
      <c r="F35" s="89">
        <f t="shared" si="2"/>
        <v>55778.354999999996</v>
      </c>
      <c r="G35" s="89">
        <f t="shared" si="2"/>
        <v>0</v>
      </c>
      <c r="H35" s="89">
        <f t="shared" si="2"/>
        <v>0</v>
      </c>
      <c r="I35" s="89">
        <f t="shared" si="2"/>
        <v>0</v>
      </c>
      <c r="O35" s="85"/>
      <c r="P35" s="85"/>
      <c r="Q35" s="85"/>
      <c r="R35" s="85"/>
    </row>
    <row r="36" spans="1:18" ht="5.25" customHeight="1">
      <c r="A36" s="17"/>
      <c r="B36" s="83"/>
      <c r="C36" s="83"/>
      <c r="D36" s="83"/>
      <c r="E36" s="83"/>
      <c r="F36" s="83"/>
      <c r="G36" s="83"/>
      <c r="H36" s="83"/>
      <c r="I36" s="83"/>
      <c r="O36" s="85"/>
      <c r="P36" s="85"/>
      <c r="Q36" s="85"/>
      <c r="R36" s="85"/>
    </row>
    <row r="37" spans="1:18">
      <c r="A37" s="19" t="str">
        <f>HLOOKUP(INDICE!$F$2,Nombres!$C$3:$D$636,151,FALSE)</f>
        <v>Total patrimonio neto y pasivo</v>
      </c>
      <c r="B37" s="19">
        <f>+B20</f>
        <v>739564.28200000001</v>
      </c>
      <c r="C37" s="19">
        <f t="shared" ref="C37:I37" si="3">+C20</f>
        <v>762456.29599999997</v>
      </c>
      <c r="D37" s="19">
        <f t="shared" si="3"/>
        <v>757735.59100000001</v>
      </c>
      <c r="E37" s="19">
        <f t="shared" si="3"/>
        <v>775558.28699999989</v>
      </c>
      <c r="F37" s="19">
        <f t="shared" si="3"/>
        <v>801690.29500000016</v>
      </c>
      <c r="G37" s="19">
        <f t="shared" si="3"/>
        <v>0</v>
      </c>
      <c r="H37" s="19">
        <f t="shared" si="3"/>
        <v>0</v>
      </c>
      <c r="I37" s="19">
        <f t="shared" si="3"/>
        <v>0</v>
      </c>
      <c r="O37" s="85"/>
      <c r="P37" s="85"/>
      <c r="Q37" s="85"/>
      <c r="R37" s="85"/>
    </row>
    <row r="38" spans="1:18">
      <c r="A38" s="17"/>
      <c r="B38" s="90">
        <f t="shared" ref="B38:I38" si="4">+B37-B20</f>
        <v>0</v>
      </c>
      <c r="C38" s="90">
        <f t="shared" si="4"/>
        <v>0</v>
      </c>
      <c r="D38" s="90">
        <f t="shared" si="4"/>
        <v>0</v>
      </c>
      <c r="E38" s="90">
        <f t="shared" si="4"/>
        <v>0</v>
      </c>
      <c r="F38" s="90">
        <f t="shared" si="4"/>
        <v>0</v>
      </c>
      <c r="G38" s="90">
        <f t="shared" si="4"/>
        <v>0</v>
      </c>
      <c r="H38" s="90">
        <f t="shared" si="4"/>
        <v>0</v>
      </c>
      <c r="I38" s="90">
        <f t="shared" si="4"/>
        <v>0</v>
      </c>
    </row>
    <row r="39" spans="1:18">
      <c r="A39" s="17"/>
      <c r="B39" s="90">
        <f t="shared" ref="B39:I39" si="5">+B6+B7+B8+B9+B10+B11+B16+B17+B18+B19-B20</f>
        <v>0</v>
      </c>
      <c r="C39" s="90">
        <f t="shared" si="5"/>
        <v>0</v>
      </c>
      <c r="D39" s="90">
        <f t="shared" si="5"/>
        <v>0</v>
      </c>
      <c r="E39" s="90">
        <f t="shared" si="5"/>
        <v>0</v>
      </c>
      <c r="F39" s="90">
        <f t="shared" si="5"/>
        <v>0</v>
      </c>
      <c r="G39" s="90">
        <f t="shared" si="5"/>
        <v>0</v>
      </c>
      <c r="H39" s="90">
        <f t="shared" si="5"/>
        <v>0</v>
      </c>
      <c r="I39" s="90">
        <f t="shared" si="5"/>
        <v>0</v>
      </c>
    </row>
    <row r="40" spans="1:18" ht="49.5" customHeight="1">
      <c r="A40" s="298"/>
      <c r="B40" s="298"/>
      <c r="C40" s="298"/>
      <c r="D40" s="298"/>
      <c r="E40" s="298"/>
      <c r="F40" s="298"/>
      <c r="G40" s="298"/>
      <c r="H40" s="298"/>
      <c r="I40" s="298"/>
    </row>
    <row r="41" spans="1:18">
      <c r="A41" s="91"/>
      <c r="B41" s="83"/>
      <c r="C41" s="83"/>
      <c r="D41" s="83"/>
      <c r="E41" s="83"/>
      <c r="F41" s="83"/>
      <c r="G41" s="83"/>
      <c r="H41" s="83"/>
      <c r="I41" s="83"/>
    </row>
    <row r="42" spans="1:18">
      <c r="A42" s="17"/>
      <c r="B42" s="83"/>
      <c r="C42" s="83"/>
      <c r="D42" s="83"/>
      <c r="E42" s="83"/>
      <c r="F42" s="83"/>
      <c r="G42" s="83"/>
      <c r="H42" s="83"/>
      <c r="I42" s="83"/>
    </row>
    <row r="43" spans="1:18">
      <c r="A43" s="91"/>
      <c r="B43" s="92">
        <v>9.7788870334625244E-9</v>
      </c>
      <c r="C43" s="92">
        <v>-1.0000076144933701E-7</v>
      </c>
      <c r="D43" s="92">
        <v>-3.0035153031349182E-8</v>
      </c>
      <c r="E43" s="92">
        <v>-3.6000274121761322E-6</v>
      </c>
      <c r="F43" s="92">
        <v>4.0046870708465576E-8</v>
      </c>
      <c r="G43" s="92">
        <v>0</v>
      </c>
      <c r="H43" s="92">
        <v>0</v>
      </c>
      <c r="I43" s="92">
        <v>0</v>
      </c>
    </row>
    <row r="44" spans="1:18">
      <c r="B44" s="85"/>
    </row>
    <row r="46" spans="1:18">
      <c r="B46" s="85"/>
    </row>
    <row r="1000" spans="1:1">
      <c r="A1000" s="63" t="s">
        <v>550</v>
      </c>
    </row>
  </sheetData>
  <mergeCells count="1">
    <mergeCell ref="A40:I40"/>
  </mergeCells>
  <conditionalFormatting sqref="F39:I39">
    <cfRule type="cellIs" dxfId="84" priority="11" operator="notBetween">
      <formula>0.5</formula>
      <formula>-0.5</formula>
    </cfRule>
  </conditionalFormatting>
  <conditionalFormatting sqref="I38">
    <cfRule type="cellIs" dxfId="83" priority="10" operator="notBetween">
      <formula>0.001</formula>
      <formula>-0.001</formula>
    </cfRule>
  </conditionalFormatting>
  <conditionalFormatting sqref="H38">
    <cfRule type="cellIs" dxfId="82" priority="9" operator="notBetween">
      <formula>0.001</formula>
      <formula>-0.001</formula>
    </cfRule>
  </conditionalFormatting>
  <conditionalFormatting sqref="G38">
    <cfRule type="cellIs" dxfId="81" priority="8" operator="notBetween">
      <formula>0.001</formula>
      <formula>-0.001</formula>
    </cfRule>
  </conditionalFormatting>
  <conditionalFormatting sqref="F38">
    <cfRule type="cellIs" dxfId="80" priority="7" operator="notBetween">
      <formula>0.001</formula>
      <formula>-0.001</formula>
    </cfRule>
  </conditionalFormatting>
  <conditionalFormatting sqref="B39:E39">
    <cfRule type="cellIs" dxfId="79" priority="6" operator="notBetween">
      <formula>0.5</formula>
      <formula>-0.5</formula>
    </cfRule>
  </conditionalFormatting>
  <conditionalFormatting sqref="E38">
    <cfRule type="cellIs" dxfId="78" priority="5" operator="notBetween">
      <formula>0.001</formula>
      <formula>-0.001</formula>
    </cfRule>
  </conditionalFormatting>
  <conditionalFormatting sqref="D38">
    <cfRule type="cellIs" dxfId="77" priority="4" operator="notBetween">
      <formula>0.001</formula>
      <formula>-0.001</formula>
    </cfRule>
  </conditionalFormatting>
  <conditionalFormatting sqref="C38">
    <cfRule type="cellIs" dxfId="76" priority="3" operator="notBetween">
      <formula>0.001</formula>
      <formula>-0.001</formula>
    </cfRule>
  </conditionalFormatting>
  <conditionalFormatting sqref="B38">
    <cfRule type="cellIs" dxfId="75" priority="2" operator="notBetween">
      <formula>0.001</formula>
      <formula>-0.001</formula>
    </cfRule>
  </conditionalFormatting>
  <conditionalFormatting sqref="B43:I43">
    <cfRule type="cellIs" dxfId="74" priority="1" operator="notBetween">
      <formula>0.1</formula>
      <formula>-0.1</formula>
    </cfRule>
  </conditionalFormatting>
  <pageMargins left="0.7" right="0.7"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2"/>
  <sheetViews>
    <sheetView showGridLines="0" workbookViewId="0">
      <selection activeCell="A41" sqref="A41"/>
    </sheetView>
  </sheetViews>
  <sheetFormatPr baseColWidth="10" defaultColWidth="11.453125" defaultRowHeight="14.5"/>
  <cols>
    <col min="1" max="1" width="62" style="63" customWidth="1"/>
    <col min="2" max="6" width="11.453125" style="63"/>
    <col min="7" max="9" width="0" style="63" hidden="1" customWidth="1"/>
    <col min="10" max="16384" width="11.453125" style="63"/>
  </cols>
  <sheetData>
    <row r="1" spans="1:9" ht="17">
      <c r="A1" s="61" t="str">
        <f>HLOOKUP(INDICE!$F$2,Nombres!$C$3:$D$636,7,FALSE)</f>
        <v>España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v>2023</v>
      </c>
      <c r="C6" s="299"/>
      <c r="D6" s="299"/>
      <c r="E6" s="300"/>
      <c r="F6" s="299">
        <v>2024</v>
      </c>
      <c r="G6" s="299"/>
      <c r="H6" s="299"/>
      <c r="I6" s="299"/>
    </row>
    <row r="7" spans="1:9">
      <c r="A7" s="70"/>
      <c r="B7" s="71" t="str">
        <f>HLOOKUP(INDICE!$F$2,Nombres!$C$3:$D$636,167,FALSE)</f>
        <v>1er Trim.</v>
      </c>
      <c r="C7" s="71" t="str">
        <f>HLOOKUP(INDICE!$F$2,Nombres!$C$3:$D$636,168,FALSE)</f>
        <v>2º Trim.</v>
      </c>
      <c r="D7" s="71" t="str">
        <f>HLOOKUP(INDICE!$F$2,Nombres!$C$3:$D$636,169,FALSE)</f>
        <v>3er Trim.</v>
      </c>
      <c r="E7" s="72" t="str">
        <f>HLOOKUP(INDICE!$F$2,Nombres!$C$3:$D$636,170,FALSE)</f>
        <v>4º Trim.</v>
      </c>
      <c r="F7" s="71" t="str">
        <f>HLOOKUP(INDICE!$F$2,Nombres!$C$3:$D$636,167,FALSE)</f>
        <v>1er Trim.</v>
      </c>
      <c r="G7" s="71" t="str">
        <f>HLOOKUP(INDICE!$F$2,Nombres!$C$3:$D$636,168,FALSE)</f>
        <v>2º Trim.</v>
      </c>
      <c r="H7" s="71" t="str">
        <f>HLOOKUP(INDICE!$F$2,Nombres!$C$3:$D$636,169,FALSE)</f>
        <v>3er Trim.</v>
      </c>
      <c r="I7" s="71" t="str">
        <f>HLOOKUP(INDICE!$F$2,Nombres!$C$3:$D$636,170,FALSE)</f>
        <v>4º Trim.</v>
      </c>
    </row>
    <row r="8" spans="1:9">
      <c r="A8" s="25" t="str">
        <f>HLOOKUP(INDICE!$F$2,Nombres!$C$3:$D$636,33,FALSE)</f>
        <v>Margen de intereses</v>
      </c>
      <c r="B8" s="25">
        <v>1183.0861497600001</v>
      </c>
      <c r="C8" s="25">
        <v>1360.5508750700001</v>
      </c>
      <c r="D8" s="25">
        <v>1509.7643528200006</v>
      </c>
      <c r="E8" s="73">
        <v>1567.0128120799995</v>
      </c>
      <c r="F8" s="74">
        <v>1599.0234030099998</v>
      </c>
      <c r="G8" s="74">
        <v>0</v>
      </c>
      <c r="H8" s="74">
        <v>0</v>
      </c>
      <c r="I8" s="74">
        <v>0</v>
      </c>
    </row>
    <row r="9" spans="1:9">
      <c r="A9" s="17" t="str">
        <f>HLOOKUP(INDICE!$F$2,Nombres!$C$3:$D$636,34,FALSE)</f>
        <v>Comisiones netas</v>
      </c>
      <c r="B9" s="75">
        <v>535.73869640999999</v>
      </c>
      <c r="C9" s="75">
        <v>557.21428552000009</v>
      </c>
      <c r="D9" s="75">
        <v>509.78870738000001</v>
      </c>
      <c r="E9" s="76">
        <v>560.95564743</v>
      </c>
      <c r="F9" s="75">
        <v>565.90584197999999</v>
      </c>
      <c r="G9" s="75">
        <v>0</v>
      </c>
      <c r="H9" s="75">
        <v>0</v>
      </c>
      <c r="I9" s="75">
        <v>0</v>
      </c>
    </row>
    <row r="10" spans="1:9">
      <c r="A10" s="17" t="str">
        <f>HLOOKUP(INDICE!$F$2,Nombres!$C$3:$D$636,35,FALSE)</f>
        <v>Resultados de operaciones financieras</v>
      </c>
      <c r="B10" s="75">
        <v>119.69593746000001</v>
      </c>
      <c r="C10" s="75">
        <v>98.077079029999965</v>
      </c>
      <c r="D10" s="75">
        <v>91.020114450000023</v>
      </c>
      <c r="E10" s="76">
        <v>100.45714398</v>
      </c>
      <c r="F10" s="75">
        <v>205.39167994999997</v>
      </c>
      <c r="G10" s="75">
        <v>0</v>
      </c>
      <c r="H10" s="75">
        <v>0</v>
      </c>
      <c r="I10" s="75">
        <v>0</v>
      </c>
    </row>
    <row r="11" spans="1:9">
      <c r="A11" s="17" t="str">
        <f>HLOOKUP(INDICE!$F$2,Nombres!$C$3:$D$636,36,FALSE)</f>
        <v>Otros ingresos y cargas de explotación</v>
      </c>
      <c r="B11" s="75">
        <v>-112.28107180000001</v>
      </c>
      <c r="C11" s="75">
        <v>-111.59899972999997</v>
      </c>
      <c r="D11" s="75">
        <v>91.977762559999974</v>
      </c>
      <c r="E11" s="76">
        <v>-173.14746307999994</v>
      </c>
      <c r="F11" s="75">
        <v>-208.77024920999997</v>
      </c>
      <c r="G11" s="75">
        <v>0</v>
      </c>
      <c r="H11" s="75">
        <v>0</v>
      </c>
      <c r="I11" s="75">
        <v>0</v>
      </c>
    </row>
    <row r="12" spans="1:9">
      <c r="A12" s="25" t="str">
        <f>HLOOKUP(INDICE!$F$2,Nombres!$C$3:$D$636,37,FALSE)</f>
        <v>Margen bruto</v>
      </c>
      <c r="B12" s="25">
        <f>+SUM(B8:B11)</f>
        <v>1726.23971183</v>
      </c>
      <c r="C12" s="25">
        <f t="shared" ref="C12:I12" si="0">+SUM(C8:C11)</f>
        <v>1904.24323989</v>
      </c>
      <c r="D12" s="25">
        <f t="shared" si="0"/>
        <v>2202.5509372100005</v>
      </c>
      <c r="E12" s="73">
        <f t="shared" si="0"/>
        <v>2055.2781404100001</v>
      </c>
      <c r="F12" s="74">
        <f t="shared" si="0"/>
        <v>2161.55067573</v>
      </c>
      <c r="G12" s="74">
        <f t="shared" si="0"/>
        <v>0</v>
      </c>
      <c r="H12" s="74">
        <f t="shared" si="0"/>
        <v>0</v>
      </c>
      <c r="I12" s="74">
        <f t="shared" si="0"/>
        <v>0</v>
      </c>
    </row>
    <row r="13" spans="1:9">
      <c r="A13" s="17" t="str">
        <f>HLOOKUP(INDICE!$F$2,Nombres!$C$3:$D$636,38,FALSE)</f>
        <v>Gastos de explotación</v>
      </c>
      <c r="B13" s="75">
        <v>-766.61378968999998</v>
      </c>
      <c r="C13" s="75">
        <v>-778.28713712999979</v>
      </c>
      <c r="D13" s="75">
        <v>-794.04471287000001</v>
      </c>
      <c r="E13" s="76">
        <v>-856.44464259999995</v>
      </c>
      <c r="F13" s="75">
        <v>-817.71030489000009</v>
      </c>
      <c r="G13" s="75">
        <v>0</v>
      </c>
      <c r="H13" s="75">
        <v>0</v>
      </c>
      <c r="I13" s="75">
        <v>0</v>
      </c>
    </row>
    <row r="14" spans="1:9">
      <c r="A14" s="17" t="str">
        <f>HLOOKUP(INDICE!$F$2,Nombres!$C$3:$D$636,39,FALSE)</f>
        <v xml:space="preserve">  Gastos de administración</v>
      </c>
      <c r="B14" s="75">
        <v>-672.24460938999994</v>
      </c>
      <c r="C14" s="75">
        <v>-682.64289781999992</v>
      </c>
      <c r="D14" s="75">
        <v>-697.74175156999991</v>
      </c>
      <c r="E14" s="76">
        <v>-759.6376442899998</v>
      </c>
      <c r="F14" s="75">
        <v>-723.99320724999995</v>
      </c>
      <c r="G14" s="75">
        <v>0</v>
      </c>
      <c r="H14" s="75">
        <v>0</v>
      </c>
      <c r="I14" s="75">
        <v>0</v>
      </c>
    </row>
    <row r="15" spans="1:9">
      <c r="A15" s="77" t="str">
        <f>HLOOKUP(INDICE!$F$2,Nombres!$C$3:$D$636,40,FALSE)</f>
        <v xml:space="preserve">  Gastos de personal</v>
      </c>
      <c r="B15" s="75">
        <v>-412.02207917999999</v>
      </c>
      <c r="C15" s="75">
        <v>-438.92208019999998</v>
      </c>
      <c r="D15" s="75">
        <v>-428.87243317000002</v>
      </c>
      <c r="E15" s="76">
        <v>-479.48075221999994</v>
      </c>
      <c r="F15" s="75">
        <v>-419.46095439999999</v>
      </c>
      <c r="G15" s="75">
        <v>0</v>
      </c>
      <c r="H15" s="75">
        <v>0</v>
      </c>
      <c r="I15" s="75">
        <v>0</v>
      </c>
    </row>
    <row r="16" spans="1:9">
      <c r="A16" s="77" t="str">
        <f>HLOOKUP(INDICE!$F$2,Nombres!$C$3:$D$636,41,FALSE)</f>
        <v xml:space="preserve">  Otros gastos de administración</v>
      </c>
      <c r="B16" s="75">
        <v>-260.22253021000006</v>
      </c>
      <c r="C16" s="75">
        <v>-243.72081761999993</v>
      </c>
      <c r="D16" s="75">
        <v>-268.8693184</v>
      </c>
      <c r="E16" s="76">
        <v>-280.1568920699998</v>
      </c>
      <c r="F16" s="75">
        <v>-304.53225285000008</v>
      </c>
      <c r="G16" s="75">
        <v>0</v>
      </c>
      <c r="H16" s="75">
        <v>0</v>
      </c>
      <c r="I16" s="75">
        <v>0</v>
      </c>
    </row>
    <row r="17" spans="1:9">
      <c r="A17" s="17" t="str">
        <f>HLOOKUP(INDICE!$F$2,Nombres!$C$3:$D$636,42,FALSE)</f>
        <v xml:space="preserve">  Amortización</v>
      </c>
      <c r="B17" s="75">
        <v>-94.369180300000011</v>
      </c>
      <c r="C17" s="75">
        <v>-95.644239309999989</v>
      </c>
      <c r="D17" s="75">
        <v>-96.302961300000007</v>
      </c>
      <c r="E17" s="76">
        <v>-96.806998310000012</v>
      </c>
      <c r="F17" s="75">
        <v>-93.717097640000006</v>
      </c>
      <c r="G17" s="75">
        <v>0</v>
      </c>
      <c r="H17" s="75">
        <v>0</v>
      </c>
      <c r="I17" s="75">
        <v>0</v>
      </c>
    </row>
    <row r="18" spans="1:9">
      <c r="A18" s="25" t="str">
        <f>HLOOKUP(INDICE!$F$2,Nombres!$C$3:$D$636,43,FALSE)</f>
        <v>Margen neto</v>
      </c>
      <c r="B18" s="25">
        <f>+B12+B13</f>
        <v>959.62592214000006</v>
      </c>
      <c r="C18" s="25">
        <f t="shared" ref="C18:I18" si="1">+C12+C13</f>
        <v>1125.9561027600002</v>
      </c>
      <c r="D18" s="25">
        <f t="shared" si="1"/>
        <v>1408.5062243400005</v>
      </c>
      <c r="E18" s="73">
        <f t="shared" si="1"/>
        <v>1198.8334978100002</v>
      </c>
      <c r="F18" s="74">
        <f t="shared" si="1"/>
        <v>1343.8403708399999</v>
      </c>
      <c r="G18" s="74">
        <f t="shared" si="1"/>
        <v>0</v>
      </c>
      <c r="H18" s="74">
        <f t="shared" si="1"/>
        <v>0</v>
      </c>
      <c r="I18" s="74">
        <f t="shared" si="1"/>
        <v>0</v>
      </c>
    </row>
    <row r="19" spans="1:9">
      <c r="A19" s="17" t="str">
        <f>HLOOKUP(INDICE!$F$2,Nombres!$C$3:$D$636,44,FALSE)</f>
        <v>Deterioro de activos financieros no valorados a valor razonable con cambios en resultados</v>
      </c>
      <c r="B19" s="75">
        <v>-113.52553181</v>
      </c>
      <c r="C19" s="75">
        <v>-126.7077901</v>
      </c>
      <c r="D19" s="75">
        <v>-164.74894214</v>
      </c>
      <c r="E19" s="76">
        <v>-245.65353399000003</v>
      </c>
      <c r="F19" s="75">
        <v>-163.92505525000001</v>
      </c>
      <c r="G19" s="75">
        <v>0</v>
      </c>
      <c r="H19" s="75">
        <v>0</v>
      </c>
      <c r="I19" s="75">
        <v>0</v>
      </c>
    </row>
    <row r="20" spans="1:9">
      <c r="A20" s="17" t="str">
        <f>HLOOKUP(INDICE!$F$2,Nombres!$C$3:$D$636,45,FALSE)</f>
        <v>Provisiones o reversión de provisiones y otros resultados</v>
      </c>
      <c r="B20" s="75">
        <v>-8.7428722200000042</v>
      </c>
      <c r="C20" s="75">
        <v>-42.739427300000003</v>
      </c>
      <c r="D20" s="75">
        <v>-22.921293709999997</v>
      </c>
      <c r="E20" s="76">
        <v>-70.699945430000014</v>
      </c>
      <c r="F20" s="75">
        <v>-31.877139120000002</v>
      </c>
      <c r="G20" s="75">
        <v>0</v>
      </c>
      <c r="H20" s="75">
        <v>0</v>
      </c>
      <c r="I20" s="75">
        <v>0</v>
      </c>
    </row>
    <row r="21" spans="1:9">
      <c r="A21" s="25" t="str">
        <f>HLOOKUP(INDICE!$F$2,Nombres!$C$3:$D$636,46,FALSE)</f>
        <v>Resultado antes de impuestos</v>
      </c>
      <c r="B21" s="25">
        <f>+B18+B19+B20</f>
        <v>837.35751811000011</v>
      </c>
      <c r="C21" s="25">
        <f t="shared" ref="C21:I21" si="2">+C18+C19+C20</f>
        <v>956.50888536000025</v>
      </c>
      <c r="D21" s="25">
        <f t="shared" si="2"/>
        <v>1220.8359884900003</v>
      </c>
      <c r="E21" s="73">
        <f t="shared" si="2"/>
        <v>882.48001839000017</v>
      </c>
      <c r="F21" s="74">
        <f t="shared" si="2"/>
        <v>1148.0381764699998</v>
      </c>
      <c r="G21" s="74">
        <f t="shared" si="2"/>
        <v>0</v>
      </c>
      <c r="H21" s="74">
        <f t="shared" si="2"/>
        <v>0</v>
      </c>
      <c r="I21" s="74">
        <f t="shared" si="2"/>
        <v>0</v>
      </c>
    </row>
    <row r="22" spans="1:9">
      <c r="A22" s="17" t="str">
        <f>HLOOKUP(INDICE!$F$2,Nombres!$C$3:$D$636,47,FALSE)</f>
        <v>Impuesto sobre beneficios</v>
      </c>
      <c r="B22" s="75">
        <v>-305.85272940999999</v>
      </c>
      <c r="C22" s="75">
        <v>-275.37890802999999</v>
      </c>
      <c r="D22" s="75">
        <v>-348.59968130999999</v>
      </c>
      <c r="E22" s="76">
        <v>-245.10340407000007</v>
      </c>
      <c r="F22" s="75">
        <v>-422.74626207</v>
      </c>
      <c r="G22" s="75">
        <v>0</v>
      </c>
      <c r="H22" s="75">
        <v>0</v>
      </c>
      <c r="I22" s="75">
        <v>0</v>
      </c>
    </row>
    <row r="23" spans="1:9">
      <c r="A23" s="25" t="str">
        <f>HLOOKUP(INDICE!$F$2,Nombres!$C$3:$D$636,48,FALSE)</f>
        <v>Resultado del ejercicio</v>
      </c>
      <c r="B23" s="25">
        <f>+B21+B22</f>
        <v>531.50478870000006</v>
      </c>
      <c r="C23" s="25">
        <f t="shared" ref="C23:I23" si="3">+C21+C22</f>
        <v>681.1299773300002</v>
      </c>
      <c r="D23" s="25">
        <f t="shared" si="3"/>
        <v>872.23630718000027</v>
      </c>
      <c r="E23" s="73">
        <f t="shared" si="3"/>
        <v>637.37661432000004</v>
      </c>
      <c r="F23" s="74">
        <f t="shared" si="3"/>
        <v>725.29191439999977</v>
      </c>
      <c r="G23" s="74">
        <f t="shared" si="3"/>
        <v>0</v>
      </c>
      <c r="H23" s="74">
        <f t="shared" si="3"/>
        <v>0</v>
      </c>
      <c r="I23" s="74">
        <f t="shared" si="3"/>
        <v>0</v>
      </c>
    </row>
    <row r="24" spans="1:9">
      <c r="A24" s="17" t="str">
        <f>HLOOKUP(INDICE!$F$2,Nombres!$C$3:$D$636,49,FALSE)</f>
        <v>Minoritarios</v>
      </c>
      <c r="B24" s="75">
        <v>-0.52619013000000003</v>
      </c>
      <c r="C24" s="75">
        <v>-0.5612686899999999</v>
      </c>
      <c r="D24" s="75">
        <v>-0.56966270000000008</v>
      </c>
      <c r="E24" s="76">
        <v>-0.55312763999999992</v>
      </c>
      <c r="F24" s="75">
        <v>-0.69254875999999999</v>
      </c>
      <c r="G24" s="75">
        <v>0</v>
      </c>
      <c r="H24" s="75">
        <v>0</v>
      </c>
      <c r="I24" s="75">
        <v>0</v>
      </c>
    </row>
    <row r="25" spans="1:9">
      <c r="A25" s="19" t="str">
        <f>HLOOKUP(INDICE!$F$2,Nombres!$C$3:$D$636,305,FALSE)</f>
        <v>Resultado atribuido excluyendo impactos no recurrentes</v>
      </c>
      <c r="B25" s="19">
        <f>+B23+B24</f>
        <v>530.97859857000003</v>
      </c>
      <c r="C25" s="19">
        <f t="shared" ref="C25:I25" si="4">+C23+C24</f>
        <v>680.56870864000018</v>
      </c>
      <c r="D25" s="19">
        <f t="shared" si="4"/>
        <v>871.66664448000029</v>
      </c>
      <c r="E25" s="93">
        <f t="shared" si="4"/>
        <v>636.82348668000009</v>
      </c>
      <c r="F25" s="94">
        <f t="shared" si="4"/>
        <v>724.59936563999975</v>
      </c>
      <c r="G25" s="94">
        <f t="shared" si="4"/>
        <v>0</v>
      </c>
      <c r="H25" s="94">
        <f t="shared" si="4"/>
        <v>0</v>
      </c>
      <c r="I25" s="94">
        <f t="shared" si="4"/>
        <v>0</v>
      </c>
    </row>
    <row r="26" spans="1:9">
      <c r="A26" s="17" t="str">
        <f>HLOOKUP(INDICE!$F$2,Nombres!$C$3:$D$636,319,FALSE)</f>
        <v>Impacto neto de la compra de oficinas en España</v>
      </c>
      <c r="B26" s="75">
        <v>0</v>
      </c>
      <c r="C26" s="75">
        <v>0</v>
      </c>
      <c r="D26" s="75">
        <v>0</v>
      </c>
      <c r="E26" s="76">
        <v>0</v>
      </c>
      <c r="F26" s="75">
        <v>0</v>
      </c>
      <c r="G26" s="75">
        <v>0</v>
      </c>
      <c r="H26" s="75">
        <v>0</v>
      </c>
      <c r="I26" s="75">
        <v>0</v>
      </c>
    </row>
    <row r="27" spans="1:9">
      <c r="A27" s="19" t="str">
        <f>HLOOKUP(INDICE!$F$2,Nombres!$C$3:$D$636,50,FALSE)</f>
        <v>Resultado atribuido</v>
      </c>
      <c r="B27" s="19">
        <f>+B25+B26</f>
        <v>530.97859857000003</v>
      </c>
      <c r="C27" s="19">
        <f t="shared" ref="C27:I27" si="5">+C25+C26</f>
        <v>680.56870864000018</v>
      </c>
      <c r="D27" s="19">
        <f t="shared" si="5"/>
        <v>871.66664448000029</v>
      </c>
      <c r="E27" s="93">
        <f t="shared" si="5"/>
        <v>636.82348668000009</v>
      </c>
      <c r="F27" s="19">
        <f t="shared" si="5"/>
        <v>724.59936563999975</v>
      </c>
      <c r="G27" s="19">
        <f t="shared" si="5"/>
        <v>0</v>
      </c>
      <c r="H27" s="19">
        <f t="shared" si="5"/>
        <v>0</v>
      </c>
      <c r="I27" s="19">
        <f t="shared" si="5"/>
        <v>0</v>
      </c>
    </row>
    <row r="28" spans="1:9">
      <c r="A28" s="298"/>
      <c r="B28" s="298"/>
      <c r="C28" s="298"/>
      <c r="D28" s="298"/>
      <c r="E28" s="298"/>
      <c r="F28" s="298"/>
      <c r="G28" s="298"/>
      <c r="H28" s="298"/>
      <c r="I28" s="298"/>
    </row>
    <row r="29" spans="1:9">
      <c r="A29" s="25"/>
      <c r="B29" s="25"/>
      <c r="C29" s="25"/>
      <c r="D29" s="25"/>
      <c r="E29" s="25"/>
      <c r="F29" s="25"/>
      <c r="G29" s="25"/>
      <c r="H29" s="25"/>
      <c r="I29" s="25"/>
    </row>
    <row r="30" spans="1:9" ht="17">
      <c r="A30" s="65" t="str">
        <f>HLOOKUP(INDICE!$F$2,Nombres!$C$3:$D$636,51,FALSE)</f>
        <v>Balances</v>
      </c>
      <c r="B30" s="66"/>
      <c r="C30" s="66"/>
      <c r="D30" s="66"/>
      <c r="E30" s="66"/>
      <c r="F30" s="66"/>
      <c r="G30" s="66"/>
      <c r="H30" s="66"/>
      <c r="I30" s="66"/>
    </row>
    <row r="31" spans="1:9">
      <c r="A31" s="67" t="str">
        <f>HLOOKUP(INDICE!$F$2,Nombres!$C$3:$D$636,32,FALSE)</f>
        <v>(Millones de euros)</v>
      </c>
      <c r="B31" s="62"/>
      <c r="C31" s="82"/>
      <c r="D31" s="82"/>
      <c r="E31" s="82"/>
      <c r="F31" s="62"/>
      <c r="G31" s="83"/>
      <c r="H31" s="83"/>
      <c r="I31" s="83"/>
    </row>
    <row r="32" spans="1:9">
      <c r="A32" s="62"/>
      <c r="B32" s="84">
        <v>45016</v>
      </c>
      <c r="C32" s="84">
        <v>45107</v>
      </c>
      <c r="D32" s="84">
        <v>45199</v>
      </c>
      <c r="E32" s="84">
        <v>45291</v>
      </c>
      <c r="F32" s="84">
        <v>45382</v>
      </c>
      <c r="G32" s="84">
        <v>45473</v>
      </c>
      <c r="H32" s="84">
        <v>45565</v>
      </c>
      <c r="I32" s="84">
        <v>45657</v>
      </c>
    </row>
    <row r="33" spans="1:11">
      <c r="A33" s="17" t="str">
        <f>HLOOKUP(INDICE!$F$2,Nombres!$C$3:$D$636,52,FALSE)</f>
        <v>Efectivo, saldos en efectivo en bancos centrales y otros depósitos a la vista</v>
      </c>
      <c r="B33" s="75">
        <v>50945.358749000006</v>
      </c>
      <c r="C33" s="75">
        <v>39179.558633000008</v>
      </c>
      <c r="D33" s="75">
        <v>34450.345619</v>
      </c>
      <c r="E33" s="76">
        <v>44653.493090999997</v>
      </c>
      <c r="F33" s="75">
        <v>43415.775668999995</v>
      </c>
      <c r="G33" s="75">
        <v>0</v>
      </c>
      <c r="H33" s="75">
        <v>0</v>
      </c>
      <c r="I33" s="75">
        <v>0</v>
      </c>
      <c r="K33" s="85"/>
    </row>
    <row r="34" spans="1:11">
      <c r="A34" s="17" t="str">
        <f>HLOOKUP(INDICE!$F$2,Nombres!$C$3:$D$636,53,FALSE)</f>
        <v>Activos financieros a valor razonable</v>
      </c>
      <c r="B34" s="83">
        <v>137431.70913716999</v>
      </c>
      <c r="C34" s="83">
        <v>153651.27486332002</v>
      </c>
      <c r="D34" s="83">
        <v>138913.09923678002</v>
      </c>
      <c r="E34" s="95">
        <v>146135.93039976002</v>
      </c>
      <c r="F34" s="75">
        <v>147142.83541296999</v>
      </c>
      <c r="G34" s="75">
        <v>0</v>
      </c>
      <c r="H34" s="75">
        <v>0</v>
      </c>
      <c r="I34" s="75">
        <v>0</v>
      </c>
      <c r="K34" s="85"/>
    </row>
    <row r="35" spans="1:11">
      <c r="A35" s="17" t="str">
        <f>HLOOKUP(INDICE!$F$2,Nombres!$C$3:$D$636,54,FALSE)</f>
        <v>Activos financieros a coste amortizado</v>
      </c>
      <c r="B35" s="75">
        <v>207343.53412338995</v>
      </c>
      <c r="C35" s="75">
        <v>210398.98779128998</v>
      </c>
      <c r="D35" s="75">
        <v>214585.84632382003</v>
      </c>
      <c r="E35" s="76">
        <v>216334.1051738</v>
      </c>
      <c r="F35" s="75">
        <v>221239.61110506003</v>
      </c>
      <c r="G35" s="75">
        <v>0</v>
      </c>
      <c r="H35" s="75">
        <v>0</v>
      </c>
      <c r="I35" s="75">
        <v>0</v>
      </c>
      <c r="K35" s="85"/>
    </row>
    <row r="36" spans="1:11">
      <c r="A36" s="17" t="str">
        <f>HLOOKUP(INDICE!$F$2,Nombres!$C$3:$D$636,55,FALSE)</f>
        <v xml:space="preserve">    de los que préstamos y anticipos a la clientela</v>
      </c>
      <c r="B36" s="75">
        <v>172084.30094139001</v>
      </c>
      <c r="C36" s="75">
        <v>173943.77717628999</v>
      </c>
      <c r="D36" s="75">
        <v>173618.45825782005</v>
      </c>
      <c r="E36" s="76">
        <v>173168.5402778</v>
      </c>
      <c r="F36" s="75">
        <v>174093.78016306</v>
      </c>
      <c r="G36" s="75">
        <v>0</v>
      </c>
      <c r="H36" s="75">
        <v>0</v>
      </c>
      <c r="I36" s="75">
        <v>0</v>
      </c>
      <c r="K36" s="85"/>
    </row>
    <row r="37" spans="1:11">
      <c r="A37" s="17" t="str">
        <f>HLOOKUP(INDICE!$F$2,Nombres!$C$3:$D$636,121,FALSE)</f>
        <v>Posiciones inter-áreas activo</v>
      </c>
      <c r="B37" s="75">
        <v>37817.574421500205</v>
      </c>
      <c r="C37" s="75">
        <v>39773.787030560081</v>
      </c>
      <c r="D37" s="75">
        <v>40835.639399499807</v>
      </c>
      <c r="E37" s="76">
        <v>42868.827152760117</v>
      </c>
      <c r="F37" s="75">
        <v>33120.557158959913</v>
      </c>
      <c r="G37" s="75">
        <v>0</v>
      </c>
      <c r="H37" s="75">
        <v>0</v>
      </c>
      <c r="I37" s="75">
        <v>0</v>
      </c>
      <c r="K37" s="85"/>
    </row>
    <row r="38" spans="1:11">
      <c r="A38" s="17" t="str">
        <f>HLOOKUP(INDICE!$F$2,Nombres!$C$3:$D$636,56,FALSE)</f>
        <v>Activos tangibles</v>
      </c>
      <c r="B38" s="83">
        <v>2954.9072669999996</v>
      </c>
      <c r="C38" s="83">
        <v>2917.0457719999999</v>
      </c>
      <c r="D38" s="83">
        <v>2879.8677609999995</v>
      </c>
      <c r="E38" s="95">
        <v>2884.033946</v>
      </c>
      <c r="F38" s="75">
        <v>2842.1895589999999</v>
      </c>
      <c r="G38" s="75">
        <v>0</v>
      </c>
      <c r="H38" s="75">
        <v>0</v>
      </c>
      <c r="I38" s="75">
        <v>0</v>
      </c>
      <c r="K38" s="85"/>
    </row>
    <row r="39" spans="1:11">
      <c r="A39" s="17" t="str">
        <f>HLOOKUP(INDICE!$F$2,Nombres!$C$3:$D$636,57,FALSE)</f>
        <v>Otros activos</v>
      </c>
      <c r="B39" s="83">
        <f t="shared" ref="B39:I39" si="6">+B40-B38-B35-B34-B33-B37</f>
        <v>5073.0876041499723</v>
      </c>
      <c r="C39" s="83">
        <f t="shared" si="6"/>
        <v>6268.8918480799475</v>
      </c>
      <c r="D39" s="83">
        <f t="shared" si="6"/>
        <v>5246.2251225600485</v>
      </c>
      <c r="E39" s="95">
        <f t="shared" si="6"/>
        <v>4697.0919521099859</v>
      </c>
      <c r="F39" s="75">
        <f t="shared" si="6"/>
        <v>4465.9875828499789</v>
      </c>
      <c r="G39" s="75">
        <f t="shared" si="6"/>
        <v>0</v>
      </c>
      <c r="H39" s="75">
        <f t="shared" si="6"/>
        <v>0</v>
      </c>
      <c r="I39" s="75">
        <f t="shared" si="6"/>
        <v>0</v>
      </c>
      <c r="K39" s="85"/>
    </row>
    <row r="40" spans="1:11">
      <c r="A40" s="19" t="str">
        <f>HLOOKUP(INDICE!$F$2,Nombres!$C$3:$D$636,58,FALSE)</f>
        <v>Total activo / pasivo</v>
      </c>
      <c r="B40" s="19">
        <v>441566.17130221013</v>
      </c>
      <c r="C40" s="19">
        <v>452189.54593825003</v>
      </c>
      <c r="D40" s="19">
        <v>436911.02346265991</v>
      </c>
      <c r="E40" s="19">
        <v>457573.4817154301</v>
      </c>
      <c r="F40" s="94">
        <v>452226.95648783993</v>
      </c>
      <c r="G40" s="94">
        <v>0</v>
      </c>
      <c r="H40" s="94">
        <v>0</v>
      </c>
      <c r="I40" s="94">
        <v>0</v>
      </c>
      <c r="K40" s="85"/>
    </row>
    <row r="41" spans="1:11">
      <c r="A41" s="17" t="str">
        <f>HLOOKUP(INDICE!$F$2,Nombres!$C$3:$D$636,59,FALSE)</f>
        <v>Pasivos financieros mantenidos para negociar y designados a valor razonable con cambios en resultados</v>
      </c>
      <c r="B41" s="83">
        <v>95928.743682999993</v>
      </c>
      <c r="C41" s="83">
        <v>116743.538591</v>
      </c>
      <c r="D41" s="83">
        <v>102933.86535399999</v>
      </c>
      <c r="E41" s="95">
        <v>111701.40129999998</v>
      </c>
      <c r="F41" s="75">
        <v>103945.23165199999</v>
      </c>
      <c r="G41" s="75">
        <v>0</v>
      </c>
      <c r="H41" s="75">
        <v>0</v>
      </c>
      <c r="I41" s="75">
        <v>0</v>
      </c>
      <c r="K41" s="85"/>
    </row>
    <row r="42" spans="1:11">
      <c r="A42" s="17" t="str">
        <f>HLOOKUP(INDICE!$F$2,Nombres!$C$3:$D$636,60,FALSE)</f>
        <v>Depósitos de bancos centrales y entidades de crédito</v>
      </c>
      <c r="B42" s="83">
        <v>60199.619349000001</v>
      </c>
      <c r="C42" s="83">
        <v>41424.067588999998</v>
      </c>
      <c r="D42" s="83">
        <v>41080.164229999995</v>
      </c>
      <c r="E42" s="95">
        <v>43694.325083000003</v>
      </c>
      <c r="F42" s="75">
        <v>37027.366041999994</v>
      </c>
      <c r="G42" s="75">
        <v>0</v>
      </c>
      <c r="H42" s="75">
        <v>0</v>
      </c>
      <c r="I42" s="75">
        <v>0</v>
      </c>
      <c r="K42" s="85"/>
    </row>
    <row r="43" spans="1:11" ht="15.75" customHeight="1">
      <c r="A43" s="17" t="str">
        <f>HLOOKUP(INDICE!$F$2,Nombres!$C$3:$D$636,61,FALSE)</f>
        <v>Depósitos de la clientela</v>
      </c>
      <c r="B43" s="83">
        <v>215474.55320400003</v>
      </c>
      <c r="C43" s="83">
        <v>215150.23058900001</v>
      </c>
      <c r="D43" s="83">
        <v>213842.72061600001</v>
      </c>
      <c r="E43" s="95">
        <v>217235.04948800002</v>
      </c>
      <c r="F43" s="75">
        <v>227410.44940399998</v>
      </c>
      <c r="G43" s="75">
        <v>0</v>
      </c>
      <c r="H43" s="75">
        <v>0</v>
      </c>
      <c r="I43" s="75">
        <v>0</v>
      </c>
      <c r="K43" s="85"/>
    </row>
    <row r="44" spans="1:11">
      <c r="A44" s="17" t="str">
        <f>HLOOKUP(INDICE!$F$2,Nombres!$C$3:$D$636,62,FALSE)</f>
        <v>Valores representativos de deuda emitidos</v>
      </c>
      <c r="B44" s="75">
        <v>40875.200563200007</v>
      </c>
      <c r="C44" s="75">
        <v>46696.653185129995</v>
      </c>
      <c r="D44" s="75">
        <v>48732.510953149998</v>
      </c>
      <c r="E44" s="76">
        <v>51471.806261840007</v>
      </c>
      <c r="F44" s="75">
        <v>54059.165010479999</v>
      </c>
      <c r="G44" s="75">
        <v>0</v>
      </c>
      <c r="H44" s="75">
        <v>0</v>
      </c>
      <c r="I44" s="75">
        <v>0</v>
      </c>
      <c r="K44" s="85"/>
    </row>
    <row r="45" spans="1:11">
      <c r="A45" s="17" t="str">
        <f>HLOOKUP(INDICE!$F$2,Nombres!$C$3:$D$636,122,FALSE)</f>
        <v>Posiciones inter-áreas pasivo</v>
      </c>
      <c r="B45" s="75">
        <v>0</v>
      </c>
      <c r="C45" s="75">
        <v>0</v>
      </c>
      <c r="D45" s="75">
        <v>0</v>
      </c>
      <c r="E45" s="76">
        <v>0</v>
      </c>
      <c r="F45" s="75">
        <v>0</v>
      </c>
      <c r="G45" s="75">
        <v>0</v>
      </c>
      <c r="H45" s="75">
        <v>0</v>
      </c>
      <c r="I45" s="75">
        <v>0</v>
      </c>
      <c r="K45" s="85"/>
    </row>
    <row r="46" spans="1:11">
      <c r="A46" s="17" t="str">
        <f>HLOOKUP(INDICE!$F$2,Nombres!$C$3:$D$636,63,FALSE)</f>
        <v>Otros pasivos</v>
      </c>
      <c r="B46" s="75">
        <f>+B40-B41-B42-B43-B44-B47-B45</f>
        <v>14757.594254390135</v>
      </c>
      <c r="C46" s="75">
        <f t="shared" ref="C46:I46" si="7">+C40-C41-C42-C43-C44-C47-C45</f>
        <v>17784.909519180015</v>
      </c>
      <c r="D46" s="75">
        <f t="shared" si="7"/>
        <v>15898.316358059903</v>
      </c>
      <c r="E46" s="76">
        <f t="shared" si="7"/>
        <v>18578.585398760097</v>
      </c>
      <c r="F46" s="75">
        <f t="shared" si="7"/>
        <v>14518.044617219944</v>
      </c>
      <c r="G46" s="75">
        <f t="shared" si="7"/>
        <v>0</v>
      </c>
      <c r="H46" s="75">
        <f t="shared" si="7"/>
        <v>0</v>
      </c>
      <c r="I46" s="75">
        <f t="shared" si="7"/>
        <v>0</v>
      </c>
      <c r="K46" s="85"/>
    </row>
    <row r="47" spans="1:11">
      <c r="A47" s="17" t="str">
        <f>HLOOKUP(INDICE!$F$2,Nombres!$C$3:$D$636,282,FALSE)</f>
        <v>Dotación de capital regulatorio</v>
      </c>
      <c r="B47" s="75">
        <v>14330.46024862</v>
      </c>
      <c r="C47" s="75">
        <v>14390.14646494</v>
      </c>
      <c r="D47" s="75">
        <v>14423.445951450001</v>
      </c>
      <c r="E47" s="76">
        <v>14892.314183830003</v>
      </c>
      <c r="F47" s="75">
        <v>15266.699762140001</v>
      </c>
      <c r="G47" s="75">
        <v>0</v>
      </c>
      <c r="H47" s="75">
        <v>0</v>
      </c>
      <c r="I47" s="75">
        <v>0</v>
      </c>
      <c r="K47" s="85"/>
    </row>
    <row r="48" spans="1:11">
      <c r="A48" s="91"/>
      <c r="B48" s="83"/>
      <c r="C48" s="83"/>
      <c r="D48" s="83"/>
      <c r="E48" s="83"/>
      <c r="F48" s="83"/>
      <c r="G48" s="83"/>
      <c r="H48" s="83"/>
      <c r="I48" s="83"/>
    </row>
    <row r="49" spans="1:12">
      <c r="A49" s="17"/>
      <c r="B49" s="83"/>
      <c r="C49" s="83"/>
      <c r="D49" s="83"/>
      <c r="E49" s="83"/>
      <c r="F49" s="83"/>
      <c r="G49" s="83"/>
      <c r="H49" s="83"/>
      <c r="I49" s="83"/>
    </row>
    <row r="50" spans="1:12" ht="17">
      <c r="A50" s="96" t="str">
        <f>HLOOKUP(INDICE!$F$2,Nombres!$C$3:$D$636,65,FALSE)</f>
        <v>Indicadores relevantes y de gestión</v>
      </c>
      <c r="B50" s="97"/>
      <c r="C50" s="97"/>
      <c r="D50" s="97"/>
      <c r="E50" s="97"/>
      <c r="F50" s="97"/>
      <c r="G50" s="97"/>
      <c r="H50" s="97"/>
      <c r="I50" s="97"/>
    </row>
    <row r="51" spans="1:12">
      <c r="A51" s="67" t="str">
        <f>HLOOKUP(INDICE!$F$2,Nombres!$C$3:$D$636,32,FALSE)</f>
        <v>(Millones de euros)</v>
      </c>
      <c r="B51" s="62"/>
      <c r="C51" s="62"/>
      <c r="D51" s="62"/>
      <c r="E51" s="62"/>
      <c r="F51" s="62"/>
      <c r="G51" s="83"/>
      <c r="H51" s="83"/>
      <c r="I51" s="83"/>
    </row>
    <row r="52" spans="1:12">
      <c r="A52" s="62"/>
      <c r="B52" s="84">
        <f t="shared" ref="B52:I52" si="8">+B$32</f>
        <v>45016</v>
      </c>
      <c r="C52" s="84">
        <f t="shared" si="8"/>
        <v>45107</v>
      </c>
      <c r="D52" s="84">
        <f t="shared" si="8"/>
        <v>45199</v>
      </c>
      <c r="E52" s="98">
        <f t="shared" si="8"/>
        <v>45291</v>
      </c>
      <c r="F52" s="84">
        <f t="shared" si="8"/>
        <v>45382</v>
      </c>
      <c r="G52" s="84">
        <f t="shared" si="8"/>
        <v>45473</v>
      </c>
      <c r="H52" s="84">
        <f t="shared" si="8"/>
        <v>45565</v>
      </c>
      <c r="I52" s="84">
        <f t="shared" si="8"/>
        <v>45657</v>
      </c>
    </row>
    <row r="53" spans="1:12">
      <c r="A53" s="17" t="str">
        <f>HLOOKUP(INDICE!$F$2,Nombres!$C$3:$D$636,66,FALSE)</f>
        <v>Préstamos y anticipos a la clientela bruto (*)</v>
      </c>
      <c r="B53" s="75">
        <v>176311.39350200002</v>
      </c>
      <c r="C53" s="75">
        <v>178226.76025600001</v>
      </c>
      <c r="D53" s="75">
        <v>177714.60351800005</v>
      </c>
      <c r="E53" s="76">
        <v>177422.11476099998</v>
      </c>
      <c r="F53" s="75">
        <v>178430.919975</v>
      </c>
      <c r="G53" s="75">
        <v>0</v>
      </c>
      <c r="H53" s="75">
        <v>0</v>
      </c>
      <c r="I53" s="75">
        <v>0</v>
      </c>
      <c r="K53" s="85"/>
      <c r="L53" s="85"/>
    </row>
    <row r="54" spans="1:12">
      <c r="A54" s="17" t="str">
        <f>HLOOKUP(INDICE!$F$2,Nombres!$C$3:$D$636,67,FALSE)</f>
        <v>Depósitos de clientes en gestión (**)</v>
      </c>
      <c r="B54" s="75">
        <v>214309.69715000002</v>
      </c>
      <c r="C54" s="75">
        <v>213954.10022400002</v>
      </c>
      <c r="D54" s="75">
        <v>212729.37093800004</v>
      </c>
      <c r="E54" s="76">
        <v>216004.54199900001</v>
      </c>
      <c r="F54" s="75">
        <v>216659.36056299999</v>
      </c>
      <c r="G54" s="75">
        <v>0</v>
      </c>
      <c r="H54" s="75">
        <v>0</v>
      </c>
      <c r="I54" s="75">
        <v>0</v>
      </c>
      <c r="L54" s="63" t="s">
        <v>551</v>
      </c>
    </row>
    <row r="55" spans="1:12">
      <c r="A55" s="17" t="str">
        <f>HLOOKUP(INDICE!$F$2,Nombres!$C$3:$D$636,68,FALSE)</f>
        <v>Fondos de inversión y carteras gestionadas</v>
      </c>
      <c r="B55" s="75">
        <v>67197.824199000024</v>
      </c>
      <c r="C55" s="75">
        <v>69251.882423589996</v>
      </c>
      <c r="D55" s="75">
        <v>69610.070002000008</v>
      </c>
      <c r="E55" s="76">
        <v>72874.742658000003</v>
      </c>
      <c r="F55" s="75">
        <v>75673.511123700009</v>
      </c>
      <c r="G55" s="75">
        <v>0</v>
      </c>
      <c r="H55" s="75">
        <v>0</v>
      </c>
      <c r="I55" s="75">
        <v>0</v>
      </c>
    </row>
    <row r="56" spans="1:12">
      <c r="A56" s="17" t="str">
        <f>HLOOKUP(INDICE!$F$2,Nombres!$C$3:$D$636,69,FALSE)</f>
        <v>Fondos de pensiones</v>
      </c>
      <c r="B56" s="75">
        <v>23379.58141105</v>
      </c>
      <c r="C56" s="75">
        <v>23595.65664021</v>
      </c>
      <c r="D56" s="75">
        <v>23414.403000000002</v>
      </c>
      <c r="E56" s="76">
        <v>24378.161</v>
      </c>
      <c r="F56" s="75">
        <v>24887.714171560001</v>
      </c>
      <c r="G56" s="75">
        <v>0</v>
      </c>
      <c r="H56" s="75">
        <v>0</v>
      </c>
      <c r="I56" s="75">
        <v>0</v>
      </c>
    </row>
    <row r="57" spans="1:12">
      <c r="A57" s="17" t="str">
        <f>HLOOKUP(INDICE!$F$2,Nombres!$C$3:$D$636,70,FALSE)</f>
        <v>Otros recursos fuera de balance</v>
      </c>
      <c r="B57" s="75">
        <v>0</v>
      </c>
      <c r="C57" s="75">
        <v>0</v>
      </c>
      <c r="D57" s="75">
        <v>0</v>
      </c>
      <c r="E57" s="76">
        <v>0</v>
      </c>
      <c r="F57" s="75">
        <v>0</v>
      </c>
      <c r="G57" s="75">
        <v>0</v>
      </c>
      <c r="H57" s="75">
        <v>0</v>
      </c>
      <c r="I57" s="75">
        <v>0</v>
      </c>
    </row>
    <row r="58" spans="1:12">
      <c r="A58" s="91" t="str">
        <f>HLOOKUP(INDICE!$F$2,Nombres!$C$3:$D$636,71,FALSE)</f>
        <v>(*) No incluye las adquisiciones temporales de activos.</v>
      </c>
      <c r="B58" s="83"/>
      <c r="C58" s="83"/>
      <c r="D58" s="83"/>
      <c r="E58" s="83"/>
      <c r="F58" s="83"/>
      <c r="G58" s="83"/>
      <c r="H58" s="83"/>
      <c r="I58" s="83"/>
    </row>
    <row r="59" spans="1:12">
      <c r="A59" s="91" t="str">
        <f>HLOOKUP(INDICE!$F$2,Nombres!$C$3:$D$636,72,FALSE)</f>
        <v>(**) No incluye las cesiones temporales de activos.</v>
      </c>
      <c r="B59" s="62"/>
      <c r="C59" s="62"/>
      <c r="D59" s="62"/>
      <c r="E59" s="62"/>
      <c r="F59" s="62"/>
      <c r="G59" s="62"/>
      <c r="H59" s="62"/>
      <c r="I59" s="62"/>
    </row>
    <row r="60" spans="1:12">
      <c r="A60" s="91"/>
      <c r="B60" s="62"/>
      <c r="C60" s="62"/>
      <c r="D60" s="62"/>
      <c r="E60" s="62"/>
      <c r="F60" s="62"/>
      <c r="G60" s="62"/>
      <c r="H60" s="62"/>
      <c r="I60" s="62"/>
    </row>
    <row r="63" spans="1:12">
      <c r="B63" s="85"/>
      <c r="C63" s="85"/>
      <c r="D63" s="85"/>
      <c r="E63" s="85"/>
      <c r="F63" s="85"/>
      <c r="G63" s="85"/>
      <c r="H63" s="85"/>
      <c r="I63" s="85"/>
    </row>
    <row r="1002" spans="1:1">
      <c r="A1002" s="63" t="s">
        <v>550</v>
      </c>
    </row>
  </sheetData>
  <mergeCells count="3">
    <mergeCell ref="B6:E6"/>
    <mergeCell ref="F6:I6"/>
    <mergeCell ref="A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heetViews>
  <sheetFormatPr baseColWidth="10" defaultColWidth="11.453125" defaultRowHeight="14.5"/>
  <cols>
    <col min="1" max="1" width="62" style="63" customWidth="1"/>
    <col min="2" max="5" width="11.453125" style="63" customWidth="1"/>
    <col min="6" max="6" width="11.453125" style="63"/>
    <col min="7" max="9" width="0" style="63" hidden="1" customWidth="1"/>
    <col min="10" max="16384" width="11.453125" style="63"/>
  </cols>
  <sheetData>
    <row r="1" spans="1:9" ht="17">
      <c r="A1" s="61" t="str">
        <f>HLOOKUP(INDICE!$F$2,Nombres!$C$3:$D$636,11,FALSE)</f>
        <v>México</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2589.4932329400003</v>
      </c>
      <c r="C8" s="25">
        <v>2674.1052977899999</v>
      </c>
      <c r="D8" s="25">
        <v>2900.7258405500006</v>
      </c>
      <c r="E8" s="73">
        <v>2889.215790409999</v>
      </c>
      <c r="F8" s="74">
        <v>2998.5251098500003</v>
      </c>
      <c r="G8" s="74">
        <v>0</v>
      </c>
      <c r="H8" s="74">
        <v>0</v>
      </c>
      <c r="I8" s="74">
        <v>0</v>
      </c>
    </row>
    <row r="9" spans="1:9">
      <c r="A9" s="17" t="str">
        <f>HLOOKUP(INDICE!$F$2,Nombres!$C$3:$D$636,34,FALSE)</f>
        <v>Comisiones netas</v>
      </c>
      <c r="B9" s="75">
        <v>482.70008304000004</v>
      </c>
      <c r="C9" s="75">
        <v>534.29906489000007</v>
      </c>
      <c r="D9" s="75">
        <v>608.51702918000001</v>
      </c>
      <c r="E9" s="76">
        <v>600.41203699999994</v>
      </c>
      <c r="F9" s="75">
        <v>641.95666064</v>
      </c>
      <c r="G9" s="75">
        <v>0</v>
      </c>
      <c r="H9" s="75">
        <v>0</v>
      </c>
      <c r="I9" s="75">
        <v>0</v>
      </c>
    </row>
    <row r="10" spans="1:9">
      <c r="A10" s="17" t="str">
        <f>HLOOKUP(INDICE!$F$2,Nombres!$C$3:$D$636,35,FALSE)</f>
        <v>Resultados de operaciones financieras</v>
      </c>
      <c r="B10" s="75">
        <v>148.75250654000001</v>
      </c>
      <c r="C10" s="75">
        <v>165.97206102999999</v>
      </c>
      <c r="D10" s="75">
        <v>69.545720580000008</v>
      </c>
      <c r="E10" s="76">
        <v>188.17087232</v>
      </c>
      <c r="F10" s="75">
        <v>213.05890191999998</v>
      </c>
      <c r="G10" s="75">
        <v>0</v>
      </c>
      <c r="H10" s="75">
        <v>0</v>
      </c>
      <c r="I10" s="75">
        <v>0</v>
      </c>
    </row>
    <row r="11" spans="1:9">
      <c r="A11" s="17" t="str">
        <f>HLOOKUP(INDICE!$F$2,Nombres!$C$3:$D$636,36,FALSE)</f>
        <v>Otros ingresos y cargas de explotación</v>
      </c>
      <c r="B11" s="75">
        <v>85.522999999999854</v>
      </c>
      <c r="C11" s="75">
        <v>92.760999989999817</v>
      </c>
      <c r="D11" s="75">
        <v>122.11700000000019</v>
      </c>
      <c r="E11" s="76">
        <v>115.02000000999942</v>
      </c>
      <c r="F11" s="75">
        <v>113.36999998000002</v>
      </c>
      <c r="G11" s="75">
        <v>0</v>
      </c>
      <c r="H11" s="75">
        <v>0</v>
      </c>
      <c r="I11" s="75">
        <v>0</v>
      </c>
    </row>
    <row r="12" spans="1:9">
      <c r="A12" s="25" t="str">
        <f>HLOOKUP(INDICE!$F$2,Nombres!$C$3:$D$636,37,FALSE)</f>
        <v>Margen bruto</v>
      </c>
      <c r="B12" s="25">
        <f>+SUM(B8:B11)</f>
        <v>3306.4688225200002</v>
      </c>
      <c r="C12" s="25">
        <f t="shared" ref="C12:I12" si="0">+SUM(C8:C11)</f>
        <v>3467.1374236999995</v>
      </c>
      <c r="D12" s="25">
        <f t="shared" si="0"/>
        <v>3700.9055903100007</v>
      </c>
      <c r="E12" s="73">
        <f t="shared" si="0"/>
        <v>3792.8186997399985</v>
      </c>
      <c r="F12" s="74">
        <f t="shared" si="0"/>
        <v>3966.9106723900004</v>
      </c>
      <c r="G12" s="74">
        <f t="shared" si="0"/>
        <v>0</v>
      </c>
      <c r="H12" s="74">
        <f t="shared" si="0"/>
        <v>0</v>
      </c>
      <c r="I12" s="74">
        <f t="shared" si="0"/>
        <v>0</v>
      </c>
    </row>
    <row r="13" spans="1:9">
      <c r="A13" s="17" t="str">
        <f>HLOOKUP(INDICE!$F$2,Nombres!$C$3:$D$636,38,FALSE)</f>
        <v>Gastos de explotación</v>
      </c>
      <c r="B13" s="75">
        <v>-995.74663062000002</v>
      </c>
      <c r="C13" s="75">
        <v>-1076.1405224300001</v>
      </c>
      <c r="D13" s="75">
        <v>-1125.2368375400001</v>
      </c>
      <c r="E13" s="76">
        <v>-1217.3789297399999</v>
      </c>
      <c r="F13" s="75">
        <v>-1193.7989832600001</v>
      </c>
      <c r="G13" s="75">
        <v>0</v>
      </c>
      <c r="H13" s="75">
        <v>0</v>
      </c>
      <c r="I13" s="75">
        <v>0</v>
      </c>
    </row>
    <row r="14" spans="1:9">
      <c r="A14" s="17" t="str">
        <f>HLOOKUP(INDICE!$F$2,Nombres!$C$3:$D$636,39,FALSE)</f>
        <v xml:space="preserve">  Gastos de administración</v>
      </c>
      <c r="B14" s="75">
        <v>-887.14182587000005</v>
      </c>
      <c r="C14" s="75">
        <v>-961.87514364000003</v>
      </c>
      <c r="D14" s="75">
        <v>-1002.12185712</v>
      </c>
      <c r="E14" s="76">
        <v>-1094.55719826</v>
      </c>
      <c r="F14" s="75">
        <v>-1066.3099222400001</v>
      </c>
      <c r="G14" s="75">
        <v>0</v>
      </c>
      <c r="H14" s="75">
        <v>0</v>
      </c>
      <c r="I14" s="75">
        <v>0</v>
      </c>
    </row>
    <row r="15" spans="1:9">
      <c r="A15" s="77" t="str">
        <f>HLOOKUP(INDICE!$F$2,Nombres!$C$3:$D$636,40,FALSE)</f>
        <v xml:space="preserve">  Gastos de personal</v>
      </c>
      <c r="B15" s="75">
        <v>-455.43776458000002</v>
      </c>
      <c r="C15" s="75">
        <v>-497.25865534000002</v>
      </c>
      <c r="D15" s="75">
        <v>-539.12067872</v>
      </c>
      <c r="E15" s="76">
        <v>-608.17984043000001</v>
      </c>
      <c r="F15" s="75">
        <v>-568.38369003000003</v>
      </c>
      <c r="G15" s="75">
        <v>0</v>
      </c>
      <c r="H15" s="75">
        <v>0</v>
      </c>
      <c r="I15" s="75">
        <v>0</v>
      </c>
    </row>
    <row r="16" spans="1:9">
      <c r="A16" s="77" t="str">
        <f>HLOOKUP(INDICE!$F$2,Nombres!$C$3:$D$636,41,FALSE)</f>
        <v xml:space="preserve">  Otros gastos de administración</v>
      </c>
      <c r="B16" s="75">
        <v>-431.70406129000003</v>
      </c>
      <c r="C16" s="75">
        <v>-464.61648829999996</v>
      </c>
      <c r="D16" s="75">
        <v>-463.00117839999996</v>
      </c>
      <c r="E16" s="76">
        <v>-486.37735782999994</v>
      </c>
      <c r="F16" s="75">
        <v>-497.92623221000002</v>
      </c>
      <c r="G16" s="75">
        <v>0</v>
      </c>
      <c r="H16" s="75">
        <v>0</v>
      </c>
      <c r="I16" s="75">
        <v>0</v>
      </c>
    </row>
    <row r="17" spans="1:9">
      <c r="A17" s="17" t="str">
        <f>HLOOKUP(INDICE!$F$2,Nombres!$C$3:$D$636,42,FALSE)</f>
        <v xml:space="preserve">  Amortización</v>
      </c>
      <c r="B17" s="75">
        <v>-108.60480475</v>
      </c>
      <c r="C17" s="75">
        <v>-114.26537879000003</v>
      </c>
      <c r="D17" s="75">
        <v>-123.11498041999998</v>
      </c>
      <c r="E17" s="76">
        <v>-122.82173148000001</v>
      </c>
      <c r="F17" s="75">
        <v>-127.48906102000001</v>
      </c>
      <c r="G17" s="75">
        <v>0</v>
      </c>
      <c r="H17" s="75">
        <v>0</v>
      </c>
      <c r="I17" s="75">
        <v>0</v>
      </c>
    </row>
    <row r="18" spans="1:9">
      <c r="A18" s="25" t="str">
        <f>HLOOKUP(INDICE!$F$2,Nombres!$C$3:$D$636,43,FALSE)</f>
        <v>Margen neto</v>
      </c>
      <c r="B18" s="25">
        <f>+B12+B13</f>
        <v>2310.7221919000003</v>
      </c>
      <c r="C18" s="25">
        <f t="shared" ref="C18:I18" si="1">+C12+C13</f>
        <v>2390.9969012699994</v>
      </c>
      <c r="D18" s="25">
        <f t="shared" si="1"/>
        <v>2575.6687527700005</v>
      </c>
      <c r="E18" s="73">
        <f t="shared" si="1"/>
        <v>2575.4397699999986</v>
      </c>
      <c r="F18" s="74">
        <f t="shared" si="1"/>
        <v>2773.1116891300003</v>
      </c>
      <c r="G18" s="74">
        <f t="shared" si="1"/>
        <v>0</v>
      </c>
      <c r="H18" s="74">
        <f t="shared" si="1"/>
        <v>0</v>
      </c>
      <c r="I18" s="74">
        <f t="shared" si="1"/>
        <v>0</v>
      </c>
    </row>
    <row r="19" spans="1:9">
      <c r="A19" s="17" t="str">
        <f>HLOOKUP(INDICE!$F$2,Nombres!$C$3:$D$636,44,FALSE)</f>
        <v>Deterioro de activos financieros no valorados a valor razonable con cambios en resultados</v>
      </c>
      <c r="B19" s="75">
        <v>-549.48399991999997</v>
      </c>
      <c r="C19" s="75">
        <v>-586.87000008000018</v>
      </c>
      <c r="D19" s="75">
        <v>-690.25399999999991</v>
      </c>
      <c r="E19" s="76">
        <v>-672.06699999000011</v>
      </c>
      <c r="F19" s="75">
        <v>-752.34299996000004</v>
      </c>
      <c r="G19" s="75">
        <v>0</v>
      </c>
      <c r="H19" s="75">
        <v>0</v>
      </c>
      <c r="I19" s="75">
        <v>0</v>
      </c>
    </row>
    <row r="20" spans="1:9">
      <c r="A20" s="17" t="str">
        <f>HLOOKUP(INDICE!$F$2,Nombres!$C$3:$D$636,45,FALSE)</f>
        <v>Provisiones o reversión de provisiones y otros resultados</v>
      </c>
      <c r="B20" s="75">
        <v>-0.77899999000000264</v>
      </c>
      <c r="C20" s="75">
        <v>5.4909999899999988</v>
      </c>
      <c r="D20" s="75">
        <v>-5.8679999899999915</v>
      </c>
      <c r="E20" s="76">
        <v>-23.890000020000009</v>
      </c>
      <c r="F20" s="75">
        <v>-11.656999990000003</v>
      </c>
      <c r="G20" s="75">
        <v>0</v>
      </c>
      <c r="H20" s="75">
        <v>0</v>
      </c>
      <c r="I20" s="75">
        <v>0</v>
      </c>
    </row>
    <row r="21" spans="1:9">
      <c r="A21" s="25" t="str">
        <f>HLOOKUP(INDICE!$F$2,Nombres!$C$3:$D$636,46,FALSE)</f>
        <v>Resultado antes de impuestos</v>
      </c>
      <c r="B21" s="25">
        <f>+B18+B19+B20</f>
        <v>1760.4591919900004</v>
      </c>
      <c r="C21" s="25">
        <f t="shared" ref="C21:I21" si="2">+C18+C19+C20</f>
        <v>1809.6179011799993</v>
      </c>
      <c r="D21" s="25">
        <f t="shared" si="2"/>
        <v>1879.5467527800006</v>
      </c>
      <c r="E21" s="73">
        <f t="shared" si="2"/>
        <v>1879.4827699899984</v>
      </c>
      <c r="F21" s="74">
        <f t="shared" si="2"/>
        <v>2009.1116891800002</v>
      </c>
      <c r="G21" s="74">
        <f t="shared" si="2"/>
        <v>0</v>
      </c>
      <c r="H21" s="74">
        <f t="shared" si="2"/>
        <v>0</v>
      </c>
      <c r="I21" s="74">
        <f t="shared" si="2"/>
        <v>0</v>
      </c>
    </row>
    <row r="22" spans="1:9">
      <c r="A22" s="17" t="str">
        <f>HLOOKUP(INDICE!$F$2,Nombres!$C$3:$D$636,47,FALSE)</f>
        <v>Impuesto sobre beneficios</v>
      </c>
      <c r="B22" s="75">
        <v>-480.82016039000001</v>
      </c>
      <c r="C22" s="75">
        <v>-484.89037645000008</v>
      </c>
      <c r="D22" s="75">
        <v>-511.78791688999991</v>
      </c>
      <c r="E22" s="76">
        <v>-531.25427562000004</v>
      </c>
      <c r="F22" s="75">
        <v>-567.93655549000005</v>
      </c>
      <c r="G22" s="75">
        <v>0</v>
      </c>
      <c r="H22" s="75">
        <v>0</v>
      </c>
      <c r="I22" s="75">
        <v>0</v>
      </c>
    </row>
    <row r="23" spans="1:9">
      <c r="A23" s="25" t="str">
        <f>HLOOKUP(INDICE!$F$2,Nombres!$C$3:$D$636,48,FALSE)</f>
        <v>Resultado del ejercicio</v>
      </c>
      <c r="B23" s="25">
        <f>+B21+B22</f>
        <v>1279.6390316000004</v>
      </c>
      <c r="C23" s="25">
        <f t="shared" ref="C23:I23" si="3">+C21+C22</f>
        <v>1324.7275247299992</v>
      </c>
      <c r="D23" s="25">
        <f t="shared" si="3"/>
        <v>1367.7588358900007</v>
      </c>
      <c r="E23" s="73">
        <f t="shared" si="3"/>
        <v>1348.2284943699983</v>
      </c>
      <c r="F23" s="74">
        <f t="shared" si="3"/>
        <v>1441.1751336900002</v>
      </c>
      <c r="G23" s="74">
        <f t="shared" si="3"/>
        <v>0</v>
      </c>
      <c r="H23" s="74">
        <f t="shared" si="3"/>
        <v>0</v>
      </c>
      <c r="I23" s="74">
        <f t="shared" si="3"/>
        <v>0</v>
      </c>
    </row>
    <row r="24" spans="1:9">
      <c r="A24" s="17" t="str">
        <f>HLOOKUP(INDICE!$F$2,Nombres!$C$3:$D$636,49,FALSE)</f>
        <v>Minoritarios</v>
      </c>
      <c r="B24" s="75">
        <v>-0.23400000000000001</v>
      </c>
      <c r="C24" s="75">
        <v>-0.24300000000000002</v>
      </c>
      <c r="D24" s="75">
        <v>-0.245</v>
      </c>
      <c r="E24" s="76">
        <v>-0.24999999999999992</v>
      </c>
      <c r="F24" s="75">
        <v>-0.25900000000000001</v>
      </c>
      <c r="G24" s="75">
        <v>0</v>
      </c>
      <c r="H24" s="75">
        <v>0</v>
      </c>
      <c r="I24" s="75">
        <v>0</v>
      </c>
    </row>
    <row r="25" spans="1:9">
      <c r="A25" s="19" t="str">
        <f>HLOOKUP(INDICE!$F$2,Nombres!$C$3:$D$636,50,FALSE)</f>
        <v>Resultado atribuido</v>
      </c>
      <c r="B25" s="19">
        <f>+B23+B24</f>
        <v>1279.4050316000005</v>
      </c>
      <c r="C25" s="19">
        <f t="shared" ref="C25:I25" si="4">+C23+C24</f>
        <v>1324.4845247299993</v>
      </c>
      <c r="D25" s="19">
        <f t="shared" si="4"/>
        <v>1367.5138358900008</v>
      </c>
      <c r="E25" s="19">
        <f t="shared" si="4"/>
        <v>1347.9784943699983</v>
      </c>
      <c r="F25" s="94">
        <f t="shared" si="4"/>
        <v>1440.9161336900002</v>
      </c>
      <c r="G25" s="94">
        <f t="shared" si="4"/>
        <v>0</v>
      </c>
      <c r="H25" s="94">
        <f t="shared" si="4"/>
        <v>0</v>
      </c>
      <c r="I25" s="94">
        <f t="shared" si="4"/>
        <v>0</v>
      </c>
    </row>
    <row r="26" spans="1:9">
      <c r="A26" s="91"/>
      <c r="B26" s="99">
        <v>0</v>
      </c>
      <c r="C26" s="99">
        <v>0</v>
      </c>
      <c r="D26" s="99">
        <v>0</v>
      </c>
      <c r="E26" s="99">
        <v>0</v>
      </c>
      <c r="F26" s="99">
        <v>0</v>
      </c>
      <c r="G26" s="99">
        <v>0</v>
      </c>
      <c r="H26" s="99">
        <v>0</v>
      </c>
      <c r="I26" s="99">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7" t="str">
        <f>HLOOKUP(INDICE!$F$2,Nombres!$C$3:$D$636,52,FALSE)</f>
        <v>Efectivo, saldos en efectivo en bancos centrales y otros depósitos a la vista</v>
      </c>
      <c r="B31" s="75">
        <v>12725.842999999999</v>
      </c>
      <c r="C31" s="75">
        <v>11529.04600002</v>
      </c>
      <c r="D31" s="75">
        <v>9780.8689999899998</v>
      </c>
      <c r="E31" s="76">
        <v>10089.088</v>
      </c>
      <c r="F31" s="75">
        <v>11577.02400001</v>
      </c>
      <c r="G31" s="75">
        <v>0</v>
      </c>
      <c r="H31" s="75">
        <v>0</v>
      </c>
      <c r="I31" s="75">
        <v>0</v>
      </c>
    </row>
    <row r="32" spans="1:9">
      <c r="A32" s="17" t="str">
        <f>HLOOKUP(INDICE!$F$2,Nombres!$C$3:$D$636,53,FALSE)</f>
        <v>Activos financieros a valor razonable</v>
      </c>
      <c r="B32" s="83">
        <v>48366.317999990002</v>
      </c>
      <c r="C32" s="83">
        <v>53880.822999979995</v>
      </c>
      <c r="D32" s="83">
        <v>60944.793000000005</v>
      </c>
      <c r="E32" s="95">
        <v>60378.705000000002</v>
      </c>
      <c r="F32" s="75">
        <v>63973.145000010001</v>
      </c>
      <c r="G32" s="75">
        <v>0</v>
      </c>
      <c r="H32" s="75">
        <v>0</v>
      </c>
      <c r="I32" s="75">
        <v>0</v>
      </c>
    </row>
    <row r="33" spans="1:9">
      <c r="A33" s="17" t="str">
        <f>HLOOKUP(INDICE!$F$2,Nombres!$C$3:$D$636,54,FALSE)</f>
        <v>Activos financieros a coste amortizado</v>
      </c>
      <c r="B33" s="75">
        <v>84617.33699992999</v>
      </c>
      <c r="C33" s="75">
        <v>92236.662000070006</v>
      </c>
      <c r="D33" s="75">
        <v>94959.748000020001</v>
      </c>
      <c r="E33" s="76">
        <v>96341.631003609989</v>
      </c>
      <c r="F33" s="75">
        <v>101063.49299996001</v>
      </c>
      <c r="G33" s="75">
        <v>0</v>
      </c>
      <c r="H33" s="75">
        <v>0</v>
      </c>
      <c r="I33" s="75">
        <v>0</v>
      </c>
    </row>
    <row r="34" spans="1:9">
      <c r="A34" s="17" t="str">
        <f>HLOOKUP(INDICE!$F$2,Nombres!$C$3:$D$636,55,FALSE)</f>
        <v xml:space="preserve">    de los que préstamos y anticipos a la clientela</v>
      </c>
      <c r="B34" s="75">
        <v>77276.865999949994</v>
      </c>
      <c r="C34" s="75">
        <v>83692.756000070003</v>
      </c>
      <c r="D34" s="75">
        <v>86727.243000019997</v>
      </c>
      <c r="E34" s="76">
        <v>88111.538003599999</v>
      </c>
      <c r="F34" s="75">
        <v>92775.858999929987</v>
      </c>
      <c r="G34" s="75">
        <v>0</v>
      </c>
      <c r="H34" s="75">
        <v>0</v>
      </c>
      <c r="I34" s="75">
        <v>0</v>
      </c>
    </row>
    <row r="35" spans="1:9" ht="1.9" customHeight="1">
      <c r="A35" s="17"/>
      <c r="B35" s="75"/>
      <c r="C35" s="75"/>
      <c r="D35" s="75"/>
      <c r="E35" s="76"/>
      <c r="F35" s="75"/>
      <c r="G35" s="75"/>
      <c r="H35" s="75"/>
      <c r="I35" s="75"/>
    </row>
    <row r="36" spans="1:9">
      <c r="A36" s="17" t="str">
        <f>HLOOKUP(INDICE!$F$2,Nombres!$C$3:$D$636,56,FALSE)</f>
        <v>Activos tangibles</v>
      </c>
      <c r="B36" s="75">
        <v>2097.6279999899998</v>
      </c>
      <c r="C36" s="75">
        <v>2253.24299999</v>
      </c>
      <c r="D36" s="75">
        <v>2328.8289999799999</v>
      </c>
      <c r="E36" s="76">
        <v>2386.8140000100002</v>
      </c>
      <c r="F36" s="75">
        <v>2469.3159999999998</v>
      </c>
      <c r="G36" s="75">
        <v>0</v>
      </c>
      <c r="H36" s="75">
        <v>0</v>
      </c>
      <c r="I36" s="75">
        <v>0</v>
      </c>
    </row>
    <row r="37" spans="1:9">
      <c r="A37" s="17" t="str">
        <f>HLOOKUP(INDICE!$F$2,Nombres!$C$3:$D$636,57,FALSE)</f>
        <v>Otros activos</v>
      </c>
      <c r="B37" s="83">
        <f>+B38-B36-B33-B32-B31</f>
        <v>4147.8458767899956</v>
      </c>
      <c r="C37" s="83">
        <f t="shared" ref="C37:I37" si="5">+C38-C36-C33-C32-C31</f>
        <v>4857.8154929900011</v>
      </c>
      <c r="D37" s="83">
        <f t="shared" si="5"/>
        <v>5002.27893802996</v>
      </c>
      <c r="E37" s="95">
        <f t="shared" si="5"/>
        <v>4292.6053048800568</v>
      </c>
      <c r="F37" s="75">
        <f t="shared" si="5"/>
        <v>5593.9286320000265</v>
      </c>
      <c r="G37" s="75">
        <f t="shared" si="5"/>
        <v>0</v>
      </c>
      <c r="H37" s="75">
        <f t="shared" si="5"/>
        <v>0</v>
      </c>
      <c r="I37" s="75">
        <f t="shared" si="5"/>
        <v>0</v>
      </c>
    </row>
    <row r="38" spans="1:9">
      <c r="A38" s="19" t="str">
        <f>HLOOKUP(INDICE!$F$2,Nombres!$C$3:$D$636,58,FALSE)</f>
        <v>Total activo / pasivo</v>
      </c>
      <c r="B38" s="19">
        <v>151954.9718767</v>
      </c>
      <c r="C38" s="19">
        <v>164757.58949305001</v>
      </c>
      <c r="D38" s="19">
        <v>173016.51793801997</v>
      </c>
      <c r="E38" s="93">
        <v>173488.84330850004</v>
      </c>
      <c r="F38" s="19">
        <v>184676.90663198003</v>
      </c>
      <c r="G38" s="94">
        <v>0</v>
      </c>
      <c r="H38" s="94">
        <v>0</v>
      </c>
      <c r="I38" s="94">
        <v>0</v>
      </c>
    </row>
    <row r="39" spans="1:9">
      <c r="A39" s="17" t="str">
        <f>HLOOKUP(INDICE!$F$2,Nombres!$C$3:$D$636,59,FALSE)</f>
        <v>Pasivos financieros mantenidos para negociar y designados a valor razonable con cambios en resultados</v>
      </c>
      <c r="B39" s="83">
        <v>28035.307999999994</v>
      </c>
      <c r="C39" s="83">
        <v>28812.860999999997</v>
      </c>
      <c r="D39" s="83">
        <v>33063.320000000007</v>
      </c>
      <c r="E39" s="95">
        <v>28492.451000000001</v>
      </c>
      <c r="F39" s="75">
        <v>35251.853999999999</v>
      </c>
      <c r="G39" s="75">
        <v>0</v>
      </c>
      <c r="H39" s="75">
        <v>0</v>
      </c>
      <c r="I39" s="75">
        <v>0</v>
      </c>
    </row>
    <row r="40" spans="1:9">
      <c r="A40" s="17" t="str">
        <f>HLOOKUP(INDICE!$F$2,Nombres!$C$3:$D$636,60,FALSE)</f>
        <v>Depósitos de bancos centrales y entidades de crédito</v>
      </c>
      <c r="B40" s="83">
        <v>6861.8939999800014</v>
      </c>
      <c r="C40" s="83">
        <v>9835.5889999999999</v>
      </c>
      <c r="D40" s="83">
        <v>11677.469999989999</v>
      </c>
      <c r="E40" s="95">
        <v>8739.0009999900012</v>
      </c>
      <c r="F40" s="75">
        <v>10176.859999990002</v>
      </c>
      <c r="G40" s="75">
        <v>0</v>
      </c>
      <c r="H40" s="75">
        <v>0</v>
      </c>
      <c r="I40" s="75">
        <v>0</v>
      </c>
    </row>
    <row r="41" spans="1:9" ht="15.75" customHeight="1">
      <c r="A41" s="17" t="str">
        <f>HLOOKUP(INDICE!$F$2,Nombres!$C$3:$D$636,61,FALSE)</f>
        <v>Depósitos de la clientela</v>
      </c>
      <c r="B41" s="83">
        <v>80171.886999989991</v>
      </c>
      <c r="C41" s="83">
        <v>84865.101999999999</v>
      </c>
      <c r="D41" s="83">
        <v>86373.346000060003</v>
      </c>
      <c r="E41" s="95">
        <v>92564.057999979996</v>
      </c>
      <c r="F41" s="75">
        <v>93566.104000060004</v>
      </c>
      <c r="G41" s="75">
        <v>0</v>
      </c>
      <c r="H41" s="75">
        <v>0</v>
      </c>
      <c r="I41" s="75">
        <v>0</v>
      </c>
    </row>
    <row r="42" spans="1:9">
      <c r="A42" s="17" t="str">
        <f>HLOOKUP(INDICE!$F$2,Nombres!$C$3:$D$636,62,FALSE)</f>
        <v>Valores representativos de deuda emitidos</v>
      </c>
      <c r="B42" s="75">
        <v>8317.2809560900005</v>
      </c>
      <c r="C42" s="75">
        <v>9777.8568284699995</v>
      </c>
      <c r="D42" s="75">
        <v>9189.4866954299996</v>
      </c>
      <c r="E42" s="76">
        <v>9719.4133628099989</v>
      </c>
      <c r="F42" s="75">
        <v>10757.667357869999</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3">
        <f>+B38-B39-B40-B41-B42-B45</f>
        <v>19224.389547330014</v>
      </c>
      <c r="C44" s="83">
        <f t="shared" ref="C44:I44" si="6">+C38-C39-C40-C41-C42-C45</f>
        <v>21383.639090010001</v>
      </c>
      <c r="D44" s="83">
        <f t="shared" si="6"/>
        <v>21867.91997901996</v>
      </c>
      <c r="E44" s="95">
        <f t="shared" si="6"/>
        <v>22755.976873710042</v>
      </c>
      <c r="F44" s="75">
        <f t="shared" si="6"/>
        <v>22922.057868740027</v>
      </c>
      <c r="G44" s="75">
        <f t="shared" si="6"/>
        <v>0</v>
      </c>
      <c r="H44" s="75">
        <f t="shared" si="6"/>
        <v>0</v>
      </c>
      <c r="I44" s="75">
        <f t="shared" si="6"/>
        <v>0</v>
      </c>
    </row>
    <row r="45" spans="1:9">
      <c r="A45" s="17" t="str">
        <f>HLOOKUP(INDICE!$F$2,Nombres!$C$3:$D$636,282,FALSE)</f>
        <v>Dotación de capital regulatorio</v>
      </c>
      <c r="B45" s="75">
        <v>9344.2123733100016</v>
      </c>
      <c r="C45" s="75">
        <v>10082.541574569994</v>
      </c>
      <c r="D45" s="75">
        <v>10844.975263519995</v>
      </c>
      <c r="E45" s="76">
        <v>11217.943072010003</v>
      </c>
      <c r="F45" s="75">
        <v>12002.363405320008</v>
      </c>
      <c r="G45" s="75">
        <v>0</v>
      </c>
      <c r="H45" s="75">
        <v>0</v>
      </c>
      <c r="I45" s="75">
        <v>0</v>
      </c>
    </row>
    <row r="46" spans="1:9">
      <c r="A46" s="91"/>
      <c r="B46" s="83"/>
      <c r="C46" s="83"/>
      <c r="D46" s="83"/>
      <c r="E46" s="83"/>
      <c r="F46" s="101"/>
      <c r="G46" s="101"/>
      <c r="H46" s="101"/>
      <c r="I46" s="101"/>
    </row>
    <row r="47" spans="1:9">
      <c r="A47" s="17"/>
      <c r="B47" s="83"/>
      <c r="C47" s="83"/>
      <c r="D47" s="83"/>
      <c r="E47" s="83"/>
      <c r="F47" s="101"/>
      <c r="G47" s="101"/>
      <c r="H47" s="101"/>
      <c r="I47" s="101"/>
    </row>
    <row r="48" spans="1:9" ht="17">
      <c r="A48" s="96" t="str">
        <f>HLOOKUP(INDICE!$F$2,Nombres!$C$3:$D$636,65,FALSE)</f>
        <v>Indicadores relevantes y de gestión</v>
      </c>
      <c r="B48" s="97"/>
      <c r="C48" s="97"/>
      <c r="D48" s="97"/>
      <c r="E48" s="97"/>
      <c r="F48" s="102"/>
      <c r="G48" s="102"/>
      <c r="H48" s="102"/>
      <c r="I48" s="102"/>
    </row>
    <row r="49" spans="1:12">
      <c r="A49" s="67" t="str">
        <f>HLOOKUP(INDICE!$F$2,Nombres!$C$3:$D$636,32,FALSE)</f>
        <v>(Millones de euros)</v>
      </c>
      <c r="B49" s="62"/>
      <c r="C49" s="62"/>
      <c r="D49" s="62"/>
      <c r="E49" s="62"/>
      <c r="F49" s="103"/>
      <c r="G49" s="101"/>
      <c r="H49" s="101"/>
      <c r="I49" s="101"/>
    </row>
    <row r="50" spans="1:12">
      <c r="A50" s="62"/>
      <c r="B50" s="84">
        <f t="shared" ref="B50:I50" si="7">+B$30</f>
        <v>45016</v>
      </c>
      <c r="C50" s="84">
        <f t="shared" si="7"/>
        <v>45107</v>
      </c>
      <c r="D50" s="84">
        <f t="shared" si="7"/>
        <v>45199</v>
      </c>
      <c r="E50" s="98">
        <f t="shared" si="7"/>
        <v>45291</v>
      </c>
      <c r="F50" s="100">
        <f t="shared" si="7"/>
        <v>45382</v>
      </c>
      <c r="G50" s="100">
        <f t="shared" si="7"/>
        <v>45473</v>
      </c>
      <c r="H50" s="100">
        <f t="shared" si="7"/>
        <v>45565</v>
      </c>
      <c r="I50" s="100">
        <f t="shared" si="7"/>
        <v>45657</v>
      </c>
    </row>
    <row r="51" spans="1:12">
      <c r="A51" s="17" t="str">
        <f>HLOOKUP(INDICE!$F$2,Nombres!$C$3:$D$636,66,FALSE)</f>
        <v>Préstamos y anticipos a la clientela bruto (*)</v>
      </c>
      <c r="B51" s="75">
        <v>79947.831999980001</v>
      </c>
      <c r="C51" s="75">
        <v>86571.491000050009</v>
      </c>
      <c r="D51" s="75">
        <v>89745.589999970005</v>
      </c>
      <c r="E51" s="76">
        <v>91160.358003630012</v>
      </c>
      <c r="F51" s="75">
        <v>95947.73</v>
      </c>
      <c r="G51" s="75">
        <v>0</v>
      </c>
      <c r="H51" s="75">
        <v>0</v>
      </c>
      <c r="I51" s="75">
        <v>0</v>
      </c>
      <c r="L51" s="85"/>
    </row>
    <row r="52" spans="1:12">
      <c r="A52" s="17" t="str">
        <f>HLOOKUP(INDICE!$F$2,Nombres!$C$3:$D$636,67,FALSE)</f>
        <v>Depósitos de clientes en gestión (**)</v>
      </c>
      <c r="B52" s="75">
        <v>79665.344999990004</v>
      </c>
      <c r="C52" s="75">
        <v>83269.565000010014</v>
      </c>
      <c r="D52" s="75">
        <v>85156.799000049999</v>
      </c>
      <c r="E52" s="76">
        <v>90925.786999989999</v>
      </c>
      <c r="F52" s="75">
        <v>92321.04100006001</v>
      </c>
      <c r="G52" s="75">
        <v>0</v>
      </c>
      <c r="H52" s="75">
        <v>0</v>
      </c>
      <c r="I52" s="75">
        <v>0</v>
      </c>
      <c r="L52" s="85"/>
    </row>
    <row r="53" spans="1:12">
      <c r="A53" s="17" t="str">
        <f>HLOOKUP(INDICE!$F$2,Nombres!$C$3:$D$636,68,FALSE)</f>
        <v>Fondos de inversión y carteras gestionadas</v>
      </c>
      <c r="B53" s="75">
        <v>40990.701443340004</v>
      </c>
      <c r="C53" s="75">
        <v>45764.578713499999</v>
      </c>
      <c r="D53" s="75">
        <v>48545.175039529997</v>
      </c>
      <c r="E53" s="76">
        <v>49062.149955319997</v>
      </c>
      <c r="F53" s="75">
        <v>55472.56863365</v>
      </c>
      <c r="G53" s="75">
        <v>0</v>
      </c>
      <c r="H53" s="75">
        <v>0</v>
      </c>
      <c r="I53" s="75">
        <v>0</v>
      </c>
    </row>
    <row r="54" spans="1:12">
      <c r="A54" s="17" t="str">
        <f>HLOOKUP(INDICE!$F$2,Nombres!$C$3:$D$636,69,FALSE)</f>
        <v>Fondos de pensiones</v>
      </c>
      <c r="B54" s="75">
        <v>0</v>
      </c>
      <c r="C54" s="75">
        <v>0</v>
      </c>
      <c r="D54" s="75">
        <v>0</v>
      </c>
      <c r="E54" s="76">
        <v>0</v>
      </c>
      <c r="F54" s="75">
        <v>0</v>
      </c>
      <c r="G54" s="75">
        <v>0</v>
      </c>
      <c r="H54" s="75">
        <v>0</v>
      </c>
      <c r="I54" s="75">
        <v>0</v>
      </c>
    </row>
    <row r="55" spans="1:12">
      <c r="A55" s="17" t="str">
        <f>HLOOKUP(INDICE!$F$2,Nombres!$C$3:$D$636,70,FALSE)</f>
        <v>Otros recursos fuera de balance</v>
      </c>
      <c r="B55" s="75">
        <v>3417.5962243599997</v>
      </c>
      <c r="C55" s="75">
        <v>3895.2979994699999</v>
      </c>
      <c r="D55" s="75">
        <v>4195.72320184</v>
      </c>
      <c r="E55" s="76">
        <v>4192.0070233599999</v>
      </c>
      <c r="F55" s="75">
        <v>5681.7670694099988</v>
      </c>
      <c r="G55" s="75">
        <v>0</v>
      </c>
      <c r="H55" s="75">
        <v>0</v>
      </c>
      <c r="I55" s="75">
        <v>0</v>
      </c>
    </row>
    <row r="56" spans="1:12">
      <c r="A56" s="91" t="str">
        <f>HLOOKUP(INDICE!$F$2,Nombres!$C$3:$D$636,71,FALSE)</f>
        <v>(*) No incluye las adquisiciones temporales de activos.</v>
      </c>
      <c r="B56" s="83"/>
      <c r="C56" s="83"/>
      <c r="D56" s="83"/>
      <c r="E56" s="83"/>
      <c r="F56" s="83"/>
      <c r="G56" s="83"/>
      <c r="H56" s="83"/>
      <c r="I56" s="83"/>
    </row>
    <row r="57" spans="1:12">
      <c r="A57" s="91" t="str">
        <f>HLOOKUP(INDICE!$F$2,Nombres!$C$3:$D$636,72,FALSE)</f>
        <v>(**) No incluye las cesiones temporales de activos.</v>
      </c>
      <c r="B57" s="62"/>
      <c r="C57" s="62"/>
      <c r="D57" s="62"/>
      <c r="E57" s="62"/>
      <c r="F57" s="62"/>
      <c r="G57" s="62"/>
      <c r="H57" s="62"/>
      <c r="I57" s="62"/>
    </row>
    <row r="58" spans="1:12">
      <c r="A58" s="91"/>
      <c r="B58" s="62"/>
      <c r="C58" s="62"/>
      <c r="D58" s="62"/>
      <c r="E58" s="62"/>
      <c r="F58" s="62"/>
      <c r="G58" s="62"/>
      <c r="H58" s="62"/>
      <c r="I58" s="62"/>
    </row>
    <row r="59" spans="1:12" ht="17">
      <c r="A59" s="65" t="str">
        <f>HLOOKUP(INDICE!$F$2,Nombres!$C$3:$D$636,31,FALSE)</f>
        <v xml:space="preserve">Cuenta de resultados  </v>
      </c>
      <c r="B59" s="66"/>
      <c r="C59" s="66"/>
      <c r="D59" s="66"/>
      <c r="E59" s="66"/>
      <c r="F59" s="66"/>
      <c r="G59" s="66"/>
      <c r="H59" s="66"/>
      <c r="I59" s="66"/>
    </row>
    <row r="60" spans="1:12">
      <c r="A60" s="67" t="str">
        <f>HLOOKUP(INDICE!$F$2,Nombres!$C$3:$D$636,73,FALSE)</f>
        <v>(Millones de euros constantes)</v>
      </c>
      <c r="B60" s="62"/>
      <c r="C60" s="68"/>
      <c r="D60" s="68"/>
      <c r="E60" s="68"/>
      <c r="F60" s="62"/>
      <c r="G60" s="62"/>
      <c r="H60" s="62"/>
      <c r="I60" s="62"/>
    </row>
    <row r="61" spans="1:12">
      <c r="A61" s="69"/>
      <c r="B61" s="62"/>
      <c r="C61" s="68"/>
      <c r="D61" s="68"/>
      <c r="E61" s="68"/>
      <c r="F61" s="62"/>
      <c r="G61" s="62"/>
      <c r="H61" s="62"/>
      <c r="I61" s="62"/>
    </row>
    <row r="62" spans="1:12">
      <c r="A62" s="70"/>
      <c r="B62" s="299">
        <f>+B$6</f>
        <v>2023</v>
      </c>
      <c r="C62" s="299"/>
      <c r="D62" s="299"/>
      <c r="E62" s="300"/>
      <c r="F62" s="299">
        <f>+F$6</f>
        <v>2024</v>
      </c>
      <c r="G62" s="299"/>
      <c r="H62" s="299"/>
      <c r="I62" s="299"/>
    </row>
    <row r="63" spans="1:12">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c r="A64" s="25" t="str">
        <f>HLOOKUP(INDICE!$F$2,Nombres!$C$3:$D$636,33,FALSE)</f>
        <v>Margen de intereses</v>
      </c>
      <c r="B64" s="25">
        <v>2814.4724592689736</v>
      </c>
      <c r="C64" s="25">
        <v>2794.0736608432921</v>
      </c>
      <c r="D64" s="25">
        <v>2930.2062773273346</v>
      </c>
      <c r="E64" s="73">
        <v>2961.7379424252831</v>
      </c>
      <c r="F64" s="74">
        <v>2998.5251098499998</v>
      </c>
      <c r="G64" s="74">
        <v>0</v>
      </c>
      <c r="H64" s="74">
        <v>0</v>
      </c>
      <c r="I64" s="74">
        <v>0</v>
      </c>
    </row>
    <row r="65" spans="1:9">
      <c r="A65" s="17" t="str">
        <f>HLOOKUP(INDICE!$F$2,Nombres!$C$3:$D$636,34,FALSE)</f>
        <v>Comisiones netas</v>
      </c>
      <c r="B65" s="75">
        <v>524.63782199596301</v>
      </c>
      <c r="C65" s="75">
        <v>559.00991291006949</v>
      </c>
      <c r="D65" s="75">
        <v>616.41702528413475</v>
      </c>
      <c r="E65" s="76">
        <v>615.86891799269904</v>
      </c>
      <c r="F65" s="75">
        <v>641.95666064000011</v>
      </c>
      <c r="G65" s="75">
        <v>0</v>
      </c>
      <c r="H65" s="75">
        <v>0</v>
      </c>
      <c r="I65" s="75">
        <v>0</v>
      </c>
    </row>
    <row r="66" spans="1:9">
      <c r="A66" s="17" t="str">
        <f>HLOOKUP(INDICE!$F$2,Nombres!$C$3:$D$636,35,FALSE)</f>
        <v>Resultados de operaciones financieras</v>
      </c>
      <c r="B66" s="75">
        <v>161.67635720319277</v>
      </c>
      <c r="C66" s="75">
        <v>173.67354496799916</v>
      </c>
      <c r="D66" s="75">
        <v>66.543591397975973</v>
      </c>
      <c r="E66" s="76">
        <v>193.69433981504059</v>
      </c>
      <c r="F66" s="75">
        <v>213.05890191999998</v>
      </c>
      <c r="G66" s="75">
        <v>0</v>
      </c>
      <c r="H66" s="75">
        <v>0</v>
      </c>
      <c r="I66" s="75">
        <v>0</v>
      </c>
    </row>
    <row r="67" spans="1:9">
      <c r="A67" s="17" t="str">
        <f>HLOOKUP(INDICE!$F$2,Nombres!$C$3:$D$636,36,FALSE)</f>
        <v>Otros ingresos y cargas de explotación</v>
      </c>
      <c r="B67" s="75">
        <v>92.953372139450266</v>
      </c>
      <c r="C67" s="75">
        <v>97.014390520315587</v>
      </c>
      <c r="D67" s="75">
        <v>124.21007278746998</v>
      </c>
      <c r="E67" s="76">
        <v>118.04072327617615</v>
      </c>
      <c r="F67" s="75">
        <v>113.36999998000005</v>
      </c>
      <c r="G67" s="75">
        <v>0</v>
      </c>
      <c r="H67" s="75">
        <v>0</v>
      </c>
      <c r="I67" s="75">
        <v>0</v>
      </c>
    </row>
    <row r="68" spans="1:9">
      <c r="A68" s="25" t="str">
        <f>HLOOKUP(INDICE!$F$2,Nombres!$C$3:$D$636,37,FALSE)</f>
        <v>Margen bruto</v>
      </c>
      <c r="B68" s="25">
        <f>+SUM(B64:B67)</f>
        <v>3593.7400106075793</v>
      </c>
      <c r="C68" s="25">
        <f t="shared" ref="C68:I68" si="9">+SUM(C64:C67)</f>
        <v>3623.7715092416761</v>
      </c>
      <c r="D68" s="25">
        <f t="shared" si="9"/>
        <v>3737.3769667969154</v>
      </c>
      <c r="E68" s="73">
        <f t="shared" si="9"/>
        <v>3889.3419235091992</v>
      </c>
      <c r="F68" s="74">
        <f t="shared" si="9"/>
        <v>3966.9106723899999</v>
      </c>
      <c r="G68" s="74">
        <f t="shared" si="9"/>
        <v>0</v>
      </c>
      <c r="H68" s="74">
        <f t="shared" si="9"/>
        <v>0</v>
      </c>
      <c r="I68" s="74">
        <f t="shared" si="9"/>
        <v>0</v>
      </c>
    </row>
    <row r="69" spans="1:9">
      <c r="A69" s="17" t="str">
        <f>HLOOKUP(INDICE!$F$2,Nombres!$C$3:$D$636,38,FALSE)</f>
        <v>Gastos de explotación</v>
      </c>
      <c r="B69" s="75">
        <v>-1082.258656883233</v>
      </c>
      <c r="C69" s="75">
        <v>-1125.4086995284335</v>
      </c>
      <c r="D69" s="75">
        <v>-1136.0814828180069</v>
      </c>
      <c r="E69" s="76">
        <v>-1249.2546192024463</v>
      </c>
      <c r="F69" s="75">
        <v>-1193.7989832600001</v>
      </c>
      <c r="G69" s="75">
        <v>0</v>
      </c>
      <c r="H69" s="75">
        <v>0</v>
      </c>
      <c r="I69" s="75">
        <v>0</v>
      </c>
    </row>
    <row r="70" spans="1:9">
      <c r="A70" s="17" t="str">
        <f>HLOOKUP(INDICE!$F$2,Nombres!$C$3:$D$636,39,FALSE)</f>
        <v xml:space="preserve">  Gastos de administración</v>
      </c>
      <c r="B70" s="75">
        <v>-964.21809665897661</v>
      </c>
      <c r="C70" s="75">
        <v>-1005.9733778281203</v>
      </c>
      <c r="D70" s="75">
        <v>-1011.7048079487296</v>
      </c>
      <c r="E70" s="76">
        <v>-1123.3440617900433</v>
      </c>
      <c r="F70" s="75">
        <v>-1066.3099222400001</v>
      </c>
      <c r="G70" s="75">
        <v>0</v>
      </c>
      <c r="H70" s="75">
        <v>0</v>
      </c>
      <c r="I70" s="75">
        <v>0</v>
      </c>
    </row>
    <row r="71" spans="1:9">
      <c r="A71" s="77" t="str">
        <f>HLOOKUP(INDICE!$F$2,Nombres!$C$3:$D$636,40,FALSE)</f>
        <v xml:space="preserve">  Gastos de personal</v>
      </c>
      <c r="B71" s="75">
        <v>-495.00691062479291</v>
      </c>
      <c r="C71" s="75">
        <v>-520.12404558172454</v>
      </c>
      <c r="D71" s="75">
        <v>-545.10308745343514</v>
      </c>
      <c r="E71" s="76">
        <v>-624.67632516688582</v>
      </c>
      <c r="F71" s="75">
        <v>-568.38369003000003</v>
      </c>
      <c r="G71" s="75">
        <v>0</v>
      </c>
      <c r="H71" s="75">
        <v>0</v>
      </c>
      <c r="I71" s="75">
        <v>0</v>
      </c>
    </row>
    <row r="72" spans="1:9">
      <c r="A72" s="77" t="str">
        <f>HLOOKUP(INDICE!$F$2,Nombres!$C$3:$D$636,41,FALSE)</f>
        <v xml:space="preserve">  Otros gastos de administración</v>
      </c>
      <c r="B72" s="75">
        <v>-469.2111860341837</v>
      </c>
      <c r="C72" s="75">
        <v>-485.84933224639593</v>
      </c>
      <c r="D72" s="75">
        <v>-466.60172049529456</v>
      </c>
      <c r="E72" s="76">
        <v>-498.66773662315734</v>
      </c>
      <c r="F72" s="75">
        <v>-497.92623220999997</v>
      </c>
      <c r="G72" s="75">
        <v>0</v>
      </c>
      <c r="H72" s="75">
        <v>0</v>
      </c>
      <c r="I72" s="75">
        <v>0</v>
      </c>
    </row>
    <row r="73" spans="1:9">
      <c r="A73" s="17" t="str">
        <f>HLOOKUP(INDICE!$F$2,Nombres!$C$3:$D$636,42,FALSE)</f>
        <v xml:space="preserve">  Amortización</v>
      </c>
      <c r="B73" s="75">
        <v>-118.04056022425669</v>
      </c>
      <c r="C73" s="75">
        <v>-119.43532170031307</v>
      </c>
      <c r="D73" s="75">
        <v>-124.37667486927711</v>
      </c>
      <c r="E73" s="76">
        <v>-125.91055741240301</v>
      </c>
      <c r="F73" s="75">
        <v>-127.48906102000001</v>
      </c>
      <c r="G73" s="75">
        <v>0</v>
      </c>
      <c r="H73" s="75">
        <v>0</v>
      </c>
      <c r="I73" s="75">
        <v>0</v>
      </c>
    </row>
    <row r="74" spans="1:9">
      <c r="A74" s="25" t="str">
        <f>HLOOKUP(INDICE!$F$2,Nombres!$C$3:$D$636,43,FALSE)</f>
        <v>Margen neto</v>
      </c>
      <c r="B74" s="25">
        <f>+B68+B69</f>
        <v>2511.4813537243463</v>
      </c>
      <c r="C74" s="25">
        <f t="shared" ref="C74:I74" si="10">+C68+C69</f>
        <v>2498.3628097132423</v>
      </c>
      <c r="D74" s="25">
        <f t="shared" si="10"/>
        <v>2601.2954839789086</v>
      </c>
      <c r="E74" s="73">
        <f t="shared" si="10"/>
        <v>2640.0873043067531</v>
      </c>
      <c r="F74" s="74">
        <f t="shared" si="10"/>
        <v>2773.1116891299998</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-597.22403013502242</v>
      </c>
      <c r="C75" s="75">
        <v>-613.60042400322982</v>
      </c>
      <c r="D75" s="75">
        <v>-699.55449822778121</v>
      </c>
      <c r="E75" s="76">
        <v>-689.33003493576791</v>
      </c>
      <c r="F75" s="75">
        <v>-752.34299996000004</v>
      </c>
      <c r="G75" s="75">
        <v>0</v>
      </c>
      <c r="H75" s="75">
        <v>0</v>
      </c>
      <c r="I75" s="75">
        <v>0</v>
      </c>
    </row>
    <row r="76" spans="1:9">
      <c r="A76" s="17" t="str">
        <f>HLOOKUP(INDICE!$F$2,Nombres!$C$3:$D$636,45,FALSE)</f>
        <v>Provisiones o reversión de provisiones y otros resultados</v>
      </c>
      <c r="B76" s="75">
        <v>-0.8466807287758602</v>
      </c>
      <c r="C76" s="75">
        <v>5.8674795537014095</v>
      </c>
      <c r="D76" s="75">
        <v>-6.2298146892113326</v>
      </c>
      <c r="E76" s="76">
        <v>-24.849719794500807</v>
      </c>
      <c r="F76" s="75">
        <v>-11.656999990000003</v>
      </c>
      <c r="G76" s="75">
        <v>0</v>
      </c>
      <c r="H76" s="75">
        <v>0</v>
      </c>
      <c r="I76" s="75">
        <v>0</v>
      </c>
    </row>
    <row r="77" spans="1:9">
      <c r="A77" s="25" t="str">
        <f>HLOOKUP(INDICE!$F$2,Nombres!$C$3:$D$636,46,FALSE)</f>
        <v>Resultado antes de impuestos</v>
      </c>
      <c r="B77" s="25">
        <f>+B74+B75+B76</f>
        <v>1913.4106428605478</v>
      </c>
      <c r="C77" s="25">
        <f t="shared" ref="C77:I77" si="11">+C74+C75+C76</f>
        <v>1890.629865263714</v>
      </c>
      <c r="D77" s="25">
        <f t="shared" si="11"/>
        <v>1895.5111710619162</v>
      </c>
      <c r="E77" s="73">
        <f t="shared" si="11"/>
        <v>1925.9075495764846</v>
      </c>
      <c r="F77" s="74">
        <f t="shared" si="11"/>
        <v>2009.1116891799998</v>
      </c>
      <c r="G77" s="74">
        <f t="shared" si="11"/>
        <v>0</v>
      </c>
      <c r="H77" s="74">
        <f t="shared" si="11"/>
        <v>0</v>
      </c>
      <c r="I77" s="74">
        <f t="shared" si="11"/>
        <v>0</v>
      </c>
    </row>
    <row r="78" spans="1:9">
      <c r="A78" s="17" t="str">
        <f>HLOOKUP(INDICE!$F$2,Nombres!$C$3:$D$636,47,FALSE)</f>
        <v>Impuesto sobre beneficios</v>
      </c>
      <c r="B78" s="75">
        <v>-522.59456872282215</v>
      </c>
      <c r="C78" s="75">
        <v>-506.40337876964179</v>
      </c>
      <c r="D78" s="75">
        <v>-516.26077696245534</v>
      </c>
      <c r="E78" s="76">
        <v>-544.71797270622289</v>
      </c>
      <c r="F78" s="75">
        <v>-567.93655548999993</v>
      </c>
      <c r="G78" s="75">
        <v>0</v>
      </c>
      <c r="H78" s="75">
        <v>0</v>
      </c>
      <c r="I78" s="75">
        <v>0</v>
      </c>
    </row>
    <row r="79" spans="1:9">
      <c r="A79" s="25" t="str">
        <f>HLOOKUP(INDICE!$F$2,Nombres!$C$3:$D$636,48,FALSE)</f>
        <v>Resultado del ejercicio</v>
      </c>
      <c r="B79" s="25">
        <f>+B77+B78</f>
        <v>1390.8160741377255</v>
      </c>
      <c r="C79" s="25">
        <f t="shared" ref="C79:I79" si="12">+C77+C78</f>
        <v>1384.2264864940721</v>
      </c>
      <c r="D79" s="25">
        <f t="shared" si="12"/>
        <v>1379.2503940994609</v>
      </c>
      <c r="E79" s="73">
        <f t="shared" si="12"/>
        <v>1381.1895768702616</v>
      </c>
      <c r="F79" s="74">
        <f t="shared" si="12"/>
        <v>1441.1751336899997</v>
      </c>
      <c r="G79" s="74">
        <f t="shared" si="12"/>
        <v>0</v>
      </c>
      <c r="H79" s="74">
        <f t="shared" si="12"/>
        <v>0</v>
      </c>
      <c r="I79" s="74">
        <f t="shared" si="12"/>
        <v>0</v>
      </c>
    </row>
    <row r="80" spans="1:9">
      <c r="A80" s="17" t="str">
        <f>HLOOKUP(INDICE!$F$2,Nombres!$C$3:$D$636,49,FALSE)</f>
        <v>Minoritarios</v>
      </c>
      <c r="B80" s="75">
        <v>-0.25433028636310001</v>
      </c>
      <c r="C80" s="75">
        <v>-0.2539296965506278</v>
      </c>
      <c r="D80" s="75">
        <v>-0.24685200805985597</v>
      </c>
      <c r="E80" s="76">
        <v>-0.2561908538011321</v>
      </c>
      <c r="F80" s="75">
        <v>-0.25900000000000001</v>
      </c>
      <c r="G80" s="75">
        <v>0</v>
      </c>
      <c r="H80" s="75">
        <v>0</v>
      </c>
      <c r="I80" s="75">
        <v>0</v>
      </c>
    </row>
    <row r="81" spans="1:9">
      <c r="A81" s="19" t="str">
        <f>HLOOKUP(INDICE!$F$2,Nombres!$C$3:$D$636,50,FALSE)</f>
        <v>Resultado atribuido</v>
      </c>
      <c r="B81" s="19">
        <f>+B79+B80</f>
        <v>1390.5617438513625</v>
      </c>
      <c r="C81" s="19">
        <f t="shared" ref="C81:I81" si="13">+C79+C80</f>
        <v>1383.9725567975215</v>
      </c>
      <c r="D81" s="19">
        <f t="shared" si="13"/>
        <v>1379.003542091401</v>
      </c>
      <c r="E81" s="19">
        <f t="shared" si="13"/>
        <v>1380.9333860164604</v>
      </c>
      <c r="F81" s="94">
        <f t="shared" si="13"/>
        <v>1440.9161336899997</v>
      </c>
      <c r="G81" s="94">
        <f t="shared" si="13"/>
        <v>0</v>
      </c>
      <c r="H81" s="94">
        <f t="shared" si="13"/>
        <v>0</v>
      </c>
      <c r="I81" s="94">
        <f t="shared" si="13"/>
        <v>0</v>
      </c>
    </row>
    <row r="82" spans="1:9">
      <c r="A82" s="91"/>
      <c r="B82" s="99">
        <v>0</v>
      </c>
      <c r="C82" s="99">
        <v>2.5011104298755527E-12</v>
      </c>
      <c r="D82" s="99">
        <v>0</v>
      </c>
      <c r="E82" s="99">
        <v>0</v>
      </c>
      <c r="F82" s="99">
        <v>0</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13948.363136670259</v>
      </c>
      <c r="C87" s="75">
        <v>11943.097931434286</v>
      </c>
      <c r="D87" s="75">
        <v>10100.258350958622</v>
      </c>
      <c r="E87" s="76">
        <v>10542.47448263524</v>
      </c>
      <c r="F87" s="75">
        <v>11577.02400001</v>
      </c>
      <c r="G87" s="75">
        <v>0</v>
      </c>
      <c r="H87" s="75">
        <v>0</v>
      </c>
      <c r="I87" s="75">
        <v>0</v>
      </c>
    </row>
    <row r="88" spans="1:9">
      <c r="A88" s="17" t="str">
        <f>HLOOKUP(INDICE!$F$2,Nombres!$C$3:$D$636,53,FALSE)</f>
        <v>Activos financieros a valor razonable</v>
      </c>
      <c r="B88" s="83">
        <v>53012.674056055199</v>
      </c>
      <c r="C88" s="83">
        <v>55815.888471077466</v>
      </c>
      <c r="D88" s="83">
        <v>62934.91452000061</v>
      </c>
      <c r="E88" s="95">
        <v>63092.021474791472</v>
      </c>
      <c r="F88" s="75">
        <v>63973.145000010001</v>
      </c>
      <c r="G88" s="75">
        <v>0</v>
      </c>
      <c r="H88" s="75">
        <v>0</v>
      </c>
      <c r="I88" s="75">
        <v>0</v>
      </c>
    </row>
    <row r="89" spans="1:9">
      <c r="A89" s="17" t="str">
        <f>HLOOKUP(INDICE!$F$2,Nombres!$C$3:$D$636,54,FALSE)</f>
        <v>Activos financieros a coste amortizado</v>
      </c>
      <c r="B89" s="75">
        <v>92746.181461851113</v>
      </c>
      <c r="C89" s="75">
        <v>95549.23166526774</v>
      </c>
      <c r="D89" s="75">
        <v>98060.610743596379</v>
      </c>
      <c r="E89" s="76">
        <v>100671.06030505618</v>
      </c>
      <c r="F89" s="75">
        <v>101063.49299996001</v>
      </c>
      <c r="G89" s="75">
        <v>0</v>
      </c>
      <c r="H89" s="75">
        <v>0</v>
      </c>
      <c r="I89" s="75">
        <v>0</v>
      </c>
    </row>
    <row r="90" spans="1:9">
      <c r="A90" s="17" t="str">
        <f>HLOOKUP(INDICE!$F$2,Nombres!$C$3:$D$636,55,FALSE)</f>
        <v xml:space="preserve">    de los que préstamos y anticipos a la clientela</v>
      </c>
      <c r="B90" s="75">
        <v>84700.54117680926</v>
      </c>
      <c r="C90" s="75">
        <v>86698.481475287423</v>
      </c>
      <c r="D90" s="75">
        <v>89559.277439199432</v>
      </c>
      <c r="E90" s="76">
        <v>92071.120900987109</v>
      </c>
      <c r="F90" s="75">
        <v>92775.858999929987</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2299.1386165543513</v>
      </c>
      <c r="C92" s="75">
        <v>2334.1655339177823</v>
      </c>
      <c r="D92" s="75">
        <v>2404.8757380378629</v>
      </c>
      <c r="E92" s="76">
        <v>2494.0733681678639</v>
      </c>
      <c r="F92" s="75">
        <v>2469.3159999999998</v>
      </c>
      <c r="G92" s="75">
        <v>0</v>
      </c>
      <c r="H92" s="75">
        <v>0</v>
      </c>
      <c r="I92" s="75">
        <v>0</v>
      </c>
    </row>
    <row r="93" spans="1:9">
      <c r="A93" s="17" t="str">
        <f>HLOOKUP(INDICE!$F$2,Nombres!$C$3:$D$636,57,FALSE)</f>
        <v>Otros activos</v>
      </c>
      <c r="B93" s="83">
        <f>+B94-B92-B89-B88-B87</f>
        <v>4546.3126116208459</v>
      </c>
      <c r="C93" s="83">
        <f t="shared" ref="C93:I93" si="15">+C94-C92-C89-C88-C87</f>
        <v>5032.278140404529</v>
      </c>
      <c r="D93" s="83">
        <f t="shared" si="15"/>
        <v>5165.6258373068667</v>
      </c>
      <c r="E93" s="95">
        <f t="shared" si="15"/>
        <v>4485.5076980914746</v>
      </c>
      <c r="F93" s="75">
        <f t="shared" si="15"/>
        <v>5593.9286320000265</v>
      </c>
      <c r="G93" s="75">
        <f t="shared" si="15"/>
        <v>0</v>
      </c>
      <c r="H93" s="75">
        <f t="shared" si="15"/>
        <v>0</v>
      </c>
      <c r="I93" s="75">
        <f t="shared" si="15"/>
        <v>0</v>
      </c>
    </row>
    <row r="94" spans="1:9">
      <c r="A94" s="19" t="str">
        <f>HLOOKUP(INDICE!$F$2,Nombres!$C$3:$D$636,58,FALSE)</f>
        <v>Total activo / pasivo</v>
      </c>
      <c r="B94" s="19">
        <v>166552.66988275177</v>
      </c>
      <c r="C94" s="19">
        <v>170674.6617421018</v>
      </c>
      <c r="D94" s="19">
        <v>178666.28518990034</v>
      </c>
      <c r="E94" s="19">
        <v>181285.13732874222</v>
      </c>
      <c r="F94" s="94">
        <v>184676.90663198003</v>
      </c>
      <c r="G94" s="94">
        <v>0</v>
      </c>
      <c r="H94" s="94">
        <v>0</v>
      </c>
      <c r="I94" s="94">
        <v>0</v>
      </c>
    </row>
    <row r="95" spans="1:9">
      <c r="A95" s="17" t="str">
        <f>HLOOKUP(INDICE!$F$2,Nombres!$C$3:$D$636,59,FALSE)</f>
        <v>Pasivos financieros mantenidos para negociar y designados a valor razonable con cambios en resultados</v>
      </c>
      <c r="B95" s="83">
        <v>30728.546362892943</v>
      </c>
      <c r="C95" s="83">
        <v>29847.640525261737</v>
      </c>
      <c r="D95" s="83">
        <v>34142.986061949981</v>
      </c>
      <c r="E95" s="95">
        <v>29772.853365461277</v>
      </c>
      <c r="F95" s="75">
        <v>35251.853999999999</v>
      </c>
      <c r="G95" s="75">
        <v>0</v>
      </c>
      <c r="H95" s="75">
        <v>0</v>
      </c>
      <c r="I95" s="75">
        <v>0</v>
      </c>
    </row>
    <row r="96" spans="1:9">
      <c r="A96" s="17" t="str">
        <f>HLOOKUP(INDICE!$F$2,Nombres!$C$3:$D$636,60,FALSE)</f>
        <v>Depósitos de bancos centrales y entidades de crédito</v>
      </c>
      <c r="B96" s="83">
        <v>7521.0883331705318</v>
      </c>
      <c r="C96" s="83">
        <v>10188.822443776708</v>
      </c>
      <c r="D96" s="83">
        <v>12058.791901372808</v>
      </c>
      <c r="E96" s="95">
        <v>9131.7168654013567</v>
      </c>
      <c r="F96" s="75">
        <v>10176.859999990002</v>
      </c>
      <c r="G96" s="75">
        <v>0</v>
      </c>
      <c r="H96" s="75">
        <v>0</v>
      </c>
      <c r="I96" s="75">
        <v>0</v>
      </c>
    </row>
    <row r="97" spans="1:9">
      <c r="A97" s="17" t="str">
        <f>HLOOKUP(INDICE!$F$2,Nombres!$C$3:$D$636,61,FALSE)</f>
        <v>Depósitos de la clientela</v>
      </c>
      <c r="B97" s="83">
        <v>87873.675105684873</v>
      </c>
      <c r="C97" s="83">
        <v>87912.930883041117</v>
      </c>
      <c r="D97" s="83">
        <v>89193.824110949266</v>
      </c>
      <c r="E97" s="95">
        <v>96723.729585266527</v>
      </c>
      <c r="F97" s="75">
        <v>93566.104000060004</v>
      </c>
      <c r="G97" s="75">
        <v>0</v>
      </c>
      <c r="H97" s="75">
        <v>0</v>
      </c>
      <c r="I97" s="75">
        <v>0</v>
      </c>
    </row>
    <row r="98" spans="1:9">
      <c r="A98" s="17" t="str">
        <f>HLOOKUP(INDICE!$F$2,Nombres!$C$3:$D$636,62,FALSE)</f>
        <v>Valores representativos de deuda emitidos</v>
      </c>
      <c r="B98" s="75">
        <v>9116.2884128976984</v>
      </c>
      <c r="C98" s="75">
        <v>10129.016890188321</v>
      </c>
      <c r="D98" s="75">
        <v>9489.5647550984377</v>
      </c>
      <c r="E98" s="76">
        <v>10156.187294987258</v>
      </c>
      <c r="F98" s="75">
        <v>10757.667357869999</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21071.198700704237</v>
      </c>
      <c r="C100" s="83">
        <f t="shared" ref="C100:I100" si="16">+C94-C95-C96-C97-C98-C101</f>
        <v>22151.606974418624</v>
      </c>
      <c r="D100" s="83">
        <f t="shared" si="16"/>
        <v>22582.005891952722</v>
      </c>
      <c r="E100" s="95">
        <f t="shared" si="16"/>
        <v>23778.591832931332</v>
      </c>
      <c r="F100" s="75">
        <f t="shared" si="16"/>
        <v>22922.057868740027</v>
      </c>
      <c r="G100" s="75">
        <f t="shared" si="16"/>
        <v>0</v>
      </c>
      <c r="H100" s="75">
        <f t="shared" si="16"/>
        <v>0</v>
      </c>
      <c r="I100" s="75">
        <f t="shared" si="16"/>
        <v>0</v>
      </c>
    </row>
    <row r="101" spans="1:9">
      <c r="A101" s="17" t="str">
        <f>HLOOKUP(INDICE!$F$2,Nombres!$C$3:$D$636,282,FALSE)</f>
        <v>Dotación de capital regulatorio</v>
      </c>
      <c r="B101" s="75">
        <v>10241.872967401476</v>
      </c>
      <c r="C101" s="75">
        <v>10444.644025415308</v>
      </c>
      <c r="D101" s="75">
        <v>11199.112468577128</v>
      </c>
      <c r="E101" s="95">
        <v>11722.058384694454</v>
      </c>
      <c r="F101" s="75">
        <v>12002.363405320008</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96" t="str">
        <f>HLOOKUP(INDICE!$F$2,Nombres!$C$3:$D$636,65,FALSE)</f>
        <v>Indicadores relevantes y de gestión</v>
      </c>
      <c r="B104" s="97"/>
      <c r="C104" s="97"/>
      <c r="D104" s="97"/>
      <c r="E104" s="97"/>
      <c r="F104" s="106"/>
      <c r="G104" s="106"/>
      <c r="H104" s="106"/>
      <c r="I104" s="106"/>
    </row>
    <row r="105" spans="1:9">
      <c r="A105" s="67" t="str">
        <f>HLOOKUP(INDICE!$F$2,Nombres!$C$3:$D$636,73,FALSE)</f>
        <v>(Millones de euros constantes)</v>
      </c>
      <c r="B105" s="62"/>
      <c r="C105" s="62"/>
      <c r="D105" s="62"/>
      <c r="E105" s="62"/>
      <c r="F105" s="105"/>
      <c r="G105" s="105"/>
      <c r="H105" s="105"/>
      <c r="I105" s="10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87628.09605031494</v>
      </c>
      <c r="C107" s="75">
        <v>89680.602808080177</v>
      </c>
      <c r="D107" s="75">
        <v>92676.187040214136</v>
      </c>
      <c r="E107" s="76">
        <v>95256.94969467631</v>
      </c>
      <c r="F107" s="75">
        <v>95947.73</v>
      </c>
      <c r="G107" s="75">
        <v>0</v>
      </c>
      <c r="H107" s="75">
        <v>0</v>
      </c>
      <c r="I107" s="75">
        <v>0</v>
      </c>
    </row>
    <row r="108" spans="1:9">
      <c r="A108" s="17" t="str">
        <f>HLOOKUP(INDICE!$F$2,Nombres!$C$3:$D$636,67,FALSE)</f>
        <v>Depósitos de clientes en gestión (**)</v>
      </c>
      <c r="B108" s="75">
        <v>87318.471669655089</v>
      </c>
      <c r="C108" s="75">
        <v>86260.092075383101</v>
      </c>
      <c r="D108" s="75">
        <v>87937.55138137922</v>
      </c>
      <c r="E108" s="76">
        <v>95011.837468453232</v>
      </c>
      <c r="F108" s="75">
        <v>92321.04100006001</v>
      </c>
      <c r="G108" s="75">
        <v>0</v>
      </c>
      <c r="H108" s="75">
        <v>0</v>
      </c>
      <c r="I108" s="75">
        <v>0</v>
      </c>
    </row>
    <row r="109" spans="1:9">
      <c r="A109" s="17" t="str">
        <f>HLOOKUP(INDICE!$F$2,Nombres!$C$3:$D$636,68,FALSE)</f>
        <v>Fondos de inversión y carteras gestionadas</v>
      </c>
      <c r="B109" s="75">
        <v>44928.511923221122</v>
      </c>
      <c r="C109" s="75">
        <v>47408.158954801234</v>
      </c>
      <c r="D109" s="75">
        <v>50130.393280214899</v>
      </c>
      <c r="E109" s="76">
        <v>51266.919662826294</v>
      </c>
      <c r="F109" s="75">
        <v>55472.56863365</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3745.9108360747873</v>
      </c>
      <c r="C111" s="75">
        <v>4035.1929795153542</v>
      </c>
      <c r="D111" s="75">
        <v>4332.7324297808955</v>
      </c>
      <c r="E111" s="76">
        <v>4380.3887006239329</v>
      </c>
      <c r="F111" s="75">
        <v>5681.7670694099988</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HLOOKUP(INDICE!$F$2,Nombres!$C$3:$D$636,74,FALSE)</f>
        <v>(Millones de pesos mexicanos)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51901.52619601156</v>
      </c>
      <c r="C120" s="25">
        <v>51525.353116978287</v>
      </c>
      <c r="D120" s="25">
        <v>54035.766937980152</v>
      </c>
      <c r="E120" s="73">
        <v>54617.240576741664</v>
      </c>
      <c r="F120" s="74">
        <v>55295.630634346569</v>
      </c>
      <c r="G120" s="74">
        <v>0</v>
      </c>
      <c r="H120" s="74">
        <v>0</v>
      </c>
      <c r="I120" s="74">
        <v>0</v>
      </c>
    </row>
    <row r="121" spans="1:9">
      <c r="A121" s="17" t="str">
        <f>HLOOKUP(INDICE!$F$2,Nombres!$C$3:$D$636,34,FALSE)</f>
        <v>Comisiones netas</v>
      </c>
      <c r="B121" s="75">
        <v>9674.8161709901669</v>
      </c>
      <c r="C121" s="75">
        <v>10308.669940322676</v>
      </c>
      <c r="D121" s="75">
        <v>11367.311227398484</v>
      </c>
      <c r="E121" s="76">
        <v>11357.203612079331</v>
      </c>
      <c r="F121" s="75">
        <v>11838.286187232814</v>
      </c>
      <c r="G121" s="75">
        <v>0</v>
      </c>
      <c r="H121" s="75">
        <v>0</v>
      </c>
      <c r="I121" s="75">
        <v>0</v>
      </c>
    </row>
    <row r="122" spans="1:9">
      <c r="A122" s="17" t="str">
        <f>HLOOKUP(INDICE!$F$2,Nombres!$C$3:$D$636,35,FALSE)</f>
        <v>Resultados de operaciones financieras</v>
      </c>
      <c r="B122" s="75">
        <v>2981.4644876065913</v>
      </c>
      <c r="C122" s="75">
        <v>3202.7039433358173</v>
      </c>
      <c r="D122" s="75">
        <v>1227.1265759750233</v>
      </c>
      <c r="E122" s="76">
        <v>3571.9062799216931</v>
      </c>
      <c r="F122" s="75">
        <v>3929.0070659161979</v>
      </c>
      <c r="G122" s="75">
        <v>0</v>
      </c>
      <c r="H122" s="75">
        <v>0</v>
      </c>
      <c r="I122" s="75">
        <v>0</v>
      </c>
    </row>
    <row r="123" spans="1:9">
      <c r="A123" s="17" t="str">
        <f>HLOOKUP(INDICE!$F$2,Nombres!$C$3:$D$636,36,FALSE)</f>
        <v>Otros ingresos y cargas de explotación</v>
      </c>
      <c r="B123" s="75">
        <v>1714.1478372669444</v>
      </c>
      <c r="C123" s="75">
        <v>1789.036845749805</v>
      </c>
      <c r="D123" s="75">
        <v>2290.550872280277</v>
      </c>
      <c r="E123" s="76">
        <v>2176.782249596386</v>
      </c>
      <c r="F123" s="75">
        <v>2090.6497075235643</v>
      </c>
      <c r="G123" s="75">
        <v>0</v>
      </c>
      <c r="H123" s="75">
        <v>0</v>
      </c>
      <c r="I123" s="75">
        <v>0</v>
      </c>
    </row>
    <row r="124" spans="1:9">
      <c r="A124" s="25" t="str">
        <f>HLOOKUP(INDICE!$F$2,Nombres!$C$3:$D$636,37,FALSE)</f>
        <v>Margen bruto</v>
      </c>
      <c r="B124" s="25">
        <f>+SUM(B120:B123)</f>
        <v>66271.95469187526</v>
      </c>
      <c r="C124" s="25">
        <f t="shared" ref="C124:I124" si="19">+SUM(C120:C123)</f>
        <v>66825.763846386588</v>
      </c>
      <c r="D124" s="25">
        <f t="shared" si="19"/>
        <v>68920.755613633941</v>
      </c>
      <c r="E124" s="73">
        <f t="shared" si="19"/>
        <v>71723.132718339082</v>
      </c>
      <c r="F124" s="74">
        <f t="shared" si="19"/>
        <v>73153.573595019159</v>
      </c>
      <c r="G124" s="74">
        <f t="shared" si="19"/>
        <v>0</v>
      </c>
      <c r="H124" s="74">
        <f t="shared" si="19"/>
        <v>0</v>
      </c>
      <c r="I124" s="74">
        <f t="shared" si="19"/>
        <v>0</v>
      </c>
    </row>
    <row r="125" spans="1:9">
      <c r="A125" s="17" t="str">
        <f>HLOOKUP(INDICE!$F$2,Nombres!$C$3:$D$636,38,FALSE)</f>
        <v>Gastos de explotación</v>
      </c>
      <c r="B125" s="75">
        <v>-19957.870202672064</v>
      </c>
      <c r="C125" s="75">
        <v>-20753.597679533064</v>
      </c>
      <c r="D125" s="75">
        <v>-20950.413867825766</v>
      </c>
      <c r="E125" s="76">
        <v>-23037.433225004876</v>
      </c>
      <c r="F125" s="75">
        <v>-22014.779003570082</v>
      </c>
      <c r="G125" s="75">
        <v>0</v>
      </c>
      <c r="H125" s="75">
        <v>0</v>
      </c>
      <c r="I125" s="75">
        <v>0</v>
      </c>
    </row>
    <row r="126" spans="1:9">
      <c r="A126" s="17" t="str">
        <f>HLOOKUP(INDICE!$F$2,Nombres!$C$3:$D$636,39,FALSE)</f>
        <v xml:space="preserve">  Gastos de administración</v>
      </c>
      <c r="B126" s="75">
        <v>-17781.090959906822</v>
      </c>
      <c r="C126" s="75">
        <v>-18551.097719889487</v>
      </c>
      <c r="D126" s="75">
        <v>-18656.79069605123</v>
      </c>
      <c r="E126" s="76">
        <v>-20715.523812684092</v>
      </c>
      <c r="F126" s="75">
        <v>-19663.760496196552</v>
      </c>
      <c r="G126" s="75">
        <v>0</v>
      </c>
      <c r="H126" s="75">
        <v>0</v>
      </c>
      <c r="I126" s="75">
        <v>0</v>
      </c>
    </row>
    <row r="127" spans="1:9">
      <c r="A127" s="77" t="str">
        <f>HLOOKUP(INDICE!$F$2,Nombres!$C$3:$D$636,40,FALSE)</f>
        <v xml:space="preserve">  Gastos de personal</v>
      </c>
      <c r="B127" s="75">
        <v>-9128.3942233609687</v>
      </c>
      <c r="C127" s="75">
        <v>-9591.5778774211503</v>
      </c>
      <c r="D127" s="75">
        <v>-10052.214964768091</v>
      </c>
      <c r="E127" s="76">
        <v>-11519.62050575493</v>
      </c>
      <c r="F127" s="75">
        <v>-10481.531229884562</v>
      </c>
      <c r="G127" s="75">
        <v>0</v>
      </c>
      <c r="H127" s="75">
        <v>0</v>
      </c>
      <c r="I127" s="75">
        <v>0</v>
      </c>
    </row>
    <row r="128" spans="1:9">
      <c r="A128" s="77" t="str">
        <f>HLOOKUP(INDICE!$F$2,Nombres!$C$3:$D$636,41,FALSE)</f>
        <v xml:space="preserve">  Otros gastos de administración</v>
      </c>
      <c r="B128" s="75">
        <v>-8652.6967365458549</v>
      </c>
      <c r="C128" s="75">
        <v>-8959.5198424683404</v>
      </c>
      <c r="D128" s="75">
        <v>-8604.5757312831392</v>
      </c>
      <c r="E128" s="76">
        <v>-9195.9033069291618</v>
      </c>
      <c r="F128" s="75">
        <v>-9182.2292663119879</v>
      </c>
      <c r="G128" s="75">
        <v>0</v>
      </c>
      <c r="H128" s="75">
        <v>0</v>
      </c>
      <c r="I128" s="75">
        <v>0</v>
      </c>
    </row>
    <row r="129" spans="1:9">
      <c r="A129" s="17" t="str">
        <f>HLOOKUP(INDICE!$F$2,Nombres!$C$3:$D$636,42,FALSE)</f>
        <v xml:space="preserve">  Amortización</v>
      </c>
      <c r="B129" s="75">
        <v>-2176.7792427652398</v>
      </c>
      <c r="C129" s="75">
        <v>-2202.4999596435737</v>
      </c>
      <c r="D129" s="75">
        <v>-2293.6231717745404</v>
      </c>
      <c r="E129" s="76">
        <v>-2321.9094123207842</v>
      </c>
      <c r="F129" s="75">
        <v>-2351.0185073735274</v>
      </c>
      <c r="G129" s="75">
        <v>0</v>
      </c>
      <c r="H129" s="75">
        <v>0</v>
      </c>
      <c r="I129" s="75">
        <v>0</v>
      </c>
    </row>
    <row r="130" spans="1:9">
      <c r="A130" s="25" t="str">
        <f>HLOOKUP(INDICE!$F$2,Nombres!$C$3:$D$636,43,FALSE)</f>
        <v>Margen neto</v>
      </c>
      <c r="B130" s="25">
        <f>+B124+B125</f>
        <v>46314.084489203196</v>
      </c>
      <c r="C130" s="25">
        <f t="shared" ref="C130:I130" si="20">+C124+C125</f>
        <v>46072.166166853523</v>
      </c>
      <c r="D130" s="25">
        <f t="shared" si="20"/>
        <v>47970.341745808175</v>
      </c>
      <c r="E130" s="73">
        <f t="shared" si="20"/>
        <v>48685.699493334207</v>
      </c>
      <c r="F130" s="74">
        <f t="shared" si="20"/>
        <v>51138.794591449077</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-11013.374297857412</v>
      </c>
      <c r="C131" s="75">
        <v>-11315.370443724029</v>
      </c>
      <c r="D131" s="75">
        <v>-12900.444627103388</v>
      </c>
      <c r="E131" s="76">
        <v>-12711.895882331377</v>
      </c>
      <c r="F131" s="75">
        <v>-13873.914378594436</v>
      </c>
      <c r="G131" s="75">
        <v>0</v>
      </c>
      <c r="H131" s="75">
        <v>0</v>
      </c>
      <c r="I131" s="75">
        <v>0</v>
      </c>
    </row>
    <row r="132" spans="1:9">
      <c r="A132" s="17" t="str">
        <f>HLOOKUP(INDICE!$F$2,Nombres!$C$3:$D$636,45,FALSE)</f>
        <v>Provisiones o reversión de provisiones y otros resultados</v>
      </c>
      <c r="B132" s="75">
        <v>-15.613591058422543</v>
      </c>
      <c r="C132" s="75">
        <v>108.20185600256119</v>
      </c>
      <c r="D132" s="75">
        <v>-114.88365758334072</v>
      </c>
      <c r="E132" s="76">
        <v>-458.25226629249926</v>
      </c>
      <c r="F132" s="75">
        <v>-214.96607236477891</v>
      </c>
      <c r="G132" s="75">
        <v>0</v>
      </c>
      <c r="H132" s="75">
        <v>0</v>
      </c>
      <c r="I132" s="75">
        <v>0</v>
      </c>
    </row>
    <row r="133" spans="1:9">
      <c r="A133" s="25" t="str">
        <f>HLOOKUP(INDICE!$F$2,Nombres!$C$3:$D$636,46,FALSE)</f>
        <v>Resultado antes de impuestos</v>
      </c>
      <c r="B133" s="25">
        <f>+B130+B131+B132</f>
        <v>35285.096600287368</v>
      </c>
      <c r="C133" s="25">
        <f t="shared" ref="C133:I133" si="21">+C130+C131+C132</f>
        <v>34864.997579132054</v>
      </c>
      <c r="D133" s="25">
        <f t="shared" si="21"/>
        <v>34955.013461121445</v>
      </c>
      <c r="E133" s="73">
        <f t="shared" si="21"/>
        <v>35515.551344710337</v>
      </c>
      <c r="F133" s="74">
        <f t="shared" si="21"/>
        <v>37049.914140489862</v>
      </c>
      <c r="G133" s="74">
        <f t="shared" si="21"/>
        <v>0</v>
      </c>
      <c r="H133" s="74">
        <f t="shared" si="21"/>
        <v>0</v>
      </c>
      <c r="I133" s="74">
        <f t="shared" si="21"/>
        <v>0</v>
      </c>
    </row>
    <row r="134" spans="1:9">
      <c r="A134" s="17" t="str">
        <f>HLOOKUP(INDICE!$F$2,Nombres!$C$3:$D$636,47,FALSE)</f>
        <v>Impuesto sobre beneficios</v>
      </c>
      <c r="B134" s="75">
        <v>-9637.1366538459279</v>
      </c>
      <c r="C134" s="75">
        <v>-9338.5558428196709</v>
      </c>
      <c r="D134" s="75">
        <v>-9520.3355610201143</v>
      </c>
      <c r="E134" s="76">
        <v>-10045.113085666359</v>
      </c>
      <c r="F134" s="75">
        <v>-10473.28564731916</v>
      </c>
      <c r="G134" s="75">
        <v>0</v>
      </c>
      <c r="H134" s="75">
        <v>0</v>
      </c>
      <c r="I134" s="75">
        <v>0</v>
      </c>
    </row>
    <row r="135" spans="1:9">
      <c r="A135" s="25" t="str">
        <f>HLOOKUP(INDICE!$F$2,Nombres!$C$3:$D$636,48,FALSE)</f>
        <v>Resultado del ejercicio</v>
      </c>
      <c r="B135" s="25">
        <f>+B133+B134</f>
        <v>25647.959946441442</v>
      </c>
      <c r="C135" s="25">
        <f t="shared" ref="C135:I135" si="22">+C133+C134</f>
        <v>25526.441736312383</v>
      </c>
      <c r="D135" s="25">
        <f t="shared" si="22"/>
        <v>25434.677900101331</v>
      </c>
      <c r="E135" s="73">
        <f t="shared" si="22"/>
        <v>25470.438259043978</v>
      </c>
      <c r="F135" s="74">
        <f t="shared" si="22"/>
        <v>26576.628493170701</v>
      </c>
      <c r="G135" s="74">
        <f t="shared" si="22"/>
        <v>0</v>
      </c>
      <c r="H135" s="74">
        <f t="shared" si="22"/>
        <v>0</v>
      </c>
      <c r="I135" s="74">
        <f t="shared" si="22"/>
        <v>0</v>
      </c>
    </row>
    <row r="136" spans="1:9">
      <c r="A136" s="17" t="str">
        <f>HLOOKUP(INDICE!$F$2,Nombres!$C$3:$D$636,49,FALSE)</f>
        <v>Minoritarios</v>
      </c>
      <c r="B136" s="75">
        <v>-4.6900903139560786</v>
      </c>
      <c r="C136" s="75">
        <v>-4.6827030600579578</v>
      </c>
      <c r="D136" s="75">
        <v>-4.5521838100289793</v>
      </c>
      <c r="E136" s="76">
        <v>-4.7244009320281979</v>
      </c>
      <c r="F136" s="75">
        <v>-4.7762042369597468</v>
      </c>
      <c r="G136" s="75">
        <v>0</v>
      </c>
      <c r="H136" s="75">
        <v>0</v>
      </c>
      <c r="I136" s="75">
        <v>0</v>
      </c>
    </row>
    <row r="137" spans="1:9">
      <c r="A137" s="19" t="str">
        <f>HLOOKUP(INDICE!$F$2,Nombres!$C$3:$D$636,50,FALSE)</f>
        <v>Resultado atribuido</v>
      </c>
      <c r="B137" s="19">
        <f>+B135+B136</f>
        <v>25643.269856127485</v>
      </c>
      <c r="C137" s="19">
        <f t="shared" ref="C137:I137" si="23">+C135+C136</f>
        <v>25521.759033252325</v>
      </c>
      <c r="D137" s="19">
        <f t="shared" si="23"/>
        <v>25430.125716291303</v>
      </c>
      <c r="E137" s="19">
        <f t="shared" si="23"/>
        <v>25465.713858111951</v>
      </c>
      <c r="F137" s="94">
        <f t="shared" si="23"/>
        <v>26571.85228893374</v>
      </c>
      <c r="G137" s="94">
        <f t="shared" si="23"/>
        <v>0</v>
      </c>
      <c r="H137" s="94">
        <f t="shared" si="23"/>
        <v>0</v>
      </c>
      <c r="I137" s="94">
        <f t="shared" si="23"/>
        <v>0</v>
      </c>
    </row>
    <row r="138" spans="1:9">
      <c r="A138" s="91"/>
      <c r="B138" s="99">
        <v>0</v>
      </c>
      <c r="C138" s="99">
        <v>0</v>
      </c>
      <c r="D138" s="99">
        <v>0</v>
      </c>
      <c r="E138" s="99">
        <v>0</v>
      </c>
      <c r="F138" s="99">
        <v>0</v>
      </c>
      <c r="G138" s="99">
        <v>0</v>
      </c>
      <c r="H138" s="99">
        <v>0</v>
      </c>
      <c r="I138" s="99">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4"/>
      <c r="G140" s="104"/>
      <c r="H140" s="104"/>
      <c r="I140" s="104"/>
    </row>
    <row r="141" spans="1:9">
      <c r="A141" s="67" t="str">
        <f>HLOOKUP(INDICE!$F$2,Nombres!$C$3:$D$636,74,FALSE)</f>
        <v>(Millones de pesos mexicanos)</v>
      </c>
      <c r="B141" s="62"/>
      <c r="C141" s="82"/>
      <c r="D141" s="82"/>
      <c r="E141" s="82"/>
      <c r="F141" s="105"/>
      <c r="G141" s="75"/>
      <c r="H141" s="75"/>
      <c r="I141" s="75"/>
    </row>
    <row r="142" spans="1:9">
      <c r="A142" s="62"/>
      <c r="B142" s="84">
        <f t="shared" ref="B142:I142" si="24">+B$30</f>
        <v>45016</v>
      </c>
      <c r="C142" s="84">
        <f t="shared" si="24"/>
        <v>45107</v>
      </c>
      <c r="D142" s="84">
        <f t="shared" si="24"/>
        <v>45199</v>
      </c>
      <c r="E142" s="98">
        <f t="shared" si="24"/>
        <v>45291</v>
      </c>
      <c r="F142" s="84">
        <f t="shared" si="24"/>
        <v>45382</v>
      </c>
      <c r="G142" s="84">
        <f t="shared" si="24"/>
        <v>45473</v>
      </c>
      <c r="H142" s="84">
        <f t="shared" si="24"/>
        <v>45565</v>
      </c>
      <c r="I142" s="84">
        <f t="shared" si="24"/>
        <v>45657</v>
      </c>
    </row>
    <row r="143" spans="1:9">
      <c r="A143" s="17" t="str">
        <f>HLOOKUP(INDICE!$F$2,Nombres!$C$3:$D$636,52,FALSE)</f>
        <v>Efectivo, saldos en efectivo en bancos centrales y otros depósitos a la vista</v>
      </c>
      <c r="B143" s="75">
        <v>249925.37584669385</v>
      </c>
      <c r="C143" s="75">
        <v>213995.23442577472</v>
      </c>
      <c r="D143" s="75">
        <v>180975.41910674999</v>
      </c>
      <c r="E143" s="76">
        <v>188899.00353252326</v>
      </c>
      <c r="F143" s="75">
        <v>207435.95832990357</v>
      </c>
      <c r="G143" s="75">
        <v>0</v>
      </c>
      <c r="H143" s="75">
        <v>0</v>
      </c>
      <c r="I143" s="75">
        <v>0</v>
      </c>
    </row>
    <row r="144" spans="1:9">
      <c r="A144" s="17" t="str">
        <f>HLOOKUP(INDICE!$F$2,Nombres!$C$3:$D$636,53,FALSE)</f>
        <v>Activos financieros a valor razonable</v>
      </c>
      <c r="B144" s="83">
        <v>949875.79246956098</v>
      </c>
      <c r="C144" s="83">
        <v>1000103.5080365186</v>
      </c>
      <c r="D144" s="83">
        <v>1127661.504878595</v>
      </c>
      <c r="E144" s="95">
        <v>1130476.5315838438</v>
      </c>
      <c r="F144" s="75">
        <v>1146264.4147963664</v>
      </c>
      <c r="G144" s="75">
        <v>0</v>
      </c>
      <c r="H144" s="75">
        <v>0</v>
      </c>
      <c r="I144" s="75">
        <v>0</v>
      </c>
    </row>
    <row r="145" spans="1:9">
      <c r="A145" s="17" t="str">
        <f>HLOOKUP(INDICE!$F$2,Nombres!$C$3:$D$636,54,FALSE)</f>
        <v>Activos financieros a coste amortizado</v>
      </c>
      <c r="B145" s="75">
        <v>1661816.8048162984</v>
      </c>
      <c r="C145" s="75">
        <v>1712041.5780561275</v>
      </c>
      <c r="D145" s="75">
        <v>1757040.2172437392</v>
      </c>
      <c r="E145" s="76">
        <v>1803813.9914410478</v>
      </c>
      <c r="F145" s="75">
        <v>1810845.561225069</v>
      </c>
      <c r="G145" s="75">
        <v>0</v>
      </c>
      <c r="H145" s="75">
        <v>0</v>
      </c>
      <c r="I145" s="75">
        <v>0</v>
      </c>
    </row>
    <row r="146" spans="1:9">
      <c r="A146" s="17" t="str">
        <f>HLOOKUP(INDICE!$F$2,Nombres!$C$3:$D$636,55,FALSE)</f>
        <v xml:space="preserve">    de los que préstamos y anticipos a la clientela</v>
      </c>
      <c r="B146" s="75">
        <v>1517655.8267528606</v>
      </c>
      <c r="C146" s="75">
        <v>1553454.7212269837</v>
      </c>
      <c r="D146" s="75">
        <v>1604714.1772287937</v>
      </c>
      <c r="E146" s="76">
        <v>1649721.137192786</v>
      </c>
      <c r="F146" s="75">
        <v>1662348.5639758427</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41195.735817583904</v>
      </c>
      <c r="C148" s="75">
        <v>41823.344620210511</v>
      </c>
      <c r="D148" s="75">
        <v>43090.322986614468</v>
      </c>
      <c r="E148" s="76">
        <v>44688.557203521763</v>
      </c>
      <c r="F148" s="75">
        <v>44244.957156426528</v>
      </c>
      <c r="G148" s="75">
        <v>0</v>
      </c>
      <c r="H148" s="75">
        <v>0</v>
      </c>
      <c r="I148" s="75">
        <v>0</v>
      </c>
    </row>
    <row r="149" spans="1:9">
      <c r="A149" s="17" t="str">
        <f>HLOOKUP(INDICE!$F$2,Nombres!$C$3:$D$636,57,FALSE)</f>
        <v>Otros activos</v>
      </c>
      <c r="B149" s="83">
        <f>+B150-B148-B145-B144-B143</f>
        <v>81460.374743811117</v>
      </c>
      <c r="C149" s="83">
        <f t="shared" ref="C149:I149" si="25">+C150-C148-C145-C144-C143</f>
        <v>90167.856492007792</v>
      </c>
      <c r="D149" s="83">
        <f t="shared" si="25"/>
        <v>92557.167190336215</v>
      </c>
      <c r="E149" s="95">
        <f t="shared" si="25"/>
        <v>80370.878383681673</v>
      </c>
      <c r="F149" s="75">
        <f t="shared" si="25"/>
        <v>100231.45383537337</v>
      </c>
      <c r="G149" s="75">
        <f t="shared" si="25"/>
        <v>0</v>
      </c>
      <c r="H149" s="75">
        <f t="shared" si="25"/>
        <v>0</v>
      </c>
      <c r="I149" s="75">
        <f t="shared" si="25"/>
        <v>0</v>
      </c>
    </row>
    <row r="150" spans="1:9">
      <c r="A150" s="19" t="str">
        <f>HLOOKUP(INDICE!$F$2,Nombres!$C$3:$D$636,58,FALSE)</f>
        <v>Total activo / pasivo</v>
      </c>
      <c r="B150" s="19">
        <v>2984274.0836939481</v>
      </c>
      <c r="C150" s="19">
        <v>3058131.5216306392</v>
      </c>
      <c r="D150" s="19">
        <v>3201324.6314060348</v>
      </c>
      <c r="E150" s="19">
        <v>3248248.9621446184</v>
      </c>
      <c r="F150" s="94">
        <v>3309022.345343139</v>
      </c>
      <c r="G150" s="94">
        <v>0</v>
      </c>
      <c r="H150" s="94">
        <v>0</v>
      </c>
      <c r="I150" s="94">
        <v>0</v>
      </c>
    </row>
    <row r="151" spans="1:9">
      <c r="A151" s="17" t="str">
        <f>HLOOKUP(INDICE!$F$2,Nombres!$C$3:$D$636,59,FALSE)</f>
        <v>Pasivos financieros mantenidos para negociar y designados a valor razonable con cambios en resultados</v>
      </c>
      <c r="B151" s="83">
        <v>550591.02087600972</v>
      </c>
      <c r="C151" s="83">
        <v>534807.03816790786</v>
      </c>
      <c r="D151" s="83">
        <v>611770.60995978047</v>
      </c>
      <c r="E151" s="95">
        <v>533467.00931731844</v>
      </c>
      <c r="F151" s="75">
        <v>631639.19478697877</v>
      </c>
      <c r="G151" s="75">
        <v>0</v>
      </c>
      <c r="H151" s="75">
        <v>0</v>
      </c>
      <c r="I151" s="75">
        <v>0</v>
      </c>
    </row>
    <row r="152" spans="1:9">
      <c r="A152" s="17" t="str">
        <f>HLOOKUP(INDICE!$F$2,Nombres!$C$3:$D$636,60,FALSE)</f>
        <v>Depósitos de bancos centrales y entidades de crédito</v>
      </c>
      <c r="B152" s="83">
        <v>134762.10864499706</v>
      </c>
      <c r="C152" s="83">
        <v>182562.30166545612</v>
      </c>
      <c r="D152" s="83">
        <v>216068.22740973736</v>
      </c>
      <c r="E152" s="95">
        <v>163621.18962267306</v>
      </c>
      <c r="F152" s="75">
        <v>182347.95979393017</v>
      </c>
      <c r="G152" s="75">
        <v>0</v>
      </c>
      <c r="H152" s="75">
        <v>0</v>
      </c>
      <c r="I152" s="75">
        <v>0</v>
      </c>
    </row>
    <row r="153" spans="1:9">
      <c r="A153" s="17" t="str">
        <f>HLOOKUP(INDICE!$F$2,Nombres!$C$3:$D$636,61,FALSE)</f>
        <v>Depósitos de la clientela</v>
      </c>
      <c r="B153" s="83">
        <v>1574511.7231770949</v>
      </c>
      <c r="C153" s="83">
        <v>1575215.1042701867</v>
      </c>
      <c r="D153" s="83">
        <v>1598166.0210385364</v>
      </c>
      <c r="E153" s="95">
        <v>1733086.1143368864</v>
      </c>
      <c r="F153" s="75">
        <v>1676508.0948636802</v>
      </c>
      <c r="G153" s="75">
        <v>0</v>
      </c>
      <c r="H153" s="75">
        <v>0</v>
      </c>
      <c r="I153" s="75">
        <v>0</v>
      </c>
    </row>
    <row r="154" spans="1:9">
      <c r="A154" s="17" t="str">
        <f>HLOOKUP(INDICE!$F$2,Nombres!$C$3:$D$636,62,FALSE)</f>
        <v>Valores representativos de deuda emitidos</v>
      </c>
      <c r="B154" s="75">
        <v>163344.74415355767</v>
      </c>
      <c r="C154" s="75">
        <v>181490.71173681415</v>
      </c>
      <c r="D154" s="75">
        <v>170033.07232548023</v>
      </c>
      <c r="E154" s="76">
        <v>181977.54833296128</v>
      </c>
      <c r="F154" s="75">
        <v>192754.80795169444</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3">
        <f>+B150-B151-B152-B153-B154-B157</f>
        <v>377551.63119957584</v>
      </c>
      <c r="C156" s="83">
        <f t="shared" ref="C156:I156" si="26">+C150-C151-C152-C153-C154-C157</f>
        <v>396910.27860717324</v>
      </c>
      <c r="D156" s="83">
        <f t="shared" si="26"/>
        <v>404622.12337166176</v>
      </c>
      <c r="E156" s="95">
        <f t="shared" si="26"/>
        <v>426062.43060353631</v>
      </c>
      <c r="F156" s="75">
        <f t="shared" si="26"/>
        <v>410715.14068654313</v>
      </c>
      <c r="G156" s="75">
        <f t="shared" si="26"/>
        <v>0</v>
      </c>
      <c r="H156" s="75">
        <f t="shared" si="26"/>
        <v>0</v>
      </c>
      <c r="I156" s="75">
        <f t="shared" si="26"/>
        <v>0</v>
      </c>
    </row>
    <row r="157" spans="1:9">
      <c r="A157" s="17" t="str">
        <f>HLOOKUP(INDICE!$F$2,Nombres!$C$3:$D$636,282,FALSE)</f>
        <v>Dotación de capital regulatorio</v>
      </c>
      <c r="B157" s="75">
        <v>183512.85564271291</v>
      </c>
      <c r="C157" s="75">
        <v>187146.08718310122</v>
      </c>
      <c r="D157" s="75">
        <v>200664.57730083854</v>
      </c>
      <c r="E157" s="95">
        <v>210034.66993124274</v>
      </c>
      <c r="F157" s="75">
        <v>215057.1472603124</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96" t="str">
        <f>HLOOKUP(INDICE!$F$2,Nombres!$C$3:$D$636,65,FALSE)</f>
        <v>Indicadores relevantes y de gestión</v>
      </c>
      <c r="B160" s="97"/>
      <c r="C160" s="97"/>
      <c r="D160" s="97"/>
      <c r="E160" s="97"/>
      <c r="F160" s="106"/>
      <c r="G160" s="106"/>
      <c r="H160" s="106"/>
      <c r="I160" s="106"/>
    </row>
    <row r="161" spans="1:15">
      <c r="A161" s="67" t="str">
        <f>HLOOKUP(INDICE!$F$2,Nombres!$C$3:$D$636,74,FALSE)</f>
        <v>(Millones de pesos mexicanos)</v>
      </c>
      <c r="B161" s="62"/>
      <c r="C161" s="62"/>
      <c r="D161" s="62"/>
      <c r="E161" s="62"/>
      <c r="F161" s="105"/>
      <c r="G161" s="75"/>
      <c r="H161" s="75"/>
      <c r="I161" s="75"/>
    </row>
    <row r="162" spans="1:15" ht="15.75" customHeight="1">
      <c r="A162" s="62"/>
      <c r="B162" s="84">
        <f t="shared" ref="B162:I162" si="27">+B$30</f>
        <v>45016</v>
      </c>
      <c r="C162" s="84">
        <f t="shared" si="27"/>
        <v>45107</v>
      </c>
      <c r="D162" s="84">
        <f t="shared" si="27"/>
        <v>45199</v>
      </c>
      <c r="E162" s="98">
        <f t="shared" si="27"/>
        <v>45291</v>
      </c>
      <c r="F162" s="84">
        <f t="shared" si="27"/>
        <v>45382</v>
      </c>
      <c r="G162" s="84">
        <f t="shared" si="27"/>
        <v>45473</v>
      </c>
      <c r="H162" s="84">
        <f t="shared" si="27"/>
        <v>45565</v>
      </c>
      <c r="I162" s="84">
        <f t="shared" si="27"/>
        <v>45657</v>
      </c>
    </row>
    <row r="163" spans="1:15" ht="15.75" customHeight="1">
      <c r="A163" s="17" t="str">
        <f>HLOOKUP(INDICE!$F$2,Nombres!$C$3:$D$636,66,FALSE)</f>
        <v>Préstamos y anticipos a la clientela bruto (*)</v>
      </c>
      <c r="B163" s="75">
        <v>1570111.462220879</v>
      </c>
      <c r="C163" s="75">
        <v>1606888.0730558634</v>
      </c>
      <c r="D163" s="75">
        <v>1660562.6517688488</v>
      </c>
      <c r="E163" s="76">
        <v>1706804.4989352645</v>
      </c>
      <c r="F163" s="75">
        <v>1719181.831368031</v>
      </c>
      <c r="G163" s="75">
        <v>0</v>
      </c>
      <c r="H163" s="75">
        <v>0</v>
      </c>
      <c r="I163" s="75">
        <v>0</v>
      </c>
    </row>
    <row r="164" spans="1:15" ht="15.75" customHeight="1">
      <c r="A164" s="17" t="str">
        <f>HLOOKUP(INDICE!$F$2,Nombres!$C$3:$D$636,67,FALSE)</f>
        <v>Depósitos de clientes en gestión (**)</v>
      </c>
      <c r="B164" s="75">
        <v>1564563.6435306515</v>
      </c>
      <c r="C164" s="75">
        <v>1545599.7037984335</v>
      </c>
      <c r="D164" s="75">
        <v>1575656.2518973595</v>
      </c>
      <c r="E164" s="76">
        <v>1702412.6025770188</v>
      </c>
      <c r="F164" s="75">
        <v>1654199.180535967</v>
      </c>
      <c r="G164" s="75">
        <v>0</v>
      </c>
      <c r="H164" s="75">
        <v>0</v>
      </c>
      <c r="I164" s="75">
        <v>0</v>
      </c>
    </row>
    <row r="165" spans="1:15" ht="15.75" customHeight="1">
      <c r="A165" s="17" t="str">
        <f>HLOOKUP(INDICE!$F$2,Nombres!$C$3:$D$636,68,FALSE)</f>
        <v>Fondos de inversión y carteras gestionadas</v>
      </c>
      <c r="B165" s="75">
        <v>805024.58378956618</v>
      </c>
      <c r="C165" s="75">
        <v>849454.65133674233</v>
      </c>
      <c r="D165" s="75">
        <v>898231.37375610112</v>
      </c>
      <c r="E165" s="76">
        <v>918595.53982710605</v>
      </c>
      <c r="F165" s="75">
        <v>993951.93752147327</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67118.855769744667</v>
      </c>
      <c r="C167" s="75">
        <v>72302.184287701515</v>
      </c>
      <c r="D167" s="75">
        <v>77633.466403617655</v>
      </c>
      <c r="E167" s="76">
        <v>78487.366698956626</v>
      </c>
      <c r="F167" s="75">
        <v>101805.33417304249</v>
      </c>
      <c r="G167" s="75">
        <v>0</v>
      </c>
      <c r="H167" s="75">
        <v>0</v>
      </c>
      <c r="I167" s="75">
        <v>0</v>
      </c>
    </row>
    <row r="168" spans="1:15">
      <c r="A168" s="91" t="str">
        <f>HLOOKUP(INDICE!$F$2,Nombres!$C$3:$D$636,71,FALSE)</f>
        <v>(*) No incluye las adquisiciones temporales de activos.</v>
      </c>
      <c r="B168" s="83"/>
      <c r="C168" s="83"/>
      <c r="D168" s="83"/>
      <c r="E168" s="83"/>
      <c r="F168" s="75"/>
      <c r="G168" s="75"/>
      <c r="H168" s="75"/>
      <c r="I168" s="75"/>
    </row>
    <row r="169" spans="1:15">
      <c r="A169" s="91"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row r="1006" spans="1:1">
      <c r="A1006" s="63" t="s">
        <v>550</v>
      </c>
    </row>
  </sheetData>
  <mergeCells count="6">
    <mergeCell ref="B6:E6"/>
    <mergeCell ref="F6:I6"/>
    <mergeCell ref="B62:E62"/>
    <mergeCell ref="F62:I62"/>
    <mergeCell ref="B118:E118"/>
    <mergeCell ref="F118:I118"/>
  </mergeCells>
  <conditionalFormatting sqref="B26:I26">
    <cfRule type="cellIs" dxfId="73" priority="3" operator="notBetween">
      <formula>0.5</formula>
      <formula>-0.5</formula>
    </cfRule>
  </conditionalFormatting>
  <conditionalFormatting sqref="B82:I82">
    <cfRule type="cellIs" dxfId="72" priority="2" operator="notBetween">
      <formula>0.5</formula>
      <formula>-0.5</formula>
    </cfRule>
  </conditionalFormatting>
  <conditionalFormatting sqref="B138:I138">
    <cfRule type="cellIs" dxfId="71" priority="1" operator="notBetween">
      <formula>0.5</formula>
      <formula>-0.5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election activeCell="A41" sqref="A41"/>
    </sheetView>
  </sheetViews>
  <sheetFormatPr baseColWidth="10" defaultColWidth="11.453125" defaultRowHeight="14.5"/>
  <cols>
    <col min="1" max="1" width="62" style="63" customWidth="1"/>
    <col min="2" max="6" width="11.453125" style="63"/>
    <col min="7" max="9" width="0" style="63" hidden="1" customWidth="1"/>
    <col min="10" max="16384" width="11.453125" style="63"/>
  </cols>
  <sheetData>
    <row r="1" spans="1:9" ht="17">
      <c r="A1" s="61" t="str">
        <f>HLOOKUP(INDICE!$F$2,Nombres!$C$3:$D$636,12,FALSE)</f>
        <v xml:space="preserve">Turquía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626.46199913000009</v>
      </c>
      <c r="C8" s="25">
        <v>353.75799970000008</v>
      </c>
      <c r="D8" s="25">
        <v>601.24100001999955</v>
      </c>
      <c r="E8" s="73">
        <v>287.589</v>
      </c>
      <c r="F8" s="74">
        <v>277.4700005200001</v>
      </c>
      <c r="G8" s="74">
        <v>0</v>
      </c>
      <c r="H8" s="74">
        <v>0</v>
      </c>
      <c r="I8" s="74">
        <v>0</v>
      </c>
    </row>
    <row r="9" spans="1:9">
      <c r="A9" s="17" t="str">
        <f>HLOOKUP(INDICE!$F$2,Nombres!$C$3:$D$636,34,FALSE)</f>
        <v>Comisiones netas</v>
      </c>
      <c r="B9" s="75">
        <v>171.99399953</v>
      </c>
      <c r="C9" s="75">
        <v>113.22899993999997</v>
      </c>
      <c r="D9" s="75">
        <v>344.51800036999998</v>
      </c>
      <c r="E9" s="76">
        <v>368.55299976999987</v>
      </c>
      <c r="F9" s="75">
        <v>422.99700039999993</v>
      </c>
      <c r="G9" s="75">
        <v>0</v>
      </c>
      <c r="H9" s="75">
        <v>0</v>
      </c>
      <c r="I9" s="75">
        <v>0</v>
      </c>
    </row>
    <row r="10" spans="1:9">
      <c r="A10" s="17" t="str">
        <f>HLOOKUP(INDICE!$F$2,Nombres!$C$3:$D$636,35,FALSE)</f>
        <v>Resultados de operaciones financieras</v>
      </c>
      <c r="B10" s="75">
        <v>223.76600003000001</v>
      </c>
      <c r="C10" s="75">
        <v>170.65500056999997</v>
      </c>
      <c r="D10" s="75">
        <v>403.89599999999996</v>
      </c>
      <c r="E10" s="76">
        <v>139.05100009</v>
      </c>
      <c r="F10" s="75">
        <v>315.75400026</v>
      </c>
      <c r="G10" s="75">
        <v>0</v>
      </c>
      <c r="H10" s="75">
        <v>0</v>
      </c>
      <c r="I10" s="75">
        <v>0</v>
      </c>
    </row>
    <row r="11" spans="1:9">
      <c r="A11" s="17" t="str">
        <f>HLOOKUP(INDICE!$F$2,Nombres!$C$3:$D$636,36,FALSE)</f>
        <v>Otros ingresos y cargas de explotación</v>
      </c>
      <c r="B11" s="75">
        <v>-220.45699999999997</v>
      </c>
      <c r="C11" s="75">
        <v>40.118999999999922</v>
      </c>
      <c r="D11" s="75">
        <v>-518.81600000000003</v>
      </c>
      <c r="E11" s="76">
        <v>-124.90899999000027</v>
      </c>
      <c r="F11" s="75">
        <v>-118.90700000000002</v>
      </c>
      <c r="G11" s="75">
        <v>0</v>
      </c>
      <c r="H11" s="75">
        <v>0</v>
      </c>
      <c r="I11" s="75">
        <v>0</v>
      </c>
    </row>
    <row r="12" spans="1:9">
      <c r="A12" s="25" t="str">
        <f>HLOOKUP(INDICE!$F$2,Nombres!$C$3:$D$636,37,FALSE)</f>
        <v>Margen bruto</v>
      </c>
      <c r="B12" s="25">
        <f>+SUM(B8:B11)</f>
        <v>801.76499869000008</v>
      </c>
      <c r="C12" s="25">
        <f t="shared" ref="C12:I12" si="0">+SUM(C8:C11)</f>
        <v>677.76100020999991</v>
      </c>
      <c r="D12" s="25">
        <f t="shared" si="0"/>
        <v>830.83900038999946</v>
      </c>
      <c r="E12" s="73">
        <f t="shared" si="0"/>
        <v>670.28399986999966</v>
      </c>
      <c r="F12" s="74">
        <f t="shared" si="0"/>
        <v>897.31400117999999</v>
      </c>
      <c r="G12" s="74">
        <f t="shared" si="0"/>
        <v>0</v>
      </c>
      <c r="H12" s="74">
        <f t="shared" si="0"/>
        <v>0</v>
      </c>
      <c r="I12" s="74">
        <f t="shared" si="0"/>
        <v>0</v>
      </c>
    </row>
    <row r="13" spans="1:9">
      <c r="A13" s="17" t="str">
        <f>HLOOKUP(INDICE!$F$2,Nombres!$C$3:$D$636,38,FALSE)</f>
        <v>Gastos de explotación</v>
      </c>
      <c r="B13" s="75">
        <v>-399.16194011000005</v>
      </c>
      <c r="C13" s="75">
        <v>-192.78340759999998</v>
      </c>
      <c r="D13" s="75">
        <v>-455.66523203999998</v>
      </c>
      <c r="E13" s="76">
        <v>-354.24616195999999</v>
      </c>
      <c r="F13" s="75">
        <v>-444.46098950999999</v>
      </c>
      <c r="G13" s="75">
        <v>0</v>
      </c>
      <c r="H13" s="75">
        <v>0</v>
      </c>
      <c r="I13" s="75">
        <v>0</v>
      </c>
    </row>
    <row r="14" spans="1:9">
      <c r="A14" s="17" t="str">
        <f>HLOOKUP(INDICE!$F$2,Nombres!$C$3:$D$636,39,FALSE)</f>
        <v xml:space="preserve">  Gastos de administración</v>
      </c>
      <c r="B14" s="75">
        <v>-362.74691811999992</v>
      </c>
      <c r="C14" s="75">
        <v>-168.33238657000004</v>
      </c>
      <c r="D14" s="75">
        <v>-404.83721106000002</v>
      </c>
      <c r="E14" s="76">
        <v>-316.33313995000003</v>
      </c>
      <c r="F14" s="75">
        <v>-399.59196748999994</v>
      </c>
      <c r="G14" s="75">
        <v>0</v>
      </c>
      <c r="H14" s="75">
        <v>0</v>
      </c>
      <c r="I14" s="75">
        <v>0</v>
      </c>
    </row>
    <row r="15" spans="1:9">
      <c r="A15" s="77" t="str">
        <f>HLOOKUP(INDICE!$F$2,Nombres!$C$3:$D$636,40,FALSE)</f>
        <v xml:space="preserve">  Gastos de personal</v>
      </c>
      <c r="B15" s="75">
        <v>-208.75799997999999</v>
      </c>
      <c r="C15" s="75">
        <v>-115.53599999999999</v>
      </c>
      <c r="D15" s="75">
        <v>-264.39299999000002</v>
      </c>
      <c r="E15" s="76">
        <v>-186.54800005000001</v>
      </c>
      <c r="F15" s="75">
        <v>-254.07400001999997</v>
      </c>
      <c r="G15" s="75">
        <v>0</v>
      </c>
      <c r="H15" s="75">
        <v>0</v>
      </c>
      <c r="I15" s="75">
        <v>0</v>
      </c>
    </row>
    <row r="16" spans="1:9">
      <c r="A16" s="77" t="str">
        <f>HLOOKUP(INDICE!$F$2,Nombres!$C$3:$D$636,41,FALSE)</f>
        <v xml:space="preserve">  Otros gastos de administración</v>
      </c>
      <c r="B16" s="75">
        <v>-153.98891813999995</v>
      </c>
      <c r="C16" s="75">
        <v>-52.796386570000024</v>
      </c>
      <c r="D16" s="75">
        <v>-140.44421106999999</v>
      </c>
      <c r="E16" s="76">
        <v>-129.78513990000005</v>
      </c>
      <c r="F16" s="75">
        <v>-145.51796747</v>
      </c>
      <c r="G16" s="75">
        <v>0</v>
      </c>
      <c r="H16" s="75">
        <v>0</v>
      </c>
      <c r="I16" s="75">
        <v>0</v>
      </c>
    </row>
    <row r="17" spans="1:9">
      <c r="A17" s="17" t="str">
        <f>HLOOKUP(INDICE!$F$2,Nombres!$C$3:$D$636,42,FALSE)</f>
        <v xml:space="preserve">  Amortización</v>
      </c>
      <c r="B17" s="75">
        <v>-36.41502199</v>
      </c>
      <c r="C17" s="75">
        <v>-24.45102103</v>
      </c>
      <c r="D17" s="75">
        <v>-50.828020979999998</v>
      </c>
      <c r="E17" s="76">
        <v>-37.913022009999999</v>
      </c>
      <c r="F17" s="75">
        <v>-44.869022020000003</v>
      </c>
      <c r="G17" s="75">
        <v>0</v>
      </c>
      <c r="H17" s="75">
        <v>0</v>
      </c>
      <c r="I17" s="75">
        <v>0</v>
      </c>
    </row>
    <row r="18" spans="1:9">
      <c r="A18" s="25" t="str">
        <f>HLOOKUP(INDICE!$F$2,Nombres!$C$3:$D$636,43,FALSE)</f>
        <v>Margen neto</v>
      </c>
      <c r="B18" s="25">
        <f>+B12+B13</f>
        <v>402.60305858000004</v>
      </c>
      <c r="C18" s="25">
        <f t="shared" ref="C18:I18" si="1">+C12+C13</f>
        <v>484.97759260999993</v>
      </c>
      <c r="D18" s="25">
        <f t="shared" si="1"/>
        <v>375.17376834999948</v>
      </c>
      <c r="E18" s="73">
        <f t="shared" si="1"/>
        <v>316.03783790999967</v>
      </c>
      <c r="F18" s="74">
        <f t="shared" si="1"/>
        <v>452.85301167</v>
      </c>
      <c r="G18" s="74">
        <f t="shared" si="1"/>
        <v>0</v>
      </c>
      <c r="H18" s="74">
        <f t="shared" si="1"/>
        <v>0</v>
      </c>
      <c r="I18" s="74">
        <f t="shared" si="1"/>
        <v>0</v>
      </c>
    </row>
    <row r="19" spans="1:9">
      <c r="A19" s="17" t="str">
        <f>HLOOKUP(INDICE!$F$2,Nombres!$C$3:$D$636,44,FALSE)</f>
        <v>Deterioro de activos financieros no valorados a valor razonable con cambios en resultados</v>
      </c>
      <c r="B19" s="75">
        <v>-59.444999019999997</v>
      </c>
      <c r="C19" s="75">
        <v>4.9209990099999903</v>
      </c>
      <c r="D19" s="75">
        <v>-29.669000380000021</v>
      </c>
      <c r="E19" s="76">
        <v>-34.04100068000001</v>
      </c>
      <c r="F19" s="75">
        <v>-75.193999989999995</v>
      </c>
      <c r="G19" s="75">
        <v>0</v>
      </c>
      <c r="H19" s="75">
        <v>0</v>
      </c>
      <c r="I19" s="75">
        <v>0</v>
      </c>
    </row>
    <row r="20" spans="1:9">
      <c r="A20" s="17" t="str">
        <f>HLOOKUP(INDICE!$F$2,Nombres!$C$3:$D$636,45,FALSE)</f>
        <v>Provisiones o reversión de provisiones y otros resultados</v>
      </c>
      <c r="B20" s="75">
        <v>-16.114999999999998</v>
      </c>
      <c r="C20" s="75">
        <v>-30.668999989999996</v>
      </c>
      <c r="D20" s="75">
        <v>-44.516000800000015</v>
      </c>
      <c r="E20" s="76">
        <v>-45.711999609999999</v>
      </c>
      <c r="F20" s="75">
        <v>35.615999569999993</v>
      </c>
      <c r="G20" s="75">
        <v>0</v>
      </c>
      <c r="H20" s="75">
        <v>0</v>
      </c>
      <c r="I20" s="75">
        <v>0</v>
      </c>
    </row>
    <row r="21" spans="1:9">
      <c r="A21" s="25" t="str">
        <f>HLOOKUP(INDICE!$F$2,Nombres!$C$3:$D$636,46,FALSE)</f>
        <v>Resultado antes de impuestos</v>
      </c>
      <c r="B21" s="25">
        <f>+B18+B19+B20</f>
        <v>327.04305956000002</v>
      </c>
      <c r="C21" s="25">
        <f t="shared" ref="C21:I21" si="2">+C18+C19+C20</f>
        <v>459.22959162999996</v>
      </c>
      <c r="D21" s="25">
        <f t="shared" si="2"/>
        <v>300.98876716999945</v>
      </c>
      <c r="E21" s="73">
        <f t="shared" si="2"/>
        <v>236.28483761999965</v>
      </c>
      <c r="F21" s="74">
        <f t="shared" si="2"/>
        <v>413.27501124999998</v>
      </c>
      <c r="G21" s="74">
        <f t="shared" si="2"/>
        <v>0</v>
      </c>
      <c r="H21" s="74">
        <f t="shared" si="2"/>
        <v>0</v>
      </c>
      <c r="I21" s="74">
        <f t="shared" si="2"/>
        <v>0</v>
      </c>
    </row>
    <row r="22" spans="1:9">
      <c r="A22" s="17" t="str">
        <f>HLOOKUP(INDICE!$F$2,Nombres!$C$3:$D$636,47,FALSE)</f>
        <v>Impuesto sobre beneficios</v>
      </c>
      <c r="B22" s="75">
        <v>-4.8330176999999992</v>
      </c>
      <c r="C22" s="75">
        <v>-165.36617758999998</v>
      </c>
      <c r="D22" s="75">
        <v>-487.13923040999998</v>
      </c>
      <c r="E22" s="76">
        <v>-44.522451310000044</v>
      </c>
      <c r="F22" s="75">
        <v>-243.51180287</v>
      </c>
      <c r="G22" s="75">
        <v>0</v>
      </c>
      <c r="H22" s="75">
        <v>0</v>
      </c>
      <c r="I22" s="75">
        <v>0</v>
      </c>
    </row>
    <row r="23" spans="1:9">
      <c r="A23" s="25" t="str">
        <f>HLOOKUP(INDICE!$F$2,Nombres!$C$3:$D$636,48,FALSE)</f>
        <v>Resultado del ejercicio</v>
      </c>
      <c r="B23" s="25">
        <f>+B21+B22</f>
        <v>322.21004186000005</v>
      </c>
      <c r="C23" s="25">
        <f t="shared" ref="C23:I23" si="3">+C21+C22</f>
        <v>293.86341403999995</v>
      </c>
      <c r="D23" s="25">
        <f t="shared" si="3"/>
        <v>-186.15046324000053</v>
      </c>
      <c r="E23" s="73">
        <f t="shared" si="3"/>
        <v>191.76238630999961</v>
      </c>
      <c r="F23" s="74">
        <f t="shared" si="3"/>
        <v>169.76320837999998</v>
      </c>
      <c r="G23" s="74">
        <f t="shared" si="3"/>
        <v>0</v>
      </c>
      <c r="H23" s="74">
        <f t="shared" si="3"/>
        <v>0</v>
      </c>
      <c r="I23" s="74">
        <f t="shared" si="3"/>
        <v>0</v>
      </c>
    </row>
    <row r="24" spans="1:9">
      <c r="A24" s="17" t="str">
        <f>HLOOKUP(INDICE!$F$2,Nombres!$C$3:$D$636,49,FALSE)</f>
        <v>Minoritarios</v>
      </c>
      <c r="B24" s="75">
        <v>-45.441999800000005</v>
      </c>
      <c r="C24" s="75">
        <v>-46.149998679999996</v>
      </c>
      <c r="D24" s="75">
        <v>27.352000019999998</v>
      </c>
      <c r="E24" s="76">
        <v>-30.603999420000015</v>
      </c>
      <c r="F24" s="75">
        <v>-25.87999964999997</v>
      </c>
      <c r="G24" s="75">
        <v>0</v>
      </c>
      <c r="H24" s="75">
        <v>0</v>
      </c>
      <c r="I24" s="75">
        <v>0</v>
      </c>
    </row>
    <row r="25" spans="1:9">
      <c r="A25" s="19" t="str">
        <f>HLOOKUP(INDICE!$F$2,Nombres!$C$3:$D$636,50,FALSE)</f>
        <v>Resultado atribuido</v>
      </c>
      <c r="B25" s="19">
        <f>+B23+B24</f>
        <v>276.76804206000003</v>
      </c>
      <c r="C25" s="19">
        <f t="shared" ref="C25:I25" si="4">+C23+C24</f>
        <v>247.71341535999994</v>
      </c>
      <c r="D25" s="19">
        <f t="shared" si="4"/>
        <v>-158.79846322000054</v>
      </c>
      <c r="E25" s="19">
        <f t="shared" si="4"/>
        <v>161.1583868899996</v>
      </c>
      <c r="F25" s="94">
        <f t="shared" si="4"/>
        <v>143.88320873000001</v>
      </c>
      <c r="G25" s="94">
        <f t="shared" si="4"/>
        <v>0</v>
      </c>
      <c r="H25" s="94">
        <f t="shared" si="4"/>
        <v>0</v>
      </c>
      <c r="I25" s="94">
        <f t="shared" si="4"/>
        <v>0</v>
      </c>
    </row>
    <row r="26" spans="1:9">
      <c r="A26" s="91"/>
      <c r="B26" s="99">
        <v>0</v>
      </c>
      <c r="C26" s="99">
        <v>0</v>
      </c>
      <c r="D26" s="99">
        <v>-2.2737367544323206E-13</v>
      </c>
      <c r="E26" s="99">
        <v>0</v>
      </c>
      <c r="F26" s="99">
        <v>0</v>
      </c>
      <c r="G26" s="99">
        <v>0</v>
      </c>
      <c r="H26" s="99">
        <v>0</v>
      </c>
      <c r="I26" s="99">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7" t="str">
        <f>HLOOKUP(INDICE!$F$2,Nombres!$C$3:$D$636,52,FALSE)</f>
        <v>Efectivo, saldos en efectivo en bancos centrales y otros depósitos a la vista</v>
      </c>
      <c r="B31" s="75">
        <v>8479.1939999999995</v>
      </c>
      <c r="C31" s="75">
        <v>7759.0510000000004</v>
      </c>
      <c r="D31" s="75">
        <v>11493.223</v>
      </c>
      <c r="E31" s="76">
        <v>9699.6440000000002</v>
      </c>
      <c r="F31" s="75">
        <v>8187.15</v>
      </c>
      <c r="G31" s="75">
        <v>0</v>
      </c>
      <c r="H31" s="75">
        <v>0</v>
      </c>
      <c r="I31" s="75">
        <v>0</v>
      </c>
    </row>
    <row r="32" spans="1:9">
      <c r="A32" s="17" t="str">
        <f>HLOOKUP(INDICE!$F$2,Nombres!$C$3:$D$636,53,FALSE)</f>
        <v>Activos financieros a valor razonable</v>
      </c>
      <c r="B32" s="83">
        <v>5109.2839999999997</v>
      </c>
      <c r="C32" s="83">
        <v>4118.5259999999998</v>
      </c>
      <c r="D32" s="83">
        <v>4134.3279999999995</v>
      </c>
      <c r="E32" s="95">
        <v>3692.0780000000004</v>
      </c>
      <c r="F32" s="75">
        <v>3942.721</v>
      </c>
      <c r="G32" s="75">
        <v>0</v>
      </c>
      <c r="H32" s="75">
        <v>0</v>
      </c>
      <c r="I32" s="75">
        <v>0</v>
      </c>
    </row>
    <row r="33" spans="1:9">
      <c r="A33" s="17" t="str">
        <f>HLOOKUP(INDICE!$F$2,Nombres!$C$3:$D$636,54,FALSE)</f>
        <v>Activos financieros a coste amortizado</v>
      </c>
      <c r="B33" s="75">
        <v>54239.655999999995</v>
      </c>
      <c r="C33" s="75">
        <v>52530.938000000002</v>
      </c>
      <c r="D33" s="75">
        <v>50310.828000000001</v>
      </c>
      <c r="E33" s="76">
        <v>51542.747999999992</v>
      </c>
      <c r="F33" s="75">
        <v>55727.217000000004</v>
      </c>
      <c r="G33" s="75">
        <v>0</v>
      </c>
      <c r="H33" s="75">
        <v>0</v>
      </c>
      <c r="I33" s="75">
        <v>0</v>
      </c>
    </row>
    <row r="34" spans="1:9">
      <c r="A34" s="17" t="str">
        <f>HLOOKUP(INDICE!$F$2,Nombres!$C$3:$D$636,55,FALSE)</f>
        <v xml:space="preserve">    de los que préstamos y anticipos a la clientela</v>
      </c>
      <c r="B34" s="75">
        <v>38995.194000000003</v>
      </c>
      <c r="C34" s="75">
        <v>35672.837</v>
      </c>
      <c r="D34" s="75">
        <v>37466.437999999995</v>
      </c>
      <c r="E34" s="76">
        <v>37416.421000000002</v>
      </c>
      <c r="F34" s="75">
        <v>39635.807000000001</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1368.49</v>
      </c>
      <c r="C36" s="75">
        <v>1164.8630000000001</v>
      </c>
      <c r="D36" s="75">
        <v>1471.2929999999999</v>
      </c>
      <c r="E36" s="76">
        <v>1496.249</v>
      </c>
      <c r="F36" s="75">
        <v>1630.454</v>
      </c>
      <c r="G36" s="75">
        <v>0</v>
      </c>
      <c r="H36" s="75">
        <v>0</v>
      </c>
      <c r="I36" s="75">
        <v>0</v>
      </c>
    </row>
    <row r="37" spans="1:9">
      <c r="A37" s="17" t="str">
        <f>HLOOKUP(INDICE!$F$2,Nombres!$C$3:$D$636,57,FALSE)</f>
        <v>Otros activos</v>
      </c>
      <c r="B37" s="83">
        <f>+B38-B36-B33-B32-B31</f>
        <v>2025.4140000000007</v>
      </c>
      <c r="C37" s="83">
        <f t="shared" ref="C37:I37" si="5">+C38-C36-C33-C32-C31</f>
        <v>1750.3199999999897</v>
      </c>
      <c r="D37" s="83">
        <f t="shared" si="5"/>
        <v>1862.6869999999908</v>
      </c>
      <c r="E37" s="95">
        <f t="shared" si="5"/>
        <v>1898.6640000000116</v>
      </c>
      <c r="F37" s="75">
        <f t="shared" si="5"/>
        <v>1901.4180000000051</v>
      </c>
      <c r="G37" s="75">
        <f t="shared" si="5"/>
        <v>0</v>
      </c>
      <c r="H37" s="75">
        <f t="shared" si="5"/>
        <v>0</v>
      </c>
      <c r="I37" s="75">
        <f t="shared" si="5"/>
        <v>0</v>
      </c>
    </row>
    <row r="38" spans="1:9">
      <c r="A38" s="19" t="str">
        <f>HLOOKUP(INDICE!$F$2,Nombres!$C$3:$D$636,58,FALSE)</f>
        <v>Total activo / pasivo</v>
      </c>
      <c r="B38" s="94">
        <v>71222.038</v>
      </c>
      <c r="C38" s="94">
        <v>67323.697999999989</v>
      </c>
      <c r="D38" s="94">
        <v>69272.358999999997</v>
      </c>
      <c r="E38" s="110">
        <v>68329.383000000002</v>
      </c>
      <c r="F38" s="94">
        <v>71388.960000000006</v>
      </c>
      <c r="G38" s="94">
        <v>0</v>
      </c>
      <c r="H38" s="94">
        <v>0</v>
      </c>
      <c r="I38" s="94">
        <v>0</v>
      </c>
    </row>
    <row r="39" spans="1:9">
      <c r="A39" s="17" t="str">
        <f>HLOOKUP(INDICE!$F$2,Nombres!$C$3:$D$636,59,FALSE)</f>
        <v>Pasivos financieros mantenidos para negociar y designados a valor razonable con cambios en resultados</v>
      </c>
      <c r="B39" s="83">
        <v>2079.3589999999999</v>
      </c>
      <c r="C39" s="83">
        <v>2196.5160000000001</v>
      </c>
      <c r="D39" s="83">
        <v>2089.0300000000002</v>
      </c>
      <c r="E39" s="95">
        <v>1878.473</v>
      </c>
      <c r="F39" s="75">
        <v>1918.9870000000001</v>
      </c>
      <c r="G39" s="75">
        <v>0</v>
      </c>
      <c r="H39" s="75">
        <v>0</v>
      </c>
      <c r="I39" s="75">
        <v>0</v>
      </c>
    </row>
    <row r="40" spans="1:9">
      <c r="A40" s="17" t="str">
        <f>HLOOKUP(INDICE!$F$2,Nombres!$C$3:$D$636,60,FALSE)</f>
        <v>Depósitos de bancos centrales y entidades de crédito</v>
      </c>
      <c r="B40" s="83">
        <v>2756.4519999999998</v>
      </c>
      <c r="C40" s="83">
        <v>2346.3330000000001</v>
      </c>
      <c r="D40" s="83">
        <v>2447.3729999999996</v>
      </c>
      <c r="E40" s="95">
        <v>2305.779</v>
      </c>
      <c r="F40" s="75">
        <v>2115.5340000000001</v>
      </c>
      <c r="G40" s="75">
        <v>0</v>
      </c>
      <c r="H40" s="75">
        <v>0</v>
      </c>
      <c r="I40" s="75">
        <v>0</v>
      </c>
    </row>
    <row r="41" spans="1:9" ht="15.75" customHeight="1">
      <c r="A41" s="17" t="str">
        <f>HLOOKUP(INDICE!$F$2,Nombres!$C$3:$D$636,61,FALSE)</f>
        <v>Depósitos de la clientela</v>
      </c>
      <c r="B41" s="83">
        <v>51233.726999999999</v>
      </c>
      <c r="C41" s="83">
        <v>50792.773999999998</v>
      </c>
      <c r="D41" s="83">
        <v>51104.41</v>
      </c>
      <c r="E41" s="95">
        <v>50651.384999999995</v>
      </c>
      <c r="F41" s="75">
        <v>52675.653999999995</v>
      </c>
      <c r="G41" s="75">
        <v>0</v>
      </c>
      <c r="H41" s="75">
        <v>0</v>
      </c>
      <c r="I41" s="75">
        <v>0</v>
      </c>
    </row>
    <row r="42" spans="1:9">
      <c r="A42" s="17" t="str">
        <f>HLOOKUP(INDICE!$F$2,Nombres!$C$3:$D$636,62,FALSE)</f>
        <v>Valores representativos de deuda emitidos</v>
      </c>
      <c r="B42" s="75">
        <v>2904.1294815000001</v>
      </c>
      <c r="C42" s="75">
        <v>2859.7323265300001</v>
      </c>
      <c r="D42" s="75">
        <v>2777.1324157899999</v>
      </c>
      <c r="E42" s="76">
        <v>2736.8020426600001</v>
      </c>
      <c r="F42" s="75">
        <v>3114.6253172300003</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3">
        <f>+B38-B39-B40-B41-B42-B45</f>
        <v>5087.1393145700004</v>
      </c>
      <c r="C44" s="83">
        <f t="shared" ref="C44:I44" si="6">+C38-C39-C40-C41-C42-C45</f>
        <v>1850.9935869899891</v>
      </c>
      <c r="D44" s="83">
        <f t="shared" si="6"/>
        <v>4333.2470997999953</v>
      </c>
      <c r="E44" s="95">
        <f t="shared" si="6"/>
        <v>4319.3974064800059</v>
      </c>
      <c r="F44" s="75">
        <f t="shared" si="6"/>
        <v>4421.6271194800165</v>
      </c>
      <c r="G44" s="75">
        <f t="shared" si="6"/>
        <v>0</v>
      </c>
      <c r="H44" s="75">
        <f t="shared" si="6"/>
        <v>0</v>
      </c>
      <c r="I44" s="75">
        <f t="shared" si="6"/>
        <v>0</v>
      </c>
    </row>
    <row r="45" spans="1:9">
      <c r="A45" s="17" t="str">
        <f>HLOOKUP(INDICE!$F$2,Nombres!$C$3:$D$636,282,FALSE)</f>
        <v>Dotación de capital regulatorio</v>
      </c>
      <c r="B45" s="75">
        <v>7161.2312039299995</v>
      </c>
      <c r="C45" s="75">
        <v>7277.3490864800006</v>
      </c>
      <c r="D45" s="75">
        <v>6521.1664844099996</v>
      </c>
      <c r="E45" s="75">
        <v>6437.5465508600009</v>
      </c>
      <c r="F45" s="75">
        <v>7142.5325632900012</v>
      </c>
      <c r="G45" s="75">
        <v>0</v>
      </c>
      <c r="H45" s="75">
        <v>0</v>
      </c>
      <c r="I45" s="75">
        <v>0</v>
      </c>
    </row>
    <row r="46" spans="1:9">
      <c r="A46" s="91"/>
      <c r="B46" s="83"/>
      <c r="C46" s="83"/>
      <c r="D46" s="83"/>
      <c r="E46" s="83"/>
      <c r="F46" s="101"/>
      <c r="G46" s="101"/>
      <c r="H46" s="101"/>
      <c r="I46" s="101"/>
    </row>
    <row r="47" spans="1:9">
      <c r="A47" s="17"/>
      <c r="B47" s="83"/>
      <c r="C47" s="83"/>
      <c r="D47" s="83"/>
      <c r="E47" s="83"/>
      <c r="F47" s="101"/>
      <c r="G47" s="101"/>
      <c r="H47" s="101"/>
      <c r="I47" s="101"/>
    </row>
    <row r="48" spans="1:9" ht="17">
      <c r="A48" s="65" t="str">
        <f>HLOOKUP(INDICE!$F$2,Nombres!$C$3:$D$636,65,FALSE)</f>
        <v>Indicadores relevantes y de gestión</v>
      </c>
      <c r="B48" s="66"/>
      <c r="C48" s="66"/>
      <c r="D48" s="66"/>
      <c r="E48" s="66"/>
      <c r="F48" s="111"/>
      <c r="G48" s="111"/>
      <c r="H48" s="111"/>
      <c r="I48" s="111"/>
    </row>
    <row r="49" spans="1:13">
      <c r="A49" s="67" t="str">
        <f>HLOOKUP(INDICE!$F$2,Nombres!$C$3:$D$636,32,FALSE)</f>
        <v>(Millones de euros)</v>
      </c>
      <c r="B49" s="62"/>
      <c r="C49" s="62"/>
      <c r="D49" s="62"/>
      <c r="E49" s="62"/>
      <c r="F49" s="103"/>
      <c r="G49" s="101"/>
      <c r="H49" s="101"/>
      <c r="I49" s="101"/>
    </row>
    <row r="50" spans="1:13">
      <c r="A50" s="62"/>
      <c r="B50" s="84">
        <f t="shared" ref="B50:I50" si="7">+B$30</f>
        <v>45016</v>
      </c>
      <c r="C50" s="84">
        <f t="shared" si="7"/>
        <v>45107</v>
      </c>
      <c r="D50" s="84">
        <f t="shared" si="7"/>
        <v>45199</v>
      </c>
      <c r="E50" s="98">
        <f t="shared" si="7"/>
        <v>45291</v>
      </c>
      <c r="F50" s="100">
        <f t="shared" si="7"/>
        <v>45382</v>
      </c>
      <c r="G50" s="100">
        <f t="shared" si="7"/>
        <v>45473</v>
      </c>
      <c r="H50" s="100">
        <f t="shared" si="7"/>
        <v>45565</v>
      </c>
      <c r="I50" s="100">
        <f t="shared" si="7"/>
        <v>45657</v>
      </c>
    </row>
    <row r="51" spans="1:13">
      <c r="A51" s="17" t="str">
        <f>HLOOKUP(INDICE!$F$2,Nombres!$C$3:$D$636,66,FALSE)</f>
        <v>Préstamos y anticipos a la clientela bruto (*)</v>
      </c>
      <c r="B51" s="75">
        <v>41062.337999999996</v>
      </c>
      <c r="C51" s="75">
        <v>37439.631999999998</v>
      </c>
      <c r="D51" s="75">
        <v>39206.770999999993</v>
      </c>
      <c r="E51" s="76">
        <v>39057.574999999997</v>
      </c>
      <c r="F51" s="75">
        <v>41240.469999999994</v>
      </c>
      <c r="G51" s="75">
        <v>0</v>
      </c>
      <c r="H51" s="75">
        <v>0</v>
      </c>
      <c r="I51" s="75">
        <v>0</v>
      </c>
      <c r="L51" s="85"/>
      <c r="M51" s="85"/>
    </row>
    <row r="52" spans="1:13">
      <c r="A52" s="17" t="str">
        <f>HLOOKUP(INDICE!$F$2,Nombres!$C$3:$D$636,67,FALSE)</f>
        <v>Depósitos de clientes en gestión (**)</v>
      </c>
      <c r="B52" s="75">
        <v>49806.140999999996</v>
      </c>
      <c r="C52" s="75">
        <v>49519.875999999997</v>
      </c>
      <c r="D52" s="75">
        <v>49774.512999999999</v>
      </c>
      <c r="E52" s="76">
        <v>49320.602000000006</v>
      </c>
      <c r="F52" s="75">
        <v>50387.645999999993</v>
      </c>
      <c r="G52" s="75">
        <v>0</v>
      </c>
      <c r="H52" s="75">
        <v>0</v>
      </c>
      <c r="I52" s="75">
        <v>0</v>
      </c>
    </row>
    <row r="53" spans="1:13">
      <c r="A53" s="17" t="str">
        <f>HLOOKUP(INDICE!$F$2,Nombres!$C$3:$D$636,68,FALSE)</f>
        <v>Fondos de inversión y carteras gestionadas</v>
      </c>
      <c r="B53" s="75">
        <v>4270.78</v>
      </c>
      <c r="C53" s="75">
        <v>3850.6579999999999</v>
      </c>
      <c r="D53" s="75">
        <v>4483.7539999999999</v>
      </c>
      <c r="E53" s="76">
        <v>4386.2470000000003</v>
      </c>
      <c r="F53" s="75">
        <v>6170.9189999999999</v>
      </c>
      <c r="G53" s="75">
        <v>0</v>
      </c>
      <c r="H53" s="75">
        <v>0</v>
      </c>
      <c r="I53" s="75">
        <v>0</v>
      </c>
    </row>
    <row r="54" spans="1:13">
      <c r="A54" s="17" t="str">
        <f>HLOOKUP(INDICE!$F$2,Nombres!$C$3:$D$636,69,FALSE)</f>
        <v>Fondos de pensiones</v>
      </c>
      <c r="B54" s="75">
        <v>3220.5709999999999</v>
      </c>
      <c r="C54" s="75">
        <v>2949.6309999999999</v>
      </c>
      <c r="D54" s="75">
        <v>3409.933</v>
      </c>
      <c r="E54" s="76">
        <v>3382.2170000000001</v>
      </c>
      <c r="F54" s="75">
        <v>3816.9659999999999</v>
      </c>
      <c r="G54" s="75">
        <v>0</v>
      </c>
      <c r="H54" s="75">
        <v>0</v>
      </c>
      <c r="I54" s="75">
        <v>0</v>
      </c>
    </row>
    <row r="55" spans="1:13">
      <c r="A55" s="17" t="str">
        <f>HLOOKUP(INDICE!$F$2,Nombres!$C$3:$D$636,70,FALSE)</f>
        <v>Otros recursos fuera de balance</v>
      </c>
      <c r="B55" s="75">
        <v>0</v>
      </c>
      <c r="C55" s="75">
        <v>0</v>
      </c>
      <c r="D55" s="75">
        <v>0</v>
      </c>
      <c r="E55" s="76">
        <v>0</v>
      </c>
      <c r="F55" s="75">
        <v>0</v>
      </c>
      <c r="G55" s="75">
        <v>0</v>
      </c>
      <c r="H55" s="75">
        <v>0</v>
      </c>
      <c r="I55" s="75">
        <v>0</v>
      </c>
    </row>
    <row r="56" spans="1:13">
      <c r="A56" s="91" t="str">
        <f>HLOOKUP(INDICE!$F$2,Nombres!$C$3:$D$636,71,FALSE)</f>
        <v>(*) No incluye las adquisiciones temporales de activos.</v>
      </c>
      <c r="B56" s="83"/>
      <c r="C56" s="83"/>
      <c r="D56" s="83"/>
      <c r="E56" s="83"/>
      <c r="F56" s="83"/>
      <c r="G56" s="83"/>
      <c r="H56" s="83"/>
      <c r="I56" s="83"/>
    </row>
    <row r="57" spans="1:13">
      <c r="A57" s="91" t="str">
        <f>HLOOKUP(INDICE!$F$2,Nombres!$C$3:$D$636,72,FALSE)</f>
        <v>(**) No incluye las cesiones temporales de activos.</v>
      </c>
      <c r="B57" s="62"/>
      <c r="C57" s="62"/>
      <c r="D57" s="62"/>
      <c r="E57" s="62"/>
      <c r="F57" s="62"/>
      <c r="G57" s="62"/>
      <c r="H57" s="62"/>
      <c r="I57" s="62"/>
    </row>
    <row r="58" spans="1:13">
      <c r="A58" s="91"/>
      <c r="B58" s="62"/>
      <c r="C58" s="62"/>
      <c r="D58" s="62"/>
      <c r="E58" s="62"/>
      <c r="F58" s="62"/>
      <c r="G58" s="62"/>
      <c r="H58" s="62"/>
      <c r="I58" s="62"/>
    </row>
    <row r="59" spans="1:13" ht="17">
      <c r="A59" s="65" t="str">
        <f>HLOOKUP(INDICE!$F$2,Nombres!$C$3:$D$636,31,FALSE)</f>
        <v xml:space="preserve">Cuenta de resultados  </v>
      </c>
      <c r="B59" s="66"/>
      <c r="C59" s="66"/>
      <c r="D59" s="66"/>
      <c r="E59" s="66"/>
      <c r="F59" s="66"/>
      <c r="G59" s="66"/>
      <c r="H59" s="66"/>
      <c r="I59" s="66"/>
    </row>
    <row r="60" spans="1:13">
      <c r="A60" s="67" t="str">
        <f>HLOOKUP(INDICE!$F$2,Nombres!$C$3:$D$636,73,FALSE)</f>
        <v>(Millones de euros constantes)</v>
      </c>
      <c r="B60" s="62"/>
      <c r="C60" s="68"/>
      <c r="D60" s="68"/>
      <c r="E60" s="68"/>
      <c r="F60" s="62"/>
      <c r="G60" s="62"/>
      <c r="H60" s="62"/>
      <c r="I60" s="62"/>
    </row>
    <row r="61" spans="1:13">
      <c r="A61" s="69"/>
      <c r="B61" s="62"/>
      <c r="C61" s="68"/>
      <c r="D61" s="68"/>
      <c r="E61" s="68"/>
      <c r="F61" s="62"/>
      <c r="G61" s="62"/>
      <c r="H61" s="62"/>
      <c r="I61" s="62"/>
    </row>
    <row r="62" spans="1:13">
      <c r="A62" s="70"/>
      <c r="B62" s="299">
        <f>+B$6</f>
        <v>2023</v>
      </c>
      <c r="C62" s="299"/>
      <c r="D62" s="299"/>
      <c r="E62" s="300"/>
      <c r="F62" s="299">
        <f>+F$6</f>
        <v>2024</v>
      </c>
      <c r="G62" s="299"/>
      <c r="H62" s="299"/>
      <c r="I62" s="299"/>
    </row>
    <row r="63" spans="1:13">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3">
      <c r="A64" s="25" t="str">
        <f>HLOOKUP(INDICE!$F$2,Nombres!$C$3:$D$636,33,FALSE)</f>
        <v>Margen de intereses</v>
      </c>
      <c r="B64" s="25">
        <v>380.89819437014938</v>
      </c>
      <c r="C64" s="25">
        <v>402.87781818810163</v>
      </c>
      <c r="D64" s="25">
        <v>556.38026555697388</v>
      </c>
      <c r="E64" s="73">
        <v>390.32651936969876</v>
      </c>
      <c r="F64" s="74">
        <v>277.47000052000004</v>
      </c>
      <c r="G64" s="74">
        <v>0</v>
      </c>
      <c r="H64" s="74">
        <v>0</v>
      </c>
      <c r="I64" s="74">
        <v>0</v>
      </c>
    </row>
    <row r="65" spans="1:9">
      <c r="A65" s="17" t="str">
        <f>HLOOKUP(INDICE!$F$2,Nombres!$C$3:$D$636,34,FALSE)</f>
        <v>Comisiones netas</v>
      </c>
      <c r="B65" s="75">
        <v>104.26975019356907</v>
      </c>
      <c r="C65" s="75">
        <v>126.58082638405988</v>
      </c>
      <c r="D65" s="75">
        <v>304.97887996597944</v>
      </c>
      <c r="E65" s="76">
        <v>400.64287884257141</v>
      </c>
      <c r="F65" s="75">
        <v>422.99700039999993</v>
      </c>
      <c r="G65" s="75">
        <v>0</v>
      </c>
      <c r="H65" s="75">
        <v>0</v>
      </c>
      <c r="I65" s="75">
        <v>0</v>
      </c>
    </row>
    <row r="66" spans="1:9">
      <c r="A66" s="17" t="str">
        <f>HLOOKUP(INDICE!$F$2,Nombres!$C$3:$D$636,35,FALSE)</f>
        <v>Resultados de operaciones financieras</v>
      </c>
      <c r="B66" s="75">
        <v>136.67355547554527</v>
      </c>
      <c r="C66" s="75">
        <v>184.53600765840136</v>
      </c>
      <c r="D66" s="75">
        <v>362.92054189774728</v>
      </c>
      <c r="E66" s="76">
        <v>200.98331059774344</v>
      </c>
      <c r="F66" s="75">
        <v>315.75400026</v>
      </c>
      <c r="G66" s="75">
        <v>0</v>
      </c>
      <c r="H66" s="75">
        <v>0</v>
      </c>
      <c r="I66" s="75">
        <v>0</v>
      </c>
    </row>
    <row r="67" spans="1:9">
      <c r="A67" s="17" t="str">
        <f>HLOOKUP(INDICE!$F$2,Nombres!$C$3:$D$636,36,FALSE)</f>
        <v>Otros ingresos y cargas de explotación</v>
      </c>
      <c r="B67" s="75">
        <v>-400.31191436067184</v>
      </c>
      <c r="C67" s="75">
        <v>120.12777465378936</v>
      </c>
      <c r="D67" s="75">
        <v>-611.49659820268812</v>
      </c>
      <c r="E67" s="76">
        <v>-18.38984836933318</v>
      </c>
      <c r="F67" s="75">
        <v>-118.90700000000001</v>
      </c>
      <c r="G67" s="75">
        <v>0</v>
      </c>
      <c r="H67" s="75">
        <v>0</v>
      </c>
      <c r="I67" s="75">
        <v>0</v>
      </c>
    </row>
    <row r="68" spans="1:9">
      <c r="A68" s="25" t="str">
        <f>HLOOKUP(INDICE!$F$2,Nombres!$C$3:$D$636,37,FALSE)</f>
        <v>Margen bruto</v>
      </c>
      <c r="B68" s="25">
        <f>+SUM(B64:B67)</f>
        <v>221.52958567859184</v>
      </c>
      <c r="C68" s="25">
        <f t="shared" ref="C68:I68" si="9">+SUM(C64:C67)</f>
        <v>834.12242688435219</v>
      </c>
      <c r="D68" s="25">
        <f t="shared" si="9"/>
        <v>612.78308921801249</v>
      </c>
      <c r="E68" s="73">
        <f t="shared" si="9"/>
        <v>973.56286044068031</v>
      </c>
      <c r="F68" s="74">
        <f t="shared" si="9"/>
        <v>897.31400117999988</v>
      </c>
      <c r="G68" s="74">
        <f t="shared" si="9"/>
        <v>0</v>
      </c>
      <c r="H68" s="74">
        <f t="shared" si="9"/>
        <v>0</v>
      </c>
      <c r="I68" s="74">
        <f t="shared" si="9"/>
        <v>0</v>
      </c>
    </row>
    <row r="69" spans="1:9">
      <c r="A69" s="17" t="str">
        <f>HLOOKUP(INDICE!$F$2,Nombres!$C$3:$D$636,38,FALSE)</f>
        <v>Gastos de explotación</v>
      </c>
      <c r="B69" s="75">
        <v>-247.84299987136859</v>
      </c>
      <c r="C69" s="75">
        <v>-231.48466693492759</v>
      </c>
      <c r="D69" s="75">
        <v>-417.07905541188001</v>
      </c>
      <c r="E69" s="76">
        <v>-410.86048223058401</v>
      </c>
      <c r="F69" s="75">
        <v>-444.46098950999999</v>
      </c>
      <c r="G69" s="75">
        <v>0</v>
      </c>
      <c r="H69" s="75">
        <v>0</v>
      </c>
      <c r="I69" s="75">
        <v>0</v>
      </c>
    </row>
    <row r="70" spans="1:9">
      <c r="A70" s="17" t="str">
        <f>HLOOKUP(INDICE!$F$2,Nombres!$C$3:$D$636,39,FALSE)</f>
        <v xml:space="preserve">  Gastos de administración</v>
      </c>
      <c r="B70" s="75">
        <v>-220.19985123077572</v>
      </c>
      <c r="C70" s="75">
        <v>-206.02596838950797</v>
      </c>
      <c r="D70" s="75">
        <v>-368.88072505244907</v>
      </c>
      <c r="E70" s="76">
        <v>-369.56699921046834</v>
      </c>
      <c r="F70" s="75">
        <v>-399.59196749</v>
      </c>
      <c r="G70" s="75">
        <v>0</v>
      </c>
      <c r="H70" s="75">
        <v>0</v>
      </c>
      <c r="I70" s="75">
        <v>0</v>
      </c>
    </row>
    <row r="71" spans="1:9">
      <c r="A71" s="77" t="str">
        <f>HLOOKUP(INDICE!$F$2,Nombres!$C$3:$D$636,40,FALSE)</f>
        <v xml:space="preserve">  Gastos de personal</v>
      </c>
      <c r="B71" s="75">
        <v>-126.69526398289311</v>
      </c>
      <c r="C71" s="75">
        <v>-133.14883116804018</v>
      </c>
      <c r="D71" s="75">
        <v>-239.46492984051173</v>
      </c>
      <c r="E71" s="76">
        <v>-221.54951355692305</v>
      </c>
      <c r="F71" s="75">
        <v>-254.07400002</v>
      </c>
      <c r="G71" s="75">
        <v>0</v>
      </c>
      <c r="H71" s="75">
        <v>0</v>
      </c>
      <c r="I71" s="75">
        <v>0</v>
      </c>
    </row>
    <row r="72" spans="1:9">
      <c r="A72" s="77" t="str">
        <f>HLOOKUP(INDICE!$F$2,Nombres!$C$3:$D$636,41,FALSE)</f>
        <v xml:space="preserve">  Otros gastos de administración</v>
      </c>
      <c r="B72" s="75">
        <v>-93.504587247882625</v>
      </c>
      <c r="C72" s="75">
        <v>-72.877137221467819</v>
      </c>
      <c r="D72" s="75">
        <v>-129.41579521193734</v>
      </c>
      <c r="E72" s="76">
        <v>-148.01748565354529</v>
      </c>
      <c r="F72" s="75">
        <v>-145.51796747000003</v>
      </c>
      <c r="G72" s="75">
        <v>0</v>
      </c>
      <c r="H72" s="75">
        <v>0</v>
      </c>
      <c r="I72" s="75">
        <v>0</v>
      </c>
    </row>
    <row r="73" spans="1:9">
      <c r="A73" s="17" t="str">
        <f>HLOOKUP(INDICE!$F$2,Nombres!$C$3:$D$636,42,FALSE)</f>
        <v xml:space="preserve">  Amortización</v>
      </c>
      <c r="B73" s="75">
        <v>-27.643148640592841</v>
      </c>
      <c r="C73" s="75">
        <v>-25.458698545419612</v>
      </c>
      <c r="D73" s="75">
        <v>-48.198330359430933</v>
      </c>
      <c r="E73" s="76">
        <v>-41.293483020115687</v>
      </c>
      <c r="F73" s="75">
        <v>-44.869022020000003</v>
      </c>
      <c r="G73" s="75">
        <v>0</v>
      </c>
      <c r="H73" s="75">
        <v>0</v>
      </c>
      <c r="I73" s="75">
        <v>0</v>
      </c>
    </row>
    <row r="74" spans="1:9">
      <c r="A74" s="25" t="str">
        <f>HLOOKUP(INDICE!$F$2,Nombres!$C$3:$D$636,43,FALSE)</f>
        <v>Margen neto</v>
      </c>
      <c r="B74" s="25">
        <f>+B68+B69</f>
        <v>-26.313414192776747</v>
      </c>
      <c r="C74" s="25">
        <f t="shared" ref="C74:I74" si="10">+C68+C69</f>
        <v>602.63775994942466</v>
      </c>
      <c r="D74" s="25">
        <f t="shared" si="10"/>
        <v>195.70403380613249</v>
      </c>
      <c r="E74" s="73">
        <f t="shared" si="10"/>
        <v>562.7023782100963</v>
      </c>
      <c r="F74" s="74">
        <f t="shared" si="10"/>
        <v>452.85301166999989</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-35.968853409032214</v>
      </c>
      <c r="C75" s="75">
        <v>-12.076112594914253</v>
      </c>
      <c r="D75" s="75">
        <v>-28.089129498334724</v>
      </c>
      <c r="E75" s="76">
        <v>-37.726848514376094</v>
      </c>
      <c r="F75" s="75">
        <v>-75.193999989999995</v>
      </c>
      <c r="G75" s="75">
        <v>0</v>
      </c>
      <c r="H75" s="75">
        <v>0</v>
      </c>
      <c r="I75" s="75">
        <v>0</v>
      </c>
    </row>
    <row r="76" spans="1:9">
      <c r="A76" s="17" t="str">
        <f>HLOOKUP(INDICE!$F$2,Nombres!$C$3:$D$636,45,FALSE)</f>
        <v>Provisiones o reversión de provisiones y otros resultados</v>
      </c>
      <c r="B76" s="75">
        <v>-16.467403089514484</v>
      </c>
      <c r="C76" s="75">
        <v>-21.07392185634443</v>
      </c>
      <c r="D76" s="75">
        <v>-39.806618692032949</v>
      </c>
      <c r="E76" s="76">
        <v>-53.172994850150097</v>
      </c>
      <c r="F76" s="75">
        <v>35.615999569999985</v>
      </c>
      <c r="G76" s="75">
        <v>0</v>
      </c>
      <c r="H76" s="75">
        <v>0</v>
      </c>
      <c r="I76" s="75">
        <v>0</v>
      </c>
    </row>
    <row r="77" spans="1:9">
      <c r="A77" s="25" t="str">
        <f>HLOOKUP(INDICE!$F$2,Nombres!$C$3:$D$636,46,FALSE)</f>
        <v>Resultado antes de impuestos</v>
      </c>
      <c r="B77" s="25">
        <f>+B74+B75+B76</f>
        <v>-78.749670691323445</v>
      </c>
      <c r="C77" s="25">
        <f t="shared" ref="C77:I77" si="11">+C74+C75+C76</f>
        <v>569.48772549816601</v>
      </c>
      <c r="D77" s="25">
        <f t="shared" si="11"/>
        <v>127.80828561576482</v>
      </c>
      <c r="E77" s="73">
        <f t="shared" si="11"/>
        <v>471.80253484557011</v>
      </c>
      <c r="F77" s="74">
        <f t="shared" si="11"/>
        <v>413.27501124999986</v>
      </c>
      <c r="G77" s="74">
        <f t="shared" si="11"/>
        <v>0</v>
      </c>
      <c r="H77" s="74">
        <f t="shared" si="11"/>
        <v>0</v>
      </c>
      <c r="I77" s="74">
        <f t="shared" si="11"/>
        <v>0</v>
      </c>
    </row>
    <row r="78" spans="1:9">
      <c r="A78" s="17" t="str">
        <f>HLOOKUP(INDICE!$F$2,Nombres!$C$3:$D$636,47,FALSE)</f>
        <v>Impuesto sobre beneficios</v>
      </c>
      <c r="B78" s="75">
        <v>96.428016560913818</v>
      </c>
      <c r="C78" s="75">
        <v>-195.77495397842409</v>
      </c>
      <c r="D78" s="75">
        <v>-431.41234909177825</v>
      </c>
      <c r="E78" s="76">
        <v>-108.54476559215423</v>
      </c>
      <c r="F78" s="75">
        <v>-243.51180287000003</v>
      </c>
      <c r="G78" s="75">
        <v>0</v>
      </c>
      <c r="H78" s="75">
        <v>0</v>
      </c>
      <c r="I78" s="75">
        <v>0</v>
      </c>
    </row>
    <row r="79" spans="1:9">
      <c r="A79" s="25" t="str">
        <f>HLOOKUP(INDICE!$F$2,Nombres!$C$3:$D$636,48,FALSE)</f>
        <v>Resultado del ejercicio</v>
      </c>
      <c r="B79" s="25">
        <f>+B77+B78</f>
        <v>17.678345869590373</v>
      </c>
      <c r="C79" s="25">
        <f t="shared" ref="C79:I79" si="12">+C77+C78</f>
        <v>373.71277151974192</v>
      </c>
      <c r="D79" s="25">
        <f t="shared" si="12"/>
        <v>-303.60406347601344</v>
      </c>
      <c r="E79" s="73">
        <f t="shared" si="12"/>
        <v>363.25776925341586</v>
      </c>
      <c r="F79" s="74">
        <f t="shared" si="12"/>
        <v>169.76320837999984</v>
      </c>
      <c r="G79" s="74">
        <f t="shared" si="12"/>
        <v>0</v>
      </c>
      <c r="H79" s="74">
        <f t="shared" si="12"/>
        <v>0</v>
      </c>
      <c r="I79" s="74">
        <f t="shared" si="12"/>
        <v>0</v>
      </c>
    </row>
    <row r="80" spans="1:9">
      <c r="A80" s="17" t="str">
        <f>HLOOKUP(INDICE!$F$2,Nombres!$C$3:$D$636,49,FALSE)</f>
        <v>Minoritarios</v>
      </c>
      <c r="B80" s="75">
        <v>-2.5923989632585851</v>
      </c>
      <c r="C80" s="75">
        <v>-56.473149440467111</v>
      </c>
      <c r="D80" s="75">
        <v>43.509801249476169</v>
      </c>
      <c r="E80" s="76">
        <v>-54.841101322104826</v>
      </c>
      <c r="F80" s="75">
        <v>-25.879999649999977</v>
      </c>
      <c r="G80" s="75">
        <v>0</v>
      </c>
      <c r="H80" s="75">
        <v>0</v>
      </c>
      <c r="I80" s="75">
        <v>0</v>
      </c>
    </row>
    <row r="81" spans="1:9">
      <c r="A81" s="19" t="str">
        <f>HLOOKUP(INDICE!$F$2,Nombres!$C$3:$D$636,50,FALSE)</f>
        <v>Resultado atribuido</v>
      </c>
      <c r="B81" s="19">
        <f>+B79+B80</f>
        <v>15.085946906331788</v>
      </c>
      <c r="C81" s="19">
        <f t="shared" ref="C81:I81" si="13">+C79+C80</f>
        <v>317.2396220792748</v>
      </c>
      <c r="D81" s="19">
        <f t="shared" si="13"/>
        <v>-260.09426222653724</v>
      </c>
      <c r="E81" s="19">
        <f t="shared" si="13"/>
        <v>308.41666793131105</v>
      </c>
      <c r="F81" s="94">
        <f t="shared" si="13"/>
        <v>143.88320872999986</v>
      </c>
      <c r="G81" s="94">
        <f t="shared" si="13"/>
        <v>0</v>
      </c>
      <c r="H81" s="94">
        <f t="shared" si="13"/>
        <v>0</v>
      </c>
      <c r="I81" s="94">
        <f t="shared" si="13"/>
        <v>0</v>
      </c>
    </row>
    <row r="82" spans="1:9">
      <c r="A82" s="91"/>
      <c r="B82" s="99">
        <v>-9.5923269327613525E-14</v>
      </c>
      <c r="C82" s="99">
        <v>0</v>
      </c>
      <c r="D82" s="99">
        <v>0</v>
      </c>
      <c r="E82" s="99">
        <v>0</v>
      </c>
      <c r="F82" s="99">
        <v>0</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5061.7940083506655</v>
      </c>
      <c r="C87" s="75">
        <v>6287.240812574214</v>
      </c>
      <c r="D87" s="75">
        <v>9553.8380157346564</v>
      </c>
      <c r="E87" s="76">
        <v>9062.5243712672873</v>
      </c>
      <c r="F87" s="75">
        <v>8187.15</v>
      </c>
      <c r="G87" s="75">
        <v>0</v>
      </c>
      <c r="H87" s="75">
        <v>0</v>
      </c>
      <c r="I87" s="75">
        <v>0</v>
      </c>
    </row>
    <row r="88" spans="1:9">
      <c r="A88" s="17" t="str">
        <f>HLOOKUP(INDICE!$F$2,Nombres!$C$3:$D$636,53,FALSE)</f>
        <v>Activos financieros a valor razonable</v>
      </c>
      <c r="B88" s="83">
        <v>3050.0709310533425</v>
      </c>
      <c r="C88" s="83">
        <v>3337.2850307141975</v>
      </c>
      <c r="D88" s="83">
        <v>3436.6948258044085</v>
      </c>
      <c r="E88" s="95">
        <v>3449.5644227375542</v>
      </c>
      <c r="F88" s="75">
        <v>3942.721</v>
      </c>
      <c r="G88" s="75">
        <v>0</v>
      </c>
      <c r="H88" s="75">
        <v>0</v>
      </c>
      <c r="I88" s="75">
        <v>0</v>
      </c>
    </row>
    <row r="89" spans="1:9">
      <c r="A89" s="17" t="str">
        <f>HLOOKUP(INDICE!$F$2,Nombres!$C$3:$D$636,54,FALSE)</f>
        <v>Activos financieros a coste amortizado</v>
      </c>
      <c r="B89" s="75">
        <v>32379.252763387791</v>
      </c>
      <c r="C89" s="75">
        <v>42566.372784043524</v>
      </c>
      <c r="D89" s="75">
        <v>41821.297746462202</v>
      </c>
      <c r="E89" s="76">
        <v>48157.170501524415</v>
      </c>
      <c r="F89" s="75">
        <v>55727.217000000004</v>
      </c>
      <c r="G89" s="75">
        <v>0</v>
      </c>
      <c r="H89" s="75">
        <v>0</v>
      </c>
      <c r="I89" s="75">
        <v>0</v>
      </c>
    </row>
    <row r="90" spans="1:9">
      <c r="A90" s="17" t="str">
        <f>HLOOKUP(INDICE!$F$2,Nombres!$C$3:$D$636,55,FALSE)</f>
        <v xml:space="preserve">    de los que préstamos y anticipos a la clientela</v>
      </c>
      <c r="B90" s="75">
        <v>23278.820999221367</v>
      </c>
      <c r="C90" s="75">
        <v>28906.075844418017</v>
      </c>
      <c r="D90" s="75">
        <v>31144.290829349215</v>
      </c>
      <c r="E90" s="76">
        <v>34958.729124295402</v>
      </c>
      <c r="F90" s="75">
        <v>39635.807000000001</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977.63846392223263</v>
      </c>
      <c r="C92" s="75">
        <v>1008.2784647657916</v>
      </c>
      <c r="D92" s="75">
        <v>1301.431134774162</v>
      </c>
      <c r="E92" s="76">
        <v>1427.3030824680966</v>
      </c>
      <c r="F92" s="75">
        <v>1630.454</v>
      </c>
      <c r="G92" s="75">
        <v>0</v>
      </c>
      <c r="H92" s="75">
        <v>0</v>
      </c>
      <c r="I92" s="75">
        <v>0</v>
      </c>
    </row>
    <row r="93" spans="1:9">
      <c r="A93" s="17" t="str">
        <f>HLOOKUP(INDICE!$F$2,Nombres!$C$3:$D$636,57,FALSE)</f>
        <v>Otros activos</v>
      </c>
      <c r="B93" s="83">
        <f>+B94-B92-B89-B88-B87</f>
        <v>1237.6433373783184</v>
      </c>
      <c r="C93" s="83">
        <f t="shared" ref="C93:I93" si="15">+C94-C92-C89-C88-C87</f>
        <v>1428.4797191157222</v>
      </c>
      <c r="D93" s="83">
        <f t="shared" si="15"/>
        <v>1558.602299793627</v>
      </c>
      <c r="E93" s="95">
        <f t="shared" si="15"/>
        <v>1779.0896532866172</v>
      </c>
      <c r="F93" s="75">
        <f t="shared" si="15"/>
        <v>1901.4180000000051</v>
      </c>
      <c r="G93" s="75">
        <f t="shared" si="15"/>
        <v>0</v>
      </c>
      <c r="H93" s="75">
        <f t="shared" si="15"/>
        <v>0</v>
      </c>
      <c r="I93" s="75">
        <f t="shared" si="15"/>
        <v>0</v>
      </c>
    </row>
    <row r="94" spans="1:9">
      <c r="A94" s="19" t="str">
        <f>HLOOKUP(INDICE!$F$2,Nombres!$C$3:$D$636,58,FALSE)</f>
        <v>Total activo / pasivo</v>
      </c>
      <c r="B94" s="19">
        <v>42706.399504092347</v>
      </c>
      <c r="C94" s="19">
        <v>54627.656811213448</v>
      </c>
      <c r="D94" s="19">
        <v>57671.864022569054</v>
      </c>
      <c r="E94" s="19">
        <v>63875.652031283971</v>
      </c>
      <c r="F94" s="19">
        <v>71388.960000000006</v>
      </c>
      <c r="G94" s="19">
        <v>0</v>
      </c>
      <c r="H94" s="19">
        <v>0</v>
      </c>
      <c r="I94" s="19">
        <v>0</v>
      </c>
    </row>
    <row r="95" spans="1:9">
      <c r="A95" s="17" t="str">
        <f>HLOOKUP(INDICE!$F$2,Nombres!$C$3:$D$636,59,FALSE)</f>
        <v>Pasivos financieros mantenidos para negociar y designados a valor razonable con cambios en resultados</v>
      </c>
      <c r="B95" s="83">
        <v>1241.30747891958</v>
      </c>
      <c r="C95" s="83">
        <v>1779.860068025363</v>
      </c>
      <c r="D95" s="83">
        <v>1736.5237087986691</v>
      </c>
      <c r="E95" s="95">
        <v>1755.0857890524205</v>
      </c>
      <c r="F95" s="75">
        <v>1918.9870000000001</v>
      </c>
      <c r="G95" s="75">
        <v>0</v>
      </c>
      <c r="H95" s="75">
        <v>0</v>
      </c>
      <c r="I95" s="75">
        <v>0</v>
      </c>
    </row>
    <row r="96" spans="1:9">
      <c r="A96" s="17" t="str">
        <f>HLOOKUP(INDICE!$F$2,Nombres!$C$3:$D$636,60,FALSE)</f>
        <v>Depósitos de bancos centrales y entidades de crédito</v>
      </c>
      <c r="B96" s="83">
        <v>1645.5092568829305</v>
      </c>
      <c r="C96" s="83">
        <v>1901.2583623293228</v>
      </c>
      <c r="D96" s="83">
        <v>2034.3993330750277</v>
      </c>
      <c r="E96" s="95">
        <v>2154.3242599683363</v>
      </c>
      <c r="F96" s="75">
        <v>2115.5340000000001</v>
      </c>
      <c r="G96" s="75">
        <v>0</v>
      </c>
      <c r="H96" s="75">
        <v>0</v>
      </c>
      <c r="I96" s="75">
        <v>0</v>
      </c>
    </row>
    <row r="97" spans="1:9">
      <c r="A97" s="17" t="str">
        <f>HLOOKUP(INDICE!$F$2,Nombres!$C$3:$D$636,61,FALSE)</f>
        <v>Depósitos de la clientela</v>
      </c>
      <c r="B97" s="83">
        <v>30584.814117246719</v>
      </c>
      <c r="C97" s="83">
        <v>41157.920173054466</v>
      </c>
      <c r="D97" s="83">
        <v>42480.969439963912</v>
      </c>
      <c r="E97" s="95">
        <v>47324.356543491944</v>
      </c>
      <c r="F97" s="75">
        <v>52675.653999999995</v>
      </c>
      <c r="G97" s="75">
        <v>0</v>
      </c>
      <c r="H97" s="75">
        <v>0</v>
      </c>
      <c r="I97" s="75">
        <v>0</v>
      </c>
    </row>
    <row r="98" spans="1:9">
      <c r="A98" s="17" t="str">
        <f>HLOOKUP(INDICE!$F$2,Nombres!$C$3:$D$636,62,FALSE)</f>
        <v>Valores representativos de deuda emitidos</v>
      </c>
      <c r="B98" s="75">
        <v>1733.6677529646356</v>
      </c>
      <c r="C98" s="75">
        <v>2317.271248300498</v>
      </c>
      <c r="D98" s="75">
        <v>2308.5146132380382</v>
      </c>
      <c r="E98" s="76">
        <v>2557.0356201671266</v>
      </c>
      <c r="F98" s="75">
        <v>3114.6253172300003</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3209.0728222280941</v>
      </c>
      <c r="C100" s="83">
        <f t="shared" ref="C100:I100" si="16">+C94-C95-C96-C97-C98-C101</f>
        <v>1566.8376907153843</v>
      </c>
      <c r="D100" s="83">
        <f t="shared" si="16"/>
        <v>3682.8199435233882</v>
      </c>
      <c r="E100" s="95">
        <f t="shared" si="16"/>
        <v>4066.799107420853</v>
      </c>
      <c r="F100" s="75">
        <f t="shared" si="16"/>
        <v>4421.6271194800165</v>
      </c>
      <c r="G100" s="75">
        <f t="shared" si="16"/>
        <v>0</v>
      </c>
      <c r="H100" s="75">
        <f t="shared" si="16"/>
        <v>0</v>
      </c>
      <c r="I100" s="75">
        <f t="shared" si="16"/>
        <v>0</v>
      </c>
    </row>
    <row r="101" spans="1:9">
      <c r="A101" s="17" t="str">
        <f>HLOOKUP(INDICE!$F$2,Nombres!$C$3:$D$636,282,FALSE)</f>
        <v>Dotación de capital regulatorio</v>
      </c>
      <c r="B101" s="75">
        <v>4292.0280758503895</v>
      </c>
      <c r="C101" s="75">
        <v>5904.5092687884089</v>
      </c>
      <c r="D101" s="75">
        <v>5428.6369839700174</v>
      </c>
      <c r="E101" s="75">
        <v>6018.0507111832903</v>
      </c>
      <c r="F101" s="75">
        <v>7142.5325632900012</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24512.836533433463</v>
      </c>
      <c r="C107" s="75">
        <v>30337.728456503191</v>
      </c>
      <c r="D107" s="75">
        <v>32590.957232275319</v>
      </c>
      <c r="E107" s="76">
        <v>36492.084175470765</v>
      </c>
      <c r="F107" s="75">
        <v>41240.469999999994</v>
      </c>
      <c r="G107" s="75">
        <v>0</v>
      </c>
      <c r="H107" s="75">
        <v>0</v>
      </c>
      <c r="I107" s="75">
        <v>0</v>
      </c>
    </row>
    <row r="108" spans="1:9">
      <c r="A108" s="17" t="str">
        <f>HLOOKUP(INDICE!$F$2,Nombres!$C$3:$D$636,67,FALSE)</f>
        <v>Depósitos de clientes en gestión (**)</v>
      </c>
      <c r="B108" s="75">
        <v>29732.593226769946</v>
      </c>
      <c r="C108" s="75">
        <v>40126.4775061814</v>
      </c>
      <c r="D108" s="75">
        <v>41375.481404483231</v>
      </c>
      <c r="E108" s="76">
        <v>46080.985820775917</v>
      </c>
      <c r="F108" s="75">
        <v>50387.645999999993</v>
      </c>
      <c r="G108" s="75">
        <v>0</v>
      </c>
      <c r="H108" s="75">
        <v>0</v>
      </c>
      <c r="I108" s="75">
        <v>0</v>
      </c>
    </row>
    <row r="109" spans="1:9">
      <c r="A109" s="17" t="str">
        <f>HLOOKUP(INDICE!$F$2,Nombres!$C$3:$D$636,68,FALSE)</f>
        <v>Fondos de inversión y carteras gestionadas</v>
      </c>
      <c r="B109" s="75">
        <v>2549.5122077621822</v>
      </c>
      <c r="C109" s="75">
        <v>3120.2287667480723</v>
      </c>
      <c r="D109" s="75">
        <v>3727.1581190413103</v>
      </c>
      <c r="E109" s="76">
        <v>4098.1370384210013</v>
      </c>
      <c r="F109" s="75">
        <v>6170.9189999999999</v>
      </c>
      <c r="G109" s="75">
        <v>0</v>
      </c>
      <c r="H109" s="75">
        <v>0</v>
      </c>
      <c r="I109" s="75">
        <v>0</v>
      </c>
    </row>
    <row r="110" spans="1:9">
      <c r="A110" s="17" t="str">
        <f>HLOOKUP(INDICE!$F$2,Nombres!$C$3:$D$636,69,FALSE)</f>
        <v>Fondos de pensiones</v>
      </c>
      <c r="B110" s="75">
        <v>1922.572710480254</v>
      </c>
      <c r="C110" s="75">
        <v>2390.1170910249321</v>
      </c>
      <c r="D110" s="75">
        <v>2834.5354063440795</v>
      </c>
      <c r="E110" s="76">
        <v>3160.0565950064288</v>
      </c>
      <c r="F110" s="75">
        <v>3816.9659999999999</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HLOOKUP(INDICE!$F$2,Nombres!$C$3:$D$636,77,FALSE)</f>
        <v>(Millones de liras turcas)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13036.521394293315</v>
      </c>
      <c r="C120" s="25">
        <v>13928.519305398997</v>
      </c>
      <c r="D120" s="25">
        <v>18077.498421973491</v>
      </c>
      <c r="E120" s="73">
        <v>14266.884492251802</v>
      </c>
      <c r="F120" s="74">
        <v>9605.3692176774202</v>
      </c>
      <c r="G120" s="74">
        <v>0</v>
      </c>
      <c r="H120" s="74">
        <v>0</v>
      </c>
      <c r="I120" s="74">
        <v>0</v>
      </c>
    </row>
    <row r="121" spans="1:9">
      <c r="A121" s="17" t="str">
        <f>HLOOKUP(INDICE!$F$2,Nombres!$C$3:$D$636,34,FALSE)</f>
        <v>Comisiones netas</v>
      </c>
      <c r="B121" s="75">
        <v>3582.695857508028</v>
      </c>
      <c r="C121" s="75">
        <v>4377.9206122767391</v>
      </c>
      <c r="D121" s="75">
        <v>10204.247282326105</v>
      </c>
      <c r="E121" s="76">
        <v>14200.457229492611</v>
      </c>
      <c r="F121" s="75">
        <v>14772.435535746657</v>
      </c>
      <c r="G121" s="75">
        <v>0</v>
      </c>
      <c r="H121" s="75">
        <v>0</v>
      </c>
      <c r="I121" s="75">
        <v>0</v>
      </c>
    </row>
    <row r="122" spans="1:9">
      <c r="A122" s="17" t="str">
        <f>HLOOKUP(INDICE!$F$2,Nombres!$C$3:$D$636,35,FALSE)</f>
        <v>Resultados de operaciones financieras</v>
      </c>
      <c r="B122" s="75">
        <v>4665.4165467952444</v>
      </c>
      <c r="C122" s="75">
        <v>6420.526734039553</v>
      </c>
      <c r="D122" s="75">
        <v>12021.927776096592</v>
      </c>
      <c r="E122" s="76">
        <v>7366.0825282891637</v>
      </c>
      <c r="F122" s="75">
        <v>11028.507572197563</v>
      </c>
      <c r="G122" s="75">
        <v>0</v>
      </c>
      <c r="H122" s="75">
        <v>0</v>
      </c>
      <c r="I122" s="75">
        <v>0</v>
      </c>
    </row>
    <row r="123" spans="1:9">
      <c r="A123" s="17" t="str">
        <f>HLOOKUP(INDICE!$F$2,Nombres!$C$3:$D$636,36,FALSE)</f>
        <v>Otros ingresos y cargas de explotación</v>
      </c>
      <c r="B123" s="75">
        <v>-4597.245514813605</v>
      </c>
      <c r="C123" s="75">
        <v>-480.60870658986164</v>
      </c>
      <c r="D123" s="75">
        <v>-15215.206076537492</v>
      </c>
      <c r="E123" s="76">
        <v>-6589.9245899673715</v>
      </c>
      <c r="F123" s="75">
        <v>-4155.1296743073308</v>
      </c>
      <c r="G123" s="75">
        <v>0</v>
      </c>
      <c r="H123" s="75">
        <v>0</v>
      </c>
      <c r="I123" s="75">
        <v>0</v>
      </c>
    </row>
    <row r="124" spans="1:9">
      <c r="A124" s="25" t="str">
        <f>HLOOKUP(INDICE!$F$2,Nombres!$C$3:$D$636,37,FALSE)</f>
        <v>Margen bruto</v>
      </c>
      <c r="B124" s="25">
        <f>+SUM(B120:B123)</f>
        <v>16687.388283782981</v>
      </c>
      <c r="C124" s="25">
        <f t="shared" ref="C124:I124" si="19">+SUM(C120:C123)</f>
        <v>24246.357945125426</v>
      </c>
      <c r="D124" s="25">
        <f t="shared" si="19"/>
        <v>25088.467403858696</v>
      </c>
      <c r="E124" s="73">
        <f t="shared" si="19"/>
        <v>29243.499660066213</v>
      </c>
      <c r="F124" s="74">
        <f t="shared" si="19"/>
        <v>31251.182651314302</v>
      </c>
      <c r="G124" s="74">
        <f t="shared" si="19"/>
        <v>0</v>
      </c>
      <c r="H124" s="74">
        <f t="shared" si="19"/>
        <v>0</v>
      </c>
      <c r="I124" s="74">
        <f t="shared" si="19"/>
        <v>0</v>
      </c>
    </row>
    <row r="125" spans="1:9">
      <c r="A125" s="17" t="str">
        <f>HLOOKUP(INDICE!$F$2,Nombres!$C$3:$D$636,38,FALSE)</f>
        <v>Gastos de explotación</v>
      </c>
      <c r="B125" s="75">
        <v>-8309.3443170019473</v>
      </c>
      <c r="C125" s="75">
        <v>-8040.0155817739178</v>
      </c>
      <c r="D125" s="75">
        <v>-13628.404798963975</v>
      </c>
      <c r="E125" s="76">
        <v>-14879.958562342601</v>
      </c>
      <c r="F125" s="75">
        <v>-15485.127640145465</v>
      </c>
      <c r="G125" s="75">
        <v>0</v>
      </c>
      <c r="H125" s="75">
        <v>0</v>
      </c>
      <c r="I125" s="75">
        <v>0</v>
      </c>
    </row>
    <row r="126" spans="1:9">
      <c r="A126" s="17" t="str">
        <f>HLOOKUP(INDICE!$F$2,Nombres!$C$3:$D$636,39,FALSE)</f>
        <v xml:space="preserve">  Gastos de administración</v>
      </c>
      <c r="B126" s="75">
        <v>-7551.4220904511876</v>
      </c>
      <c r="C126" s="75">
        <v>-7114.1383628125323</v>
      </c>
      <c r="D126" s="75">
        <v>-12110.90178042886</v>
      </c>
      <c r="E126" s="76">
        <v>-13287.525916654013</v>
      </c>
      <c r="F126" s="75">
        <v>-13920.950008389267</v>
      </c>
      <c r="G126" s="75">
        <v>0</v>
      </c>
      <c r="H126" s="75">
        <v>0</v>
      </c>
      <c r="I126" s="75">
        <v>0</v>
      </c>
    </row>
    <row r="127" spans="1:9">
      <c r="A127" s="77" t="str">
        <f>HLOOKUP(INDICE!$F$2,Nombres!$C$3:$D$636,40,FALSE)</f>
        <v xml:space="preserve">  Gastos de personal</v>
      </c>
      <c r="B127" s="75">
        <v>-4344.4641229855006</v>
      </c>
      <c r="C127" s="75">
        <v>-4600.3877296972332</v>
      </c>
      <c r="D127" s="75">
        <v>-7891.7621713779172</v>
      </c>
      <c r="E127" s="76">
        <v>-7964.5806036750528</v>
      </c>
      <c r="F127" s="75">
        <v>-8851.0117772251688</v>
      </c>
      <c r="G127" s="75">
        <v>0</v>
      </c>
      <c r="H127" s="75">
        <v>0</v>
      </c>
      <c r="I127" s="75">
        <v>0</v>
      </c>
    </row>
    <row r="128" spans="1:9">
      <c r="A128" s="77" t="str">
        <f>HLOOKUP(INDICE!$F$2,Nombres!$C$3:$D$636,41,FALSE)</f>
        <v xml:space="preserve">  Otros gastos de administración</v>
      </c>
      <c r="B128" s="75">
        <v>-3206.957967465687</v>
      </c>
      <c r="C128" s="75">
        <v>-2513.750633115299</v>
      </c>
      <c r="D128" s="75">
        <v>-4219.1396090509434</v>
      </c>
      <c r="E128" s="76">
        <v>-5322.9453129789581</v>
      </c>
      <c r="F128" s="75">
        <v>-5069.9382311640966</v>
      </c>
      <c r="G128" s="75">
        <v>0</v>
      </c>
      <c r="H128" s="75">
        <v>0</v>
      </c>
      <c r="I128" s="75">
        <v>0</v>
      </c>
    </row>
    <row r="129" spans="1:9">
      <c r="A129" s="17" t="str">
        <f>HLOOKUP(INDICE!$F$2,Nombres!$C$3:$D$636,42,FALSE)</f>
        <v xml:space="preserve">  Amortización</v>
      </c>
      <c r="B129" s="75">
        <v>-757.92222655075966</v>
      </c>
      <c r="C129" s="75">
        <v>-925.87721896138555</v>
      </c>
      <c r="D129" s="75">
        <v>-1517.503018535115</v>
      </c>
      <c r="E129" s="76">
        <v>-1592.4326456885897</v>
      </c>
      <c r="F129" s="75">
        <v>-1564.1776317561978</v>
      </c>
      <c r="G129" s="75">
        <v>0</v>
      </c>
      <c r="H129" s="75">
        <v>0</v>
      </c>
      <c r="I129" s="75">
        <v>0</v>
      </c>
    </row>
    <row r="130" spans="1:9">
      <c r="A130" s="25" t="str">
        <f>HLOOKUP(INDICE!$F$2,Nombres!$C$3:$D$636,43,FALSE)</f>
        <v>Margen neto</v>
      </c>
      <c r="B130" s="25">
        <f>+B124+B125</f>
        <v>8378.0439667810333</v>
      </c>
      <c r="C130" s="25">
        <f t="shared" ref="C130:I130" si="20">+C124+C125</f>
        <v>16206.342363351509</v>
      </c>
      <c r="D130" s="25">
        <f t="shared" si="20"/>
        <v>11460.062604894722</v>
      </c>
      <c r="E130" s="73">
        <f t="shared" si="20"/>
        <v>14363.541097723612</v>
      </c>
      <c r="F130" s="74">
        <f t="shared" si="20"/>
        <v>15766.055011168837</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-1250.0872624448884</v>
      </c>
      <c r="C131" s="75">
        <v>-409.49714442999823</v>
      </c>
      <c r="D131" s="75">
        <v>-860.04939664162237</v>
      </c>
      <c r="E131" s="76">
        <v>-1387.9568817817612</v>
      </c>
      <c r="F131" s="75">
        <v>-2629.9676353297205</v>
      </c>
      <c r="G131" s="75">
        <v>0</v>
      </c>
      <c r="H131" s="75">
        <v>0</v>
      </c>
      <c r="I131" s="75">
        <v>0</v>
      </c>
    </row>
    <row r="132" spans="1:9">
      <c r="A132" s="17" t="str">
        <f>HLOOKUP(INDICE!$F$2,Nombres!$C$3:$D$636,45,FALSE)</f>
        <v>Provisiones o reversión de provisiones y otros resultados</v>
      </c>
      <c r="B132" s="75">
        <v>-336.43324756264764</v>
      </c>
      <c r="C132" s="75">
        <v>-994.4858248465473</v>
      </c>
      <c r="D132" s="75">
        <v>-1330.1318103142514</v>
      </c>
      <c r="E132" s="76">
        <v>-1814.7211292887373</v>
      </c>
      <c r="F132" s="75">
        <v>1244.3632295420912</v>
      </c>
      <c r="G132" s="75">
        <v>0</v>
      </c>
      <c r="H132" s="75">
        <v>0</v>
      </c>
      <c r="I132" s="75">
        <v>0</v>
      </c>
    </row>
    <row r="133" spans="1:9">
      <c r="A133" s="25" t="str">
        <f>HLOOKUP(INDICE!$F$2,Nombres!$C$3:$D$636,46,FALSE)</f>
        <v>Resultado antes de impuestos</v>
      </c>
      <c r="B133" s="25">
        <f>+B130+B131+B132</f>
        <v>6791.5234567734969</v>
      </c>
      <c r="C133" s="25">
        <f t="shared" ref="C133:I133" si="21">+C130+C131+C132</f>
        <v>14802.359394074962</v>
      </c>
      <c r="D133" s="25">
        <f t="shared" si="21"/>
        <v>9269.8813979388487</v>
      </c>
      <c r="E133" s="73">
        <f t="shared" si="21"/>
        <v>11160.863086653113</v>
      </c>
      <c r="F133" s="74">
        <f t="shared" si="21"/>
        <v>14380.450605381207</v>
      </c>
      <c r="G133" s="74">
        <f t="shared" si="21"/>
        <v>0</v>
      </c>
      <c r="H133" s="74">
        <f t="shared" si="21"/>
        <v>0</v>
      </c>
      <c r="I133" s="74">
        <f t="shared" si="21"/>
        <v>0</v>
      </c>
    </row>
    <row r="134" spans="1:9">
      <c r="A134" s="17" t="str">
        <f>HLOOKUP(INDICE!$F$2,Nombres!$C$3:$D$636,47,FALSE)</f>
        <v>Impuesto sobre beneficios</v>
      </c>
      <c r="B134" s="75">
        <v>-93.633012202383725</v>
      </c>
      <c r="C134" s="75">
        <v>-4566.5761811339635</v>
      </c>
      <c r="D134" s="75">
        <v>-14262.294213763649</v>
      </c>
      <c r="E134" s="76">
        <v>-3699.18592111315</v>
      </c>
      <c r="F134" s="75">
        <v>-8493.8315340124645</v>
      </c>
      <c r="G134" s="75">
        <v>0</v>
      </c>
      <c r="H134" s="75">
        <v>0</v>
      </c>
      <c r="I134" s="75">
        <v>0</v>
      </c>
    </row>
    <row r="135" spans="1:9">
      <c r="A135" s="25" t="str">
        <f>HLOOKUP(INDICE!$F$2,Nombres!$C$3:$D$636,48,FALSE)</f>
        <v>Resultado del ejercicio</v>
      </c>
      <c r="B135" s="25">
        <f>+B133+B134</f>
        <v>6697.8904445711132</v>
      </c>
      <c r="C135" s="25">
        <f t="shared" ref="C135:I135" si="22">+C133+C134</f>
        <v>10235.783212940998</v>
      </c>
      <c r="D135" s="25">
        <f t="shared" si="22"/>
        <v>-4992.4128158248004</v>
      </c>
      <c r="E135" s="73">
        <f t="shared" si="22"/>
        <v>7461.6771655399625</v>
      </c>
      <c r="F135" s="74">
        <f t="shared" si="22"/>
        <v>5886.6190713687429</v>
      </c>
      <c r="G135" s="74">
        <f t="shared" si="22"/>
        <v>0</v>
      </c>
      <c r="H135" s="74">
        <f t="shared" si="22"/>
        <v>0</v>
      </c>
      <c r="I135" s="74">
        <f t="shared" si="22"/>
        <v>0</v>
      </c>
    </row>
    <row r="136" spans="1:9">
      <c r="A136" s="17" t="str">
        <f>HLOOKUP(INDICE!$F$2,Nombres!$C$3:$D$636,49,FALSE)</f>
        <v>Minoritarios</v>
      </c>
      <c r="B136" s="75">
        <v>-944.57191431163142</v>
      </c>
      <c r="C136" s="75">
        <v>-1576.6655089537644</v>
      </c>
      <c r="D136" s="75">
        <v>732.37988764585964</v>
      </c>
      <c r="E136" s="76">
        <v>-1182.173746106562</v>
      </c>
      <c r="F136" s="75">
        <v>-897.97622668737085</v>
      </c>
      <c r="G136" s="75">
        <v>0</v>
      </c>
      <c r="H136" s="75">
        <v>0</v>
      </c>
      <c r="I136" s="75">
        <v>0</v>
      </c>
    </row>
    <row r="137" spans="1:9">
      <c r="A137" s="19" t="str">
        <f>HLOOKUP(INDICE!$F$2,Nombres!$C$3:$D$636,50,FALSE)</f>
        <v>Resultado atribuido</v>
      </c>
      <c r="B137" s="19">
        <f>+B135+B136</f>
        <v>5753.318530259482</v>
      </c>
      <c r="C137" s="19">
        <f t="shared" ref="C137:I137" si="23">+C135+C136</f>
        <v>8659.1177039872346</v>
      </c>
      <c r="D137" s="19">
        <f t="shared" si="23"/>
        <v>-4260.0329281789409</v>
      </c>
      <c r="E137" s="19">
        <f t="shared" si="23"/>
        <v>6279.5034194334003</v>
      </c>
      <c r="F137" s="94">
        <f t="shared" si="23"/>
        <v>4988.6428446813716</v>
      </c>
      <c r="G137" s="94">
        <f t="shared" si="23"/>
        <v>0</v>
      </c>
      <c r="H137" s="94">
        <f t="shared" si="23"/>
        <v>0</v>
      </c>
      <c r="I137" s="94">
        <f t="shared" si="23"/>
        <v>0</v>
      </c>
    </row>
    <row r="138" spans="1:9">
      <c r="A138" s="91"/>
      <c r="B138" s="99">
        <v>0</v>
      </c>
      <c r="C138" s="99">
        <v>0</v>
      </c>
      <c r="D138" s="99">
        <v>0</v>
      </c>
      <c r="E138" s="99">
        <v>1.1823431123048067E-11</v>
      </c>
      <c r="F138" s="99">
        <v>-8.1854523159563541E-12</v>
      </c>
      <c r="G138" s="99">
        <v>0</v>
      </c>
      <c r="H138" s="99">
        <v>0</v>
      </c>
      <c r="I138" s="99">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4"/>
      <c r="G140" s="104"/>
      <c r="H140" s="104"/>
      <c r="I140" s="104"/>
    </row>
    <row r="141" spans="1:9">
      <c r="A141" s="67" t="str">
        <f>HLOOKUP(INDICE!$F$2,Nombres!$C$3:$D$636,77,FALSE)</f>
        <v>(Millones de liras turcas)</v>
      </c>
      <c r="B141" s="62"/>
      <c r="C141" s="82"/>
      <c r="D141" s="82"/>
      <c r="E141" s="82"/>
      <c r="F141" s="105"/>
      <c r="G141" s="75"/>
      <c r="H141" s="75"/>
      <c r="I141" s="75"/>
    </row>
    <row r="142" spans="1:9">
      <c r="A142" s="62"/>
      <c r="B142" s="84">
        <f t="shared" ref="B142:I142" si="24">+B$30</f>
        <v>45016</v>
      </c>
      <c r="C142" s="84">
        <f t="shared" si="24"/>
        <v>45107</v>
      </c>
      <c r="D142" s="84">
        <f t="shared" si="24"/>
        <v>45199</v>
      </c>
      <c r="E142" s="98">
        <f t="shared" si="24"/>
        <v>45291</v>
      </c>
      <c r="F142" s="84">
        <f t="shared" si="24"/>
        <v>45382</v>
      </c>
      <c r="G142" s="84">
        <f t="shared" si="24"/>
        <v>45473</v>
      </c>
      <c r="H142" s="84">
        <f t="shared" si="24"/>
        <v>45565</v>
      </c>
      <c r="I142" s="84">
        <f t="shared" si="24"/>
        <v>45657</v>
      </c>
    </row>
    <row r="143" spans="1:9">
      <c r="A143" s="17" t="str">
        <f>HLOOKUP(INDICE!$F$2,Nombres!$C$3:$D$636,52,FALSE)</f>
        <v>Efectivo, saldos en efectivo en bancos centrales y otros depósitos a la vista</v>
      </c>
      <c r="B143" s="75">
        <v>176903.1202600908</v>
      </c>
      <c r="C143" s="75">
        <v>219730.89298696633</v>
      </c>
      <c r="D143" s="75">
        <v>333894.21866134752</v>
      </c>
      <c r="E143" s="76">
        <v>316723.4454949075</v>
      </c>
      <c r="F143" s="75">
        <v>286130.24920572131</v>
      </c>
      <c r="G143" s="75">
        <v>0</v>
      </c>
      <c r="H143" s="75">
        <v>0</v>
      </c>
      <c r="I143" s="75">
        <v>0</v>
      </c>
    </row>
    <row r="144" spans="1:9">
      <c r="A144" s="17" t="str">
        <f>HLOOKUP(INDICE!$F$2,Nombres!$C$3:$D$636,53,FALSE)</f>
        <v>Activos financieros a valor razonable</v>
      </c>
      <c r="B144" s="83">
        <v>106596.01394837265</v>
      </c>
      <c r="C144" s="83">
        <v>116633.77335321531</v>
      </c>
      <c r="D144" s="83">
        <v>120108.01645889333</v>
      </c>
      <c r="E144" s="95">
        <v>120557.79214123188</v>
      </c>
      <c r="F144" s="75">
        <v>137792.97341304735</v>
      </c>
      <c r="G144" s="75">
        <v>0</v>
      </c>
      <c r="H144" s="75">
        <v>0</v>
      </c>
      <c r="I144" s="75">
        <v>0</v>
      </c>
    </row>
    <row r="145" spans="1:9">
      <c r="A145" s="17" t="str">
        <f>HLOOKUP(INDICE!$F$2,Nombres!$C$3:$D$636,54,FALSE)</f>
        <v>Activos financieros a coste amortizado</v>
      </c>
      <c r="B145" s="75">
        <v>1131612.7910546635</v>
      </c>
      <c r="C145" s="75">
        <v>1487639.3925214522</v>
      </c>
      <c r="D145" s="75">
        <v>1461599.9885554682</v>
      </c>
      <c r="E145" s="76">
        <v>1683030.5047108692</v>
      </c>
      <c r="F145" s="75">
        <v>1947593.7887728096</v>
      </c>
      <c r="G145" s="75">
        <v>0</v>
      </c>
      <c r="H145" s="75">
        <v>0</v>
      </c>
      <c r="I145" s="75">
        <v>0</v>
      </c>
    </row>
    <row r="146" spans="1:9">
      <c r="A146" s="17" t="str">
        <f>HLOOKUP(INDICE!$F$2,Nombres!$C$3:$D$636,55,FALSE)</f>
        <v xml:space="preserve">    de los que préstamos y anticipos a la clientela</v>
      </c>
      <c r="B146" s="75">
        <v>813564.53145753848</v>
      </c>
      <c r="C146" s="75">
        <v>1010229.7728663587</v>
      </c>
      <c r="D146" s="75">
        <v>1088452.4769104209</v>
      </c>
      <c r="E146" s="76">
        <v>1221762.1365493427</v>
      </c>
      <c r="F146" s="75">
        <v>1385219.928104392</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28551.080567885543</v>
      </c>
      <c r="C148" s="75">
        <v>32988.104756300294</v>
      </c>
      <c r="D148" s="75">
        <v>42743.121460090864</v>
      </c>
      <c r="E148" s="76">
        <v>48857.168221669774</v>
      </c>
      <c r="F148" s="75">
        <v>56982.247709943644</v>
      </c>
      <c r="G148" s="75">
        <v>0</v>
      </c>
      <c r="H148" s="75">
        <v>0</v>
      </c>
      <c r="I148" s="75">
        <v>0</v>
      </c>
    </row>
    <row r="149" spans="1:9">
      <c r="A149" s="17" t="str">
        <f>HLOOKUP(INDICE!$F$2,Nombres!$C$3:$D$636,57,FALSE)</f>
        <v>Otros activos</v>
      </c>
      <c r="B149" s="83">
        <f>+B150-B148-B145-B144-B143</f>
        <v>42256.617364630714</v>
      </c>
      <c r="C149" s="83">
        <f t="shared" ref="C149:I149" si="25">+C150-C148-C145-C144-C143</f>
        <v>49567.837176601373</v>
      </c>
      <c r="D149" s="83">
        <f t="shared" si="25"/>
        <v>54113.665111662121</v>
      </c>
      <c r="E149" s="95">
        <f t="shared" si="25"/>
        <v>61997.26545810746</v>
      </c>
      <c r="F149" s="75">
        <f t="shared" si="25"/>
        <v>66452.087256768253</v>
      </c>
      <c r="G149" s="75">
        <f t="shared" si="25"/>
        <v>0</v>
      </c>
      <c r="H149" s="75">
        <f t="shared" si="25"/>
        <v>0</v>
      </c>
      <c r="I149" s="75">
        <f t="shared" si="25"/>
        <v>0</v>
      </c>
    </row>
    <row r="150" spans="1:9">
      <c r="A150" s="19" t="str">
        <f>HLOOKUP(INDICE!$F$2,Nombres!$C$3:$D$636,58,FALSE)</f>
        <v>Total activo / pasivo</v>
      </c>
      <c r="B150" s="19">
        <v>1485919.6231956433</v>
      </c>
      <c r="C150" s="19">
        <v>1906560.0007945355</v>
      </c>
      <c r="D150" s="19">
        <v>2012459.010247462</v>
      </c>
      <c r="E150" s="93">
        <v>2231166.1760267857</v>
      </c>
      <c r="F150" s="94">
        <v>2494951.3463582899</v>
      </c>
      <c r="G150" s="94">
        <v>0</v>
      </c>
      <c r="H150" s="94">
        <v>0</v>
      </c>
      <c r="I150" s="94">
        <v>0</v>
      </c>
    </row>
    <row r="151" spans="1:9">
      <c r="A151" s="17" t="str">
        <f>HLOOKUP(INDICE!$F$2,Nombres!$C$3:$D$636,59,FALSE)</f>
        <v>Pasivos financieros mantenidos para negociar y designados a valor razonable con cambios en resultados</v>
      </c>
      <c r="B151" s="83">
        <v>43382.082688626084</v>
      </c>
      <c r="C151" s="83">
        <v>62203.795559554812</v>
      </c>
      <c r="D151" s="83">
        <v>60689.246141845033</v>
      </c>
      <c r="E151" s="95">
        <v>61337.966716010946</v>
      </c>
      <c r="F151" s="75">
        <v>67066.100967069055</v>
      </c>
      <c r="G151" s="75">
        <v>0</v>
      </c>
      <c r="H151" s="75">
        <v>0</v>
      </c>
      <c r="I151" s="75">
        <v>0</v>
      </c>
    </row>
    <row r="152" spans="1:9">
      <c r="A152" s="17" t="str">
        <f>HLOOKUP(INDICE!$F$2,Nombres!$C$3:$D$636,60,FALSE)</f>
        <v>Depósitos de bancos centrales y entidades de crédito</v>
      </c>
      <c r="B152" s="83">
        <v>57508.40936616945</v>
      </c>
      <c r="C152" s="83">
        <v>66446.5081277063</v>
      </c>
      <c r="D152" s="83">
        <v>71099.611972018465</v>
      </c>
      <c r="E152" s="95">
        <v>75290.832264545214</v>
      </c>
      <c r="F152" s="75">
        <v>73935.163105986372</v>
      </c>
      <c r="G152" s="75">
        <v>0</v>
      </c>
      <c r="H152" s="75">
        <v>0</v>
      </c>
      <c r="I152" s="75">
        <v>0</v>
      </c>
    </row>
    <row r="153" spans="1:9">
      <c r="A153" s="17" t="str">
        <f>HLOOKUP(INDICE!$F$2,Nombres!$C$3:$D$636,61,FALSE)</f>
        <v>Depósitos de la clientela</v>
      </c>
      <c r="B153" s="83">
        <v>1068899.493142115</v>
      </c>
      <c r="C153" s="83">
        <v>1438415.8047556547</v>
      </c>
      <c r="D153" s="83">
        <v>1484654.6566702093</v>
      </c>
      <c r="E153" s="95">
        <v>1653924.7395357061</v>
      </c>
      <c r="F153" s="75">
        <v>1840945.6289544408</v>
      </c>
      <c r="G153" s="75">
        <v>0</v>
      </c>
      <c r="H153" s="75">
        <v>0</v>
      </c>
      <c r="I153" s="75">
        <v>0</v>
      </c>
    </row>
    <row r="154" spans="1:9">
      <c r="A154" s="17" t="str">
        <f>HLOOKUP(INDICE!$F$2,Nombres!$C$3:$D$636,62,FALSE)</f>
        <v>Valores representativos de deuda emitidos</v>
      </c>
      <c r="B154" s="75">
        <v>60589.434198187912</v>
      </c>
      <c r="C154" s="75">
        <v>80985.617675683752</v>
      </c>
      <c r="D154" s="75">
        <v>80679.584663875605</v>
      </c>
      <c r="E154" s="76">
        <v>89365.070778760128</v>
      </c>
      <c r="F154" s="75">
        <v>108852.10582455053</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3">
        <f>+B150-B151-B152-B153-B154-B157</f>
        <v>106134.00494731142</v>
      </c>
      <c r="C156" s="83">
        <f t="shared" ref="C156:I156" si="26">+C150-C151-C152-C153-C154-C157</f>
        <v>52418.842688682023</v>
      </c>
      <c r="D156" s="83">
        <f t="shared" si="26"/>
        <v>125886.89479480858</v>
      </c>
      <c r="E156" s="95">
        <f t="shared" si="26"/>
        <v>141041.71545286721</v>
      </c>
      <c r="F156" s="75">
        <f t="shared" si="26"/>
        <v>154530.11971096043</v>
      </c>
      <c r="G156" s="75">
        <f t="shared" si="26"/>
        <v>0</v>
      </c>
      <c r="H156" s="75">
        <f t="shared" si="26"/>
        <v>0</v>
      </c>
      <c r="I156" s="75">
        <f t="shared" si="26"/>
        <v>0</v>
      </c>
    </row>
    <row r="157" spans="1:9">
      <c r="A157" s="17" t="str">
        <f>HLOOKUP(INDICE!$F$2,Nombres!$C$3:$D$636,282,FALSE)</f>
        <v>Dotación de capital regulatorio</v>
      </c>
      <c r="B157" s="75">
        <v>149406.19885323342</v>
      </c>
      <c r="C157" s="75">
        <v>206089.43198725389</v>
      </c>
      <c r="D157" s="75">
        <v>189449.01600470499</v>
      </c>
      <c r="E157" s="75">
        <v>210205.85127889609</v>
      </c>
      <c r="F157" s="75">
        <v>249622.2277952825</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65" t="str">
        <f>HLOOKUP(INDICE!$F$2,Nombres!$C$3:$D$636,65,FALSE)</f>
        <v>Indicadores relevantes y de gestión</v>
      </c>
      <c r="B160" s="66"/>
      <c r="C160" s="66"/>
      <c r="D160" s="66"/>
      <c r="E160" s="66"/>
      <c r="F160" s="104"/>
      <c r="G160" s="104"/>
      <c r="H160" s="104"/>
      <c r="I160" s="104"/>
    </row>
    <row r="161" spans="1:15">
      <c r="A161" s="67" t="str">
        <f>HLOOKUP(INDICE!$F$2,Nombres!$C$3:$D$636,77,FALSE)</f>
        <v>(Millones de liras turcas)</v>
      </c>
      <c r="B161" s="62"/>
      <c r="C161" s="62"/>
      <c r="D161" s="62"/>
      <c r="E161" s="62"/>
      <c r="F161" s="105"/>
      <c r="G161" s="75"/>
      <c r="H161" s="75"/>
      <c r="I161" s="75"/>
    </row>
    <row r="162" spans="1:15" ht="15.75" customHeight="1">
      <c r="A162" s="62"/>
      <c r="B162" s="84">
        <f t="shared" ref="B162:I162" si="27">+B$30</f>
        <v>45016</v>
      </c>
      <c r="C162" s="84">
        <f t="shared" si="27"/>
        <v>45107</v>
      </c>
      <c r="D162" s="84">
        <f t="shared" si="27"/>
        <v>45199</v>
      </c>
      <c r="E162" s="98">
        <f t="shared" si="27"/>
        <v>45291</v>
      </c>
      <c r="F162" s="84">
        <f t="shared" si="27"/>
        <v>45382</v>
      </c>
      <c r="G162" s="84">
        <f t="shared" si="27"/>
        <v>45473</v>
      </c>
      <c r="H162" s="84">
        <f t="shared" si="27"/>
        <v>45565</v>
      </c>
      <c r="I162" s="84">
        <f t="shared" si="27"/>
        <v>45657</v>
      </c>
    </row>
    <row r="163" spans="1:15" ht="15.75" customHeight="1">
      <c r="A163" s="17" t="str">
        <f>HLOOKUP(INDICE!$F$2,Nombres!$C$3:$D$636,66,FALSE)</f>
        <v>Préstamos y anticipos a la clientela bruto (*)</v>
      </c>
      <c r="B163" s="75">
        <v>856691.77015816572</v>
      </c>
      <c r="C163" s="75">
        <v>1060264.1705104657</v>
      </c>
      <c r="D163" s="75">
        <v>1139011.5870264918</v>
      </c>
      <c r="E163" s="76">
        <v>1275350.9022264902</v>
      </c>
      <c r="F163" s="75">
        <v>1441300.8138926332</v>
      </c>
      <c r="G163" s="75">
        <v>0</v>
      </c>
      <c r="H163" s="75">
        <v>0</v>
      </c>
      <c r="I163" s="75">
        <v>0</v>
      </c>
    </row>
    <row r="164" spans="1:15" ht="15.75" customHeight="1">
      <c r="A164" s="17" t="str">
        <f>HLOOKUP(INDICE!$F$2,Nombres!$C$3:$D$636,67,FALSE)</f>
        <v>Depósitos de clientes en gestión (**)</v>
      </c>
      <c r="B164" s="75">
        <v>1039115.4809070344</v>
      </c>
      <c r="C164" s="75">
        <v>1402368.2244238171</v>
      </c>
      <c r="D164" s="75">
        <v>1446019.286964508</v>
      </c>
      <c r="E164" s="76">
        <v>1610470.5491586109</v>
      </c>
      <c r="F164" s="75">
        <v>1760982.7237646396</v>
      </c>
      <c r="G164" s="75">
        <v>0</v>
      </c>
      <c r="H164" s="75">
        <v>0</v>
      </c>
      <c r="I164" s="75">
        <v>0</v>
      </c>
    </row>
    <row r="165" spans="1:15" ht="15.75" customHeight="1">
      <c r="A165" s="17" t="str">
        <f>HLOOKUP(INDICE!$F$2,Nombres!$C$3:$D$636,68,FALSE)</f>
        <v>Fondos de inversión y carteras gestionadas</v>
      </c>
      <c r="B165" s="75">
        <v>89102.137295642795</v>
      </c>
      <c r="C165" s="75">
        <v>109047.93910072325</v>
      </c>
      <c r="D165" s="75">
        <v>130259.33095526742</v>
      </c>
      <c r="E165" s="76">
        <v>143224.56191502509</v>
      </c>
      <c r="F165" s="75">
        <v>215665.59685584367</v>
      </c>
      <c r="G165" s="75">
        <v>0</v>
      </c>
      <c r="H165" s="75">
        <v>0</v>
      </c>
      <c r="I165" s="75">
        <v>0</v>
      </c>
    </row>
    <row r="166" spans="1:15" ht="15.75" customHeight="1">
      <c r="A166" s="17" t="str">
        <f>HLOOKUP(INDICE!$F$2,Nombres!$C$3:$D$636,69,FALSE)</f>
        <v>Fondos de pensiones</v>
      </c>
      <c r="B166" s="75">
        <v>67191.416886930645</v>
      </c>
      <c r="C166" s="75">
        <v>83531.485179313619</v>
      </c>
      <c r="D166" s="75">
        <v>99063.327555947064</v>
      </c>
      <c r="E166" s="76">
        <v>110439.86992217957</v>
      </c>
      <c r="F166" s="75">
        <v>133397.99964453626</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1" t="str">
        <f>HLOOKUP(INDICE!$F$2,Nombres!$C$3:$D$636,71,FALSE)</f>
        <v>(*) No incluye las adquisiciones temporales de activos.</v>
      </c>
      <c r="B168" s="83"/>
      <c r="C168" s="83"/>
      <c r="D168" s="83"/>
      <c r="E168" s="83"/>
      <c r="F168" s="75"/>
      <c r="G168" s="75"/>
      <c r="H168" s="75"/>
      <c r="I168" s="75"/>
    </row>
    <row r="169" spans="1:15">
      <c r="A169" s="91"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row r="1006" spans="1:1">
      <c r="A1006" s="63" t="s">
        <v>550</v>
      </c>
    </row>
  </sheetData>
  <mergeCells count="6">
    <mergeCell ref="B6:E6"/>
    <mergeCell ref="F6:I6"/>
    <mergeCell ref="B62:E62"/>
    <mergeCell ref="F62:I62"/>
    <mergeCell ref="B118:E118"/>
    <mergeCell ref="F118:I118"/>
  </mergeCells>
  <conditionalFormatting sqref="B26:I26">
    <cfRule type="cellIs" dxfId="70" priority="3" operator="notBetween">
      <formula>0.5</formula>
      <formula>-0.5</formula>
    </cfRule>
  </conditionalFormatting>
  <conditionalFormatting sqref="B82:I82">
    <cfRule type="cellIs" dxfId="69" priority="2" operator="notBetween">
      <formula>0.5</formula>
      <formula>-0.5</formula>
    </cfRule>
  </conditionalFormatting>
  <conditionalFormatting sqref="B138:I138">
    <cfRule type="cellIs" dxfId="68" priority="1" operator="notBetween">
      <formula>0.5</formula>
      <formula>-0.5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zoomScale="90" zoomScaleNormal="90" workbookViewId="0">
      <selection activeCell="A41" sqref="A41"/>
    </sheetView>
  </sheetViews>
  <sheetFormatPr baseColWidth="10" defaultColWidth="11.453125" defaultRowHeight="14.5"/>
  <cols>
    <col min="1" max="1" width="66.54296875" style="63" customWidth="1"/>
    <col min="2" max="6" width="11.453125" style="63"/>
    <col min="7" max="9" width="0" style="63" hidden="1" customWidth="1"/>
    <col min="10" max="16384" width="11.453125" style="63"/>
  </cols>
  <sheetData>
    <row r="1" spans="1:9" ht="17">
      <c r="A1" s="61" t="str">
        <f>HLOOKUP(INDICE!$F$2,Nombres!$C$3:$D$636,283,FALSE)</f>
        <v xml:space="preserve">América del Sur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1189.6238201899998</v>
      </c>
      <c r="C8" s="25">
        <v>1313.1792896800002</v>
      </c>
      <c r="D8" s="25">
        <v>1389.3750772999995</v>
      </c>
      <c r="E8" s="73">
        <v>501.51407991999986</v>
      </c>
      <c r="F8" s="74">
        <v>1555.3766422900003</v>
      </c>
      <c r="G8" s="74">
        <v>0</v>
      </c>
      <c r="H8" s="74">
        <v>0</v>
      </c>
      <c r="I8" s="74">
        <v>0</v>
      </c>
    </row>
    <row r="9" spans="1:9">
      <c r="A9" s="17" t="str">
        <f>HLOOKUP(INDICE!$F$2,Nombres!$C$3:$D$636,34,FALSE)</f>
        <v>Comisiones netas</v>
      </c>
      <c r="B9" s="75">
        <v>184.20062959999996</v>
      </c>
      <c r="C9" s="75">
        <v>226.99328596999999</v>
      </c>
      <c r="D9" s="75">
        <v>172.59634488</v>
      </c>
      <c r="E9" s="76">
        <v>115.87230043000002</v>
      </c>
      <c r="F9" s="75">
        <v>192.7768289</v>
      </c>
      <c r="G9" s="75">
        <v>0</v>
      </c>
      <c r="H9" s="75">
        <v>0</v>
      </c>
      <c r="I9" s="75">
        <v>0</v>
      </c>
    </row>
    <row r="10" spans="1:9">
      <c r="A10" s="17" t="str">
        <f>HLOOKUP(INDICE!$F$2,Nombres!$C$3:$D$636,35,FALSE)</f>
        <v>Resultados de operaciones financieras</v>
      </c>
      <c r="B10" s="75">
        <v>127.07239331</v>
      </c>
      <c r="C10" s="75">
        <v>140.85826972000001</v>
      </c>
      <c r="D10" s="75">
        <v>117.69353204999999</v>
      </c>
      <c r="E10" s="76">
        <v>247.53606767000008</v>
      </c>
      <c r="F10" s="75">
        <v>196.15807856000001</v>
      </c>
      <c r="G10" s="75">
        <v>0</v>
      </c>
      <c r="H10" s="75">
        <v>0</v>
      </c>
      <c r="I10" s="75">
        <v>0</v>
      </c>
    </row>
    <row r="11" spans="1:9">
      <c r="A11" s="17" t="str">
        <f>HLOOKUP(INDICE!$F$2,Nombres!$C$3:$D$636,36,FALSE)</f>
        <v>Otros ingresos y cargas de explotación</v>
      </c>
      <c r="B11" s="75">
        <v>-326.20599999999996</v>
      </c>
      <c r="C11" s="75">
        <v>-440.79600000000005</v>
      </c>
      <c r="D11" s="75">
        <v>-517.79899999999998</v>
      </c>
      <c r="E11" s="76">
        <v>-110.40700000000027</v>
      </c>
      <c r="F11" s="75">
        <v>-743.56200000999979</v>
      </c>
      <c r="G11" s="75">
        <v>0</v>
      </c>
      <c r="H11" s="75">
        <v>0</v>
      </c>
      <c r="I11" s="75">
        <v>0</v>
      </c>
    </row>
    <row r="12" spans="1:9">
      <c r="A12" s="25" t="str">
        <f>HLOOKUP(INDICE!$F$2,Nombres!$C$3:$D$636,37,FALSE)</f>
        <v>Margen bruto</v>
      </c>
      <c r="B12" s="25">
        <f>+SUM(B8:B11)</f>
        <v>1174.6908430999999</v>
      </c>
      <c r="C12" s="25">
        <f t="shared" ref="C12:I12" si="0">+SUM(C8:C11)</f>
        <v>1240.2348453700001</v>
      </c>
      <c r="D12" s="25">
        <f t="shared" si="0"/>
        <v>1161.8659542299995</v>
      </c>
      <c r="E12" s="73">
        <f t="shared" si="0"/>
        <v>754.51544801999967</v>
      </c>
      <c r="F12" s="74">
        <f t="shared" si="0"/>
        <v>1200.7495497400005</v>
      </c>
      <c r="G12" s="74">
        <f t="shared" si="0"/>
        <v>0</v>
      </c>
      <c r="H12" s="74">
        <f t="shared" si="0"/>
        <v>0</v>
      </c>
      <c r="I12" s="74">
        <f t="shared" si="0"/>
        <v>0</v>
      </c>
    </row>
    <row r="13" spans="1:9">
      <c r="A13" s="17" t="str">
        <f>HLOOKUP(INDICE!$F$2,Nombres!$C$3:$D$636,38,FALSE)</f>
        <v>Gastos de explotación</v>
      </c>
      <c r="B13" s="75">
        <v>-537.25605995000001</v>
      </c>
      <c r="C13" s="75">
        <v>-553.80199219999997</v>
      </c>
      <c r="D13" s="75">
        <v>-598.15961076999997</v>
      </c>
      <c r="E13" s="76">
        <v>-261.28813123000009</v>
      </c>
      <c r="F13" s="75">
        <v>-600.3325992099999</v>
      </c>
      <c r="G13" s="75">
        <v>0</v>
      </c>
      <c r="H13" s="75">
        <v>0</v>
      </c>
      <c r="I13" s="75">
        <v>0</v>
      </c>
    </row>
    <row r="14" spans="1:9">
      <c r="A14" s="17" t="str">
        <f>HLOOKUP(INDICE!$F$2,Nombres!$C$3:$D$636,39,FALSE)</f>
        <v xml:space="preserve">  Gastos de administración</v>
      </c>
      <c r="B14" s="75">
        <v>-494.31605995000007</v>
      </c>
      <c r="C14" s="75">
        <v>-507.7119922</v>
      </c>
      <c r="D14" s="75">
        <v>-551.27861076999989</v>
      </c>
      <c r="E14" s="76">
        <v>-231.73113122999999</v>
      </c>
      <c r="F14" s="75">
        <v>-551.70059920000006</v>
      </c>
      <c r="G14" s="75">
        <v>0</v>
      </c>
      <c r="H14" s="75">
        <v>0</v>
      </c>
      <c r="I14" s="75">
        <v>0</v>
      </c>
    </row>
    <row r="15" spans="1:9">
      <c r="A15" s="77" t="str">
        <f>HLOOKUP(INDICE!$F$2,Nombres!$C$3:$D$636,40,FALSE)</f>
        <v xml:space="preserve">  Gastos de personal</v>
      </c>
      <c r="B15" s="75">
        <v>-251.67365670999999</v>
      </c>
      <c r="C15" s="75">
        <v>-253.56663950000001</v>
      </c>
      <c r="D15" s="75">
        <v>-273.69444550000003</v>
      </c>
      <c r="E15" s="76">
        <v>-125.11981570000003</v>
      </c>
      <c r="F15" s="75">
        <v>-272.87282833999996</v>
      </c>
      <c r="G15" s="75">
        <v>0</v>
      </c>
      <c r="H15" s="75">
        <v>0</v>
      </c>
      <c r="I15" s="75">
        <v>0</v>
      </c>
    </row>
    <row r="16" spans="1:9">
      <c r="A16" s="77" t="str">
        <f>HLOOKUP(INDICE!$F$2,Nombres!$C$3:$D$636,41,FALSE)</f>
        <v xml:space="preserve">  Otros gastos de administración</v>
      </c>
      <c r="B16" s="75">
        <v>-242.64240324000002</v>
      </c>
      <c r="C16" s="75">
        <v>-254.14535270000002</v>
      </c>
      <c r="D16" s="75">
        <v>-277.58416526999997</v>
      </c>
      <c r="E16" s="76">
        <v>-106.61131553000001</v>
      </c>
      <c r="F16" s="75">
        <v>-278.82777085999999</v>
      </c>
      <c r="G16" s="75">
        <v>0</v>
      </c>
      <c r="H16" s="75">
        <v>0</v>
      </c>
      <c r="I16" s="75">
        <v>0</v>
      </c>
    </row>
    <row r="17" spans="1:10">
      <c r="A17" s="17" t="str">
        <f>HLOOKUP(INDICE!$F$2,Nombres!$C$3:$D$636,42,FALSE)</f>
        <v xml:space="preserve">  Amortización</v>
      </c>
      <c r="B17" s="75">
        <v>-42.940000000000005</v>
      </c>
      <c r="C17" s="75">
        <v>-46.09</v>
      </c>
      <c r="D17" s="75">
        <v>-46.881</v>
      </c>
      <c r="E17" s="76">
        <v>-29.557000000000002</v>
      </c>
      <c r="F17" s="75">
        <v>-48.632000009999999</v>
      </c>
      <c r="G17" s="75">
        <v>0</v>
      </c>
      <c r="H17" s="75">
        <v>0</v>
      </c>
      <c r="I17" s="75">
        <v>0</v>
      </c>
    </row>
    <row r="18" spans="1:10">
      <c r="A18" s="25" t="str">
        <f>HLOOKUP(INDICE!$F$2,Nombres!$C$3:$D$636,43,FALSE)</f>
        <v>Margen neto</v>
      </c>
      <c r="B18" s="25">
        <f>+B12+B13</f>
        <v>637.43478314999993</v>
      </c>
      <c r="C18" s="25">
        <f t="shared" ref="C18:I18" si="1">+C12+C13</f>
        <v>686.43285317000016</v>
      </c>
      <c r="D18" s="25">
        <f t="shared" si="1"/>
        <v>563.70634345999952</v>
      </c>
      <c r="E18" s="73">
        <f t="shared" si="1"/>
        <v>493.22731678999958</v>
      </c>
      <c r="F18" s="74">
        <f t="shared" si="1"/>
        <v>600.41695053000058</v>
      </c>
      <c r="G18" s="74">
        <f t="shared" si="1"/>
        <v>0</v>
      </c>
      <c r="H18" s="74">
        <f t="shared" si="1"/>
        <v>0</v>
      </c>
      <c r="I18" s="74">
        <f t="shared" si="1"/>
        <v>0</v>
      </c>
    </row>
    <row r="19" spans="1:10">
      <c r="A19" s="17" t="str">
        <f>HLOOKUP(INDICE!$F$2,Nombres!$C$3:$D$636,44,FALSE)</f>
        <v>Deterioro de activos financieros no valorados a valor razonable con cambios en resultados</v>
      </c>
      <c r="B19" s="75">
        <v>-227.27700000000004</v>
      </c>
      <c r="C19" s="75">
        <v>-311.43000000000006</v>
      </c>
      <c r="D19" s="75">
        <v>-324.798</v>
      </c>
      <c r="E19" s="76">
        <v>-270.56600000000003</v>
      </c>
      <c r="F19" s="75">
        <v>-353.79999999999995</v>
      </c>
      <c r="G19" s="75">
        <v>0</v>
      </c>
      <c r="H19" s="75">
        <v>0</v>
      </c>
      <c r="I19" s="75">
        <v>0</v>
      </c>
    </row>
    <row r="20" spans="1:10">
      <c r="A20" s="17" t="str">
        <f>HLOOKUP(INDICE!$F$2,Nombres!$C$3:$D$636,45,FALSE)</f>
        <v>Provisiones o reversión de provisiones y otros resultados</v>
      </c>
      <c r="B20" s="75">
        <v>-8.828408989999998</v>
      </c>
      <c r="C20" s="75">
        <v>-4.3855009999999988</v>
      </c>
      <c r="D20" s="75">
        <v>-2.0352150000000027</v>
      </c>
      <c r="E20" s="76">
        <v>-42.332298000000023</v>
      </c>
      <c r="F20" s="75">
        <v>-45.248413000000006</v>
      </c>
      <c r="G20" s="75">
        <v>0</v>
      </c>
      <c r="H20" s="75">
        <v>0</v>
      </c>
      <c r="I20" s="75">
        <v>0</v>
      </c>
    </row>
    <row r="21" spans="1:10">
      <c r="A21" s="25" t="str">
        <f>HLOOKUP(INDICE!$F$2,Nombres!$C$3:$D$636,46,FALSE)</f>
        <v>Resultado antes de impuestos</v>
      </c>
      <c r="B21" s="25">
        <f>+B18+B19+B20</f>
        <v>401.32937415999987</v>
      </c>
      <c r="C21" s="25">
        <f t="shared" ref="C21:I21" si="2">+C18+C19+C20</f>
        <v>370.61735217000012</v>
      </c>
      <c r="D21" s="25">
        <f t="shared" si="2"/>
        <v>236.87312845999952</v>
      </c>
      <c r="E21" s="73">
        <f t="shared" si="2"/>
        <v>180.32901878999951</v>
      </c>
      <c r="F21" s="74">
        <f t="shared" si="2"/>
        <v>201.36853753000062</v>
      </c>
      <c r="G21" s="74">
        <f t="shared" si="2"/>
        <v>0</v>
      </c>
      <c r="H21" s="74">
        <f t="shared" si="2"/>
        <v>0</v>
      </c>
      <c r="I21" s="74">
        <f t="shared" si="2"/>
        <v>0</v>
      </c>
    </row>
    <row r="22" spans="1:10">
      <c r="A22" s="17" t="str">
        <f>HLOOKUP(INDICE!$F$2,Nombres!$C$3:$D$636,47,FALSE)</f>
        <v>Impuesto sobre beneficios</v>
      </c>
      <c r="B22" s="75">
        <v>-122.35917173000001</v>
      </c>
      <c r="C22" s="75">
        <v>-103.26069354999997</v>
      </c>
      <c r="D22" s="75">
        <v>-35.725093159999993</v>
      </c>
      <c r="E22" s="76">
        <v>-24.697987240000003</v>
      </c>
      <c r="F22" s="75">
        <v>-6.5580133699999976</v>
      </c>
      <c r="G22" s="75">
        <v>0</v>
      </c>
      <c r="H22" s="75">
        <v>0</v>
      </c>
      <c r="I22" s="75">
        <v>0</v>
      </c>
    </row>
    <row r="23" spans="1:10">
      <c r="A23" s="25" t="str">
        <f>HLOOKUP(INDICE!$F$2,Nombres!$C$3:$D$636,48,FALSE)</f>
        <v>Resultado del ejercicio</v>
      </c>
      <c r="B23" s="25">
        <f>+B21+B22</f>
        <v>278.97020242999986</v>
      </c>
      <c r="C23" s="25">
        <f t="shared" ref="C23:I23" si="3">+C21+C22</f>
        <v>267.35665862000013</v>
      </c>
      <c r="D23" s="25">
        <f t="shared" si="3"/>
        <v>201.14803529999952</v>
      </c>
      <c r="E23" s="73">
        <f t="shared" si="3"/>
        <v>155.63103154999951</v>
      </c>
      <c r="F23" s="74">
        <f t="shared" si="3"/>
        <v>194.81052416000063</v>
      </c>
      <c r="G23" s="74">
        <f t="shared" si="3"/>
        <v>0</v>
      </c>
      <c r="H23" s="74">
        <f t="shared" si="3"/>
        <v>0</v>
      </c>
      <c r="I23" s="74">
        <f t="shared" si="3"/>
        <v>0</v>
      </c>
    </row>
    <row r="24" spans="1:10">
      <c r="A24" s="17" t="str">
        <f>HLOOKUP(INDICE!$F$2,Nombres!$C$3:$D$636,49,FALSE)</f>
        <v>Minoritarios</v>
      </c>
      <c r="B24" s="75">
        <v>-98.302206689999991</v>
      </c>
      <c r="C24" s="75">
        <v>-87.053725619999994</v>
      </c>
      <c r="D24" s="75">
        <v>-74.48317505</v>
      </c>
      <c r="E24" s="76">
        <v>-42.159339880000005</v>
      </c>
      <c r="F24" s="75">
        <v>-75.324778909999992</v>
      </c>
      <c r="G24" s="75">
        <v>0</v>
      </c>
      <c r="H24" s="75">
        <v>0</v>
      </c>
      <c r="I24" s="75">
        <v>0</v>
      </c>
    </row>
    <row r="25" spans="1:10" ht="15.75" customHeight="1">
      <c r="A25" s="19" t="str">
        <f>HLOOKUP(INDICE!$F$2,Nombres!$C$3:$D$636,50,FALSE)</f>
        <v>Resultado atribuido</v>
      </c>
      <c r="B25" s="19">
        <f>+B23+B24</f>
        <v>180.66799573999987</v>
      </c>
      <c r="C25" s="19">
        <f t="shared" ref="C25:I25" si="4">+C23+C24</f>
        <v>180.30293300000014</v>
      </c>
      <c r="D25" s="19">
        <f t="shared" si="4"/>
        <v>126.66486024999952</v>
      </c>
      <c r="E25" s="19">
        <f t="shared" si="4"/>
        <v>113.4716916699995</v>
      </c>
      <c r="F25" s="94">
        <f t="shared" si="4"/>
        <v>119.48574525000063</v>
      </c>
      <c r="G25" s="94">
        <f t="shared" si="4"/>
        <v>0</v>
      </c>
      <c r="H25" s="94">
        <f t="shared" si="4"/>
        <v>0</v>
      </c>
      <c r="I25" s="94">
        <f t="shared" si="4"/>
        <v>0</v>
      </c>
    </row>
    <row r="26" spans="1:10" ht="20.25" customHeight="1">
      <c r="A26" s="91"/>
      <c r="B26" s="99">
        <v>0</v>
      </c>
      <c r="C26" s="99">
        <v>0</v>
      </c>
      <c r="D26" s="99">
        <v>-3.4106051316484809E-13</v>
      </c>
      <c r="E26" s="99">
        <v>-3.5527136788005009E-13</v>
      </c>
      <c r="F26" s="99">
        <v>3.1263880373444408E-13</v>
      </c>
      <c r="G26" s="99">
        <v>0</v>
      </c>
      <c r="H26" s="99">
        <v>0</v>
      </c>
      <c r="I26" s="99">
        <v>0</v>
      </c>
    </row>
    <row r="27" spans="1:10" ht="21" customHeight="1">
      <c r="A27" s="25"/>
      <c r="B27" s="25"/>
      <c r="C27" s="25"/>
      <c r="D27" s="25"/>
      <c r="E27" s="25"/>
      <c r="F27" s="25"/>
      <c r="G27" s="25"/>
      <c r="H27" s="25"/>
      <c r="I27" s="25"/>
    </row>
    <row r="28" spans="1:10" ht="17">
      <c r="A28" s="65" t="str">
        <f>HLOOKUP(INDICE!$F$2,Nombres!$C$3:$D$636,51,FALSE)</f>
        <v>Balances</v>
      </c>
      <c r="B28" s="66"/>
      <c r="C28" s="66"/>
      <c r="D28" s="66"/>
      <c r="E28" s="66"/>
      <c r="F28" s="66"/>
      <c r="G28" s="66"/>
      <c r="H28" s="66"/>
      <c r="I28" s="66"/>
    </row>
    <row r="29" spans="1:10">
      <c r="A29" s="67" t="str">
        <f>HLOOKUP(INDICE!$F$2,Nombres!$C$3:$D$636,32,FALSE)</f>
        <v>(Millones de euros)</v>
      </c>
      <c r="B29" s="62"/>
      <c r="C29" s="82"/>
      <c r="D29" s="82"/>
      <c r="E29" s="82"/>
      <c r="F29" s="62"/>
      <c r="G29" s="83"/>
      <c r="H29" s="83"/>
      <c r="I29" s="83"/>
    </row>
    <row r="30" spans="1:10">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10">
      <c r="A31" s="17" t="str">
        <f>HLOOKUP(INDICE!$F$2,Nombres!$C$3:$D$636,52,FALSE)</f>
        <v>Efectivo, saldos en efectivo en bancos centrales y otros depósitos a la vista</v>
      </c>
      <c r="B31" s="75">
        <v>7645.817</v>
      </c>
      <c r="C31" s="75">
        <v>8238.3989999999994</v>
      </c>
      <c r="D31" s="75">
        <v>7228.1850000000004</v>
      </c>
      <c r="E31" s="76">
        <v>6585.0939999999991</v>
      </c>
      <c r="F31" s="75">
        <v>7626.2019999999993</v>
      </c>
      <c r="G31" s="75">
        <v>0</v>
      </c>
      <c r="H31" s="75">
        <v>0</v>
      </c>
      <c r="I31" s="75">
        <v>0</v>
      </c>
      <c r="J31" s="112"/>
    </row>
    <row r="32" spans="1:10">
      <c r="A32" s="17" t="str">
        <f>HLOOKUP(INDICE!$F$2,Nombres!$C$3:$D$636,53,FALSE)</f>
        <v>Activos financieros a valor razonable</v>
      </c>
      <c r="B32" s="83">
        <v>10559.294</v>
      </c>
      <c r="C32" s="83">
        <v>12043.437</v>
      </c>
      <c r="D32" s="83">
        <v>11519.141</v>
      </c>
      <c r="E32" s="95">
        <v>10507.946</v>
      </c>
      <c r="F32" s="75">
        <v>9822.8300000000017</v>
      </c>
      <c r="G32" s="75">
        <v>0</v>
      </c>
      <c r="H32" s="75">
        <v>0</v>
      </c>
      <c r="I32" s="75">
        <v>0</v>
      </c>
      <c r="J32" s="112"/>
    </row>
    <row r="33" spans="1:10">
      <c r="A33" s="17" t="str">
        <f>HLOOKUP(INDICE!$F$2,Nombres!$C$3:$D$636,54,FALSE)</f>
        <v>Activos financieros a coste amortizado</v>
      </c>
      <c r="B33" s="75">
        <v>41733.510999999991</v>
      </c>
      <c r="C33" s="75">
        <v>44106.899000000005</v>
      </c>
      <c r="D33" s="75">
        <v>44999.981</v>
      </c>
      <c r="E33" s="76">
        <v>44507.674999999996</v>
      </c>
      <c r="F33" s="75">
        <v>47352.849000000002</v>
      </c>
      <c r="G33" s="75">
        <v>0</v>
      </c>
      <c r="H33" s="75">
        <v>0</v>
      </c>
      <c r="I33" s="75">
        <v>0</v>
      </c>
      <c r="J33" s="112"/>
    </row>
    <row r="34" spans="1:10">
      <c r="A34" s="17" t="str">
        <f>HLOOKUP(INDICE!$F$2,Nombres!$C$3:$D$636,55,FALSE)</f>
        <v xml:space="preserve">    de los que préstamos y anticipos a la clientela</v>
      </c>
      <c r="B34" s="75">
        <v>39185.031999999999</v>
      </c>
      <c r="C34" s="75">
        <v>41548.271000000008</v>
      </c>
      <c r="D34" s="75">
        <v>42118.891000000003</v>
      </c>
      <c r="E34" s="76">
        <v>41212.787999999993</v>
      </c>
      <c r="F34" s="75">
        <v>42761.687000000005</v>
      </c>
      <c r="G34" s="75">
        <v>0</v>
      </c>
      <c r="H34" s="75">
        <v>0</v>
      </c>
      <c r="I34" s="75">
        <v>0</v>
      </c>
      <c r="J34" s="112"/>
    </row>
    <row r="35" spans="1:10" hidden="1">
      <c r="A35" s="17"/>
      <c r="B35" s="75"/>
      <c r="C35" s="75"/>
      <c r="D35" s="75"/>
      <c r="E35" s="76"/>
      <c r="F35" s="75"/>
      <c r="G35" s="75"/>
      <c r="H35" s="75"/>
      <c r="I35" s="75"/>
      <c r="J35" s="112"/>
    </row>
    <row r="36" spans="1:10">
      <c r="A36" s="17" t="str">
        <f>HLOOKUP(INDICE!$F$2,Nombres!$C$3:$D$636,56,FALSE)</f>
        <v>Activos tangibles</v>
      </c>
      <c r="B36" s="75">
        <v>1069.8800000000001</v>
      </c>
      <c r="C36" s="75">
        <v>1104.807</v>
      </c>
      <c r="D36" s="75">
        <v>1115.2550000000001</v>
      </c>
      <c r="E36" s="76">
        <v>939.12400000000002</v>
      </c>
      <c r="F36" s="75">
        <v>1132.1170000000002</v>
      </c>
      <c r="G36" s="75">
        <v>0</v>
      </c>
      <c r="H36" s="75">
        <v>0</v>
      </c>
      <c r="I36" s="75">
        <v>0</v>
      </c>
      <c r="J36" s="112"/>
    </row>
    <row r="37" spans="1:10">
      <c r="A37" s="17" t="str">
        <f>HLOOKUP(INDICE!$F$2,Nombres!$C$3:$D$636,57,FALSE)</f>
        <v>Otros activos</v>
      </c>
      <c r="B37" s="83">
        <f t="shared" ref="B37:I37" si="5">+B38-B36-B33-B32-B31</f>
        <v>2054.0011055300029</v>
      </c>
      <c r="C37" s="83">
        <f t="shared" si="5"/>
        <v>2047.7863348500068</v>
      </c>
      <c r="D37" s="83">
        <f t="shared" si="5"/>
        <v>2273.8138003500071</v>
      </c>
      <c r="E37" s="95">
        <f t="shared" si="5"/>
        <v>2238.9707878700083</v>
      </c>
      <c r="F37" s="75">
        <f t="shared" si="5"/>
        <v>2784.6466906500045</v>
      </c>
      <c r="G37" s="75">
        <f t="shared" si="5"/>
        <v>0</v>
      </c>
      <c r="H37" s="75">
        <f t="shared" si="5"/>
        <v>0</v>
      </c>
      <c r="I37" s="75">
        <f t="shared" si="5"/>
        <v>0</v>
      </c>
      <c r="J37" s="112"/>
    </row>
    <row r="38" spans="1:10">
      <c r="A38" s="19" t="str">
        <f>HLOOKUP(INDICE!$F$2,Nombres!$C$3:$D$636,58,FALSE)</f>
        <v>Total activo / pasivo</v>
      </c>
      <c r="B38" s="19">
        <v>63062.503105529991</v>
      </c>
      <c r="C38" s="19">
        <v>67541.328334850012</v>
      </c>
      <c r="D38" s="19">
        <v>67136.375800350012</v>
      </c>
      <c r="E38" s="19">
        <v>64778.809787870006</v>
      </c>
      <c r="F38" s="94">
        <v>68718.644690650006</v>
      </c>
      <c r="G38" s="94">
        <v>0</v>
      </c>
      <c r="H38" s="94">
        <v>0</v>
      </c>
      <c r="I38" s="94">
        <v>0</v>
      </c>
      <c r="J38" s="112"/>
    </row>
    <row r="39" spans="1:10">
      <c r="A39" s="17" t="str">
        <f>HLOOKUP(INDICE!$F$2,Nombres!$C$3:$D$636,59,FALSE)</f>
        <v>Pasivos financieros mantenidos para negociar y designados a valor razonable con cambios en resultados</v>
      </c>
      <c r="B39" s="83">
        <v>2389.8540000000003</v>
      </c>
      <c r="C39" s="83">
        <v>4031.6409999999996</v>
      </c>
      <c r="D39" s="83">
        <v>3209.0889999999995</v>
      </c>
      <c r="E39" s="95">
        <v>3288.8640000000005</v>
      </c>
      <c r="F39" s="75">
        <v>2586.6409999999996</v>
      </c>
      <c r="G39" s="75">
        <v>0</v>
      </c>
      <c r="H39" s="75">
        <v>0</v>
      </c>
      <c r="I39" s="75">
        <v>0</v>
      </c>
      <c r="J39" s="112"/>
    </row>
    <row r="40" spans="1:10">
      <c r="A40" s="17" t="str">
        <f>HLOOKUP(INDICE!$F$2,Nombres!$C$3:$D$636,60,FALSE)</f>
        <v>Depósitos de bancos centrales y entidades de crédito</v>
      </c>
      <c r="B40" s="83">
        <v>5395.4490000000005</v>
      </c>
      <c r="C40" s="83">
        <v>5809.3959999999997</v>
      </c>
      <c r="D40" s="83">
        <v>5120.5549999899995</v>
      </c>
      <c r="E40" s="95">
        <v>5140.4770000000008</v>
      </c>
      <c r="F40" s="75">
        <v>5136.107</v>
      </c>
      <c r="G40" s="75">
        <v>0</v>
      </c>
      <c r="H40" s="75">
        <v>0</v>
      </c>
      <c r="I40" s="75">
        <v>0</v>
      </c>
      <c r="J40" s="112"/>
    </row>
    <row r="41" spans="1:10" ht="15.75" customHeight="1">
      <c r="A41" s="17" t="str">
        <f>HLOOKUP(INDICE!$F$2,Nombres!$C$3:$D$636,61,FALSE)</f>
        <v>Depósitos de la clientela</v>
      </c>
      <c r="B41" s="83">
        <v>40781.550000000003</v>
      </c>
      <c r="C41" s="83">
        <v>43085.597999999998</v>
      </c>
      <c r="D41" s="83">
        <v>44535.178000009997</v>
      </c>
      <c r="E41" s="95">
        <v>42567.368999999999</v>
      </c>
      <c r="F41" s="75">
        <v>44638.062000000005</v>
      </c>
      <c r="G41" s="75">
        <v>0</v>
      </c>
      <c r="H41" s="75">
        <v>0</v>
      </c>
      <c r="I41" s="75">
        <v>0</v>
      </c>
      <c r="J41" s="112"/>
    </row>
    <row r="42" spans="1:10">
      <c r="A42" s="17" t="str">
        <f>HLOOKUP(INDICE!$F$2,Nombres!$C$3:$D$636,62,FALSE)</f>
        <v>Valores representativos de deuda emitidos</v>
      </c>
      <c r="B42" s="75">
        <v>3070.4411996899994</v>
      </c>
      <c r="C42" s="75">
        <v>3211.3943392700003</v>
      </c>
      <c r="D42" s="75">
        <v>3054.7382036699996</v>
      </c>
      <c r="E42" s="76">
        <v>2986.4408249700004</v>
      </c>
      <c r="F42" s="75">
        <v>3057.03622825</v>
      </c>
      <c r="G42" s="75">
        <v>0</v>
      </c>
      <c r="H42" s="75">
        <v>0</v>
      </c>
      <c r="I42" s="75">
        <v>0</v>
      </c>
      <c r="J42" s="112"/>
    </row>
    <row r="43" spans="1:10" hidden="1">
      <c r="A43" s="17"/>
      <c r="B43" s="75"/>
      <c r="C43" s="75"/>
      <c r="D43" s="75"/>
      <c r="E43" s="76"/>
      <c r="F43" s="75"/>
      <c r="G43" s="75"/>
      <c r="H43" s="75"/>
      <c r="I43" s="75"/>
      <c r="J43" s="112"/>
    </row>
    <row r="44" spans="1:10">
      <c r="A44" s="17" t="str">
        <f>HLOOKUP(INDICE!$F$2,Nombres!$C$3:$D$636,63,FALSE)</f>
        <v>Otros pasivos</v>
      </c>
      <c r="B44" s="83">
        <f t="shared" ref="B44:I44" si="6">+B38-B39-B40-B41-B42-B45</f>
        <v>5536.6146067499894</v>
      </c>
      <c r="C44" s="83">
        <f t="shared" si="6"/>
        <v>5122.4668016200085</v>
      </c>
      <c r="D44" s="83">
        <f>+D38-D39-D40-D41-D42-D45</f>
        <v>5188.8119084000109</v>
      </c>
      <c r="E44" s="95">
        <f t="shared" si="6"/>
        <v>4502.1218134700066</v>
      </c>
      <c r="F44" s="75">
        <f t="shared" si="6"/>
        <v>7028.2336845999944</v>
      </c>
      <c r="G44" s="75">
        <f t="shared" si="6"/>
        <v>0</v>
      </c>
      <c r="H44" s="75">
        <f t="shared" si="6"/>
        <v>0</v>
      </c>
      <c r="I44" s="75">
        <f t="shared" si="6"/>
        <v>0</v>
      </c>
      <c r="J44" s="112"/>
    </row>
    <row r="45" spans="1:10">
      <c r="A45" s="17" t="str">
        <f>HLOOKUP(INDICE!$F$2,Nombres!$C$3:$D$636,282,FALSE)</f>
        <v>Dotación de capital regulatorio</v>
      </c>
      <c r="B45" s="75">
        <v>5888.5942990899994</v>
      </c>
      <c r="C45" s="75">
        <v>6280.832193960001</v>
      </c>
      <c r="D45" s="83">
        <v>6028.0036882800005</v>
      </c>
      <c r="E45" s="95">
        <v>6293.5371494299998</v>
      </c>
      <c r="F45" s="75">
        <v>6272.5647778000002</v>
      </c>
      <c r="G45" s="75">
        <v>0</v>
      </c>
      <c r="H45" s="75">
        <v>0</v>
      </c>
      <c r="I45" s="75">
        <v>0</v>
      </c>
      <c r="J45" s="112"/>
    </row>
    <row r="46" spans="1:10">
      <c r="A46" s="91"/>
      <c r="B46" s="83"/>
      <c r="C46" s="83"/>
      <c r="D46" s="83"/>
      <c r="E46" s="83"/>
      <c r="F46" s="75"/>
      <c r="G46" s="75"/>
      <c r="H46" s="75"/>
      <c r="I46" s="75"/>
      <c r="J46" s="112"/>
    </row>
    <row r="47" spans="1:10">
      <c r="A47" s="17"/>
      <c r="B47" s="83"/>
      <c r="C47" s="83"/>
      <c r="D47" s="83"/>
      <c r="E47" s="83"/>
      <c r="F47" s="75"/>
      <c r="G47" s="75"/>
      <c r="H47" s="75"/>
      <c r="I47" s="75"/>
      <c r="J47" s="112"/>
    </row>
    <row r="48" spans="1:10" ht="17">
      <c r="A48" s="65" t="str">
        <f>HLOOKUP(INDICE!$F$2,Nombres!$C$3:$D$636,65,FALSE)</f>
        <v>Indicadores relevantes y de gestión</v>
      </c>
      <c r="B48" s="66"/>
      <c r="C48" s="66"/>
      <c r="D48" s="66"/>
      <c r="E48" s="66"/>
      <c r="F48" s="104"/>
      <c r="G48" s="104"/>
      <c r="H48" s="104"/>
      <c r="I48" s="104"/>
      <c r="J48" s="112"/>
    </row>
    <row r="49" spans="1:12">
      <c r="A49" s="67" t="str">
        <f>HLOOKUP(INDICE!$F$2,Nombres!$C$3:$D$636,32,FALSE)</f>
        <v>(Millones de euros)</v>
      </c>
      <c r="B49" s="62"/>
      <c r="C49" s="62"/>
      <c r="D49" s="62"/>
      <c r="E49" s="62"/>
      <c r="F49" s="105"/>
      <c r="G49" s="75"/>
      <c r="H49" s="75"/>
      <c r="I49" s="75"/>
      <c r="J49" s="112"/>
    </row>
    <row r="50" spans="1:12">
      <c r="A50" s="62"/>
      <c r="B50" s="84">
        <f t="shared" ref="B50:I50" si="7">+B$30</f>
        <v>45016</v>
      </c>
      <c r="C50" s="84">
        <f t="shared" si="7"/>
        <v>45107</v>
      </c>
      <c r="D50" s="84">
        <f t="shared" si="7"/>
        <v>45199</v>
      </c>
      <c r="E50" s="98">
        <f t="shared" si="7"/>
        <v>45291</v>
      </c>
      <c r="F50" s="84">
        <f t="shared" si="7"/>
        <v>45382</v>
      </c>
      <c r="G50" s="84">
        <f t="shared" si="7"/>
        <v>45473</v>
      </c>
      <c r="H50" s="84">
        <f t="shared" si="7"/>
        <v>45565</v>
      </c>
      <c r="I50" s="84">
        <f t="shared" si="7"/>
        <v>45657</v>
      </c>
      <c r="J50" s="112"/>
    </row>
    <row r="51" spans="1:12">
      <c r="A51" s="17" t="str">
        <f>HLOOKUP(INDICE!$F$2,Nombres!$C$3:$D$636,66,FALSE)</f>
        <v>Préstamos y anticipos a la clientela bruto (*)</v>
      </c>
      <c r="B51" s="75">
        <v>41018.972999999998</v>
      </c>
      <c r="C51" s="75">
        <v>43455.298000000003</v>
      </c>
      <c r="D51" s="75">
        <v>44136.65400000001</v>
      </c>
      <c r="E51" s="76">
        <v>43189.22099999999</v>
      </c>
      <c r="F51" s="75">
        <v>44810.100999999995</v>
      </c>
      <c r="G51" s="75">
        <v>0</v>
      </c>
      <c r="H51" s="75">
        <v>0</v>
      </c>
      <c r="I51" s="75">
        <v>0</v>
      </c>
      <c r="J51" s="112"/>
      <c r="L51" s="85"/>
    </row>
    <row r="52" spans="1:12">
      <c r="A52" s="17" t="str">
        <f>HLOOKUP(INDICE!$F$2,Nombres!$C$3:$D$636,67,FALSE)</f>
        <v>Depósitos de clientes en gestión (**)</v>
      </c>
      <c r="B52" s="75">
        <v>40781.549999999996</v>
      </c>
      <c r="C52" s="75">
        <v>43085.597999999998</v>
      </c>
      <c r="D52" s="75">
        <v>44535.178000010004</v>
      </c>
      <c r="E52" s="76">
        <v>42567.369000000006</v>
      </c>
      <c r="F52" s="75">
        <v>44638.061999999991</v>
      </c>
      <c r="G52" s="75">
        <v>0</v>
      </c>
      <c r="H52" s="75">
        <v>0</v>
      </c>
      <c r="I52" s="75">
        <v>0</v>
      </c>
      <c r="J52" s="112"/>
    </row>
    <row r="53" spans="1:12">
      <c r="A53" s="17" t="str">
        <f>HLOOKUP(INDICE!$F$2,Nombres!$C$3:$D$636,68,FALSE)</f>
        <v>Fondos de inversión y carteras gestionadas</v>
      </c>
      <c r="B53" s="75">
        <v>6180.3357676500009</v>
      </c>
      <c r="C53" s="75">
        <v>5925.1255249999995</v>
      </c>
      <c r="D53" s="75">
        <v>6345.4129673900006</v>
      </c>
      <c r="E53" s="76">
        <v>5524.7338026000007</v>
      </c>
      <c r="F53" s="75">
        <v>6027.7061768800004</v>
      </c>
      <c r="G53" s="75">
        <v>0</v>
      </c>
      <c r="H53" s="75">
        <v>0</v>
      </c>
      <c r="I53" s="75">
        <v>0</v>
      </c>
      <c r="J53" s="112"/>
    </row>
    <row r="54" spans="1:12">
      <c r="A54" s="17" t="str">
        <f>HLOOKUP(INDICE!$F$2,Nombres!$C$3:$D$636,69,FALSE)</f>
        <v>Fondos de pensiones</v>
      </c>
      <c r="B54" s="75">
        <v>11790.91146365</v>
      </c>
      <c r="C54" s="75">
        <v>0</v>
      </c>
      <c r="D54" s="75">
        <v>0</v>
      </c>
      <c r="E54" s="76">
        <v>0</v>
      </c>
      <c r="F54" s="75">
        <v>0</v>
      </c>
      <c r="G54" s="75">
        <v>0</v>
      </c>
      <c r="H54" s="75">
        <v>0</v>
      </c>
      <c r="I54" s="75">
        <v>0</v>
      </c>
      <c r="J54" s="112"/>
    </row>
    <row r="55" spans="1:12">
      <c r="A55" s="17" t="str">
        <f>HLOOKUP(INDICE!$F$2,Nombres!$C$3:$D$636,70,FALSE)</f>
        <v>Otros recursos fuera de balance</v>
      </c>
      <c r="B55" s="75">
        <v>0</v>
      </c>
      <c r="C55" s="75">
        <v>0</v>
      </c>
      <c r="D55" s="75">
        <v>0</v>
      </c>
      <c r="E55" s="76">
        <v>0</v>
      </c>
      <c r="F55" s="75">
        <v>0</v>
      </c>
      <c r="G55" s="75">
        <v>0</v>
      </c>
      <c r="H55" s="75">
        <v>0</v>
      </c>
      <c r="I55" s="75">
        <v>0</v>
      </c>
      <c r="J55" s="112"/>
    </row>
    <row r="56" spans="1:12">
      <c r="A56" s="91" t="str">
        <f>HLOOKUP(INDICE!$F$2,Nombres!$C$3:$D$636,71,FALSE)</f>
        <v>(*) No incluye las adquisiciones temporales de activos.</v>
      </c>
      <c r="B56" s="83"/>
      <c r="C56" s="83"/>
      <c r="D56" s="83"/>
      <c r="E56" s="83"/>
      <c r="F56" s="83"/>
      <c r="G56" s="83"/>
      <c r="H56" s="83"/>
      <c r="I56" s="83"/>
    </row>
    <row r="57" spans="1:12">
      <c r="A57" s="91" t="str">
        <f>HLOOKUP(INDICE!$F$2,Nombres!$C$3:$D$636,72,FALSE)</f>
        <v>(**) No incluye las cesiones temporales de activos.</v>
      </c>
      <c r="B57" s="62"/>
      <c r="C57" s="62"/>
      <c r="D57" s="62"/>
      <c r="E57" s="62"/>
      <c r="F57" s="62"/>
      <c r="G57" s="62"/>
      <c r="H57" s="62"/>
      <c r="I57" s="62"/>
    </row>
    <row r="58" spans="1:12">
      <c r="A58" s="91"/>
      <c r="B58" s="62"/>
      <c r="C58" s="62"/>
      <c r="D58" s="62"/>
      <c r="E58" s="62"/>
      <c r="F58" s="62"/>
      <c r="G58" s="62"/>
      <c r="H58" s="62"/>
      <c r="I58" s="62"/>
    </row>
    <row r="59" spans="1:12" ht="17">
      <c r="A59" s="65" t="str">
        <f>HLOOKUP(INDICE!$F$2,Nombres!$C$3:$D$636,31,FALSE)</f>
        <v xml:space="preserve">Cuenta de resultados  </v>
      </c>
      <c r="B59" s="66"/>
      <c r="C59" s="66"/>
      <c r="D59" s="66"/>
      <c r="E59" s="66"/>
      <c r="F59" s="66"/>
      <c r="G59" s="66"/>
      <c r="H59" s="66"/>
      <c r="I59" s="66"/>
    </row>
    <row r="60" spans="1:12">
      <c r="A60" s="67" t="str">
        <f>HLOOKUP(INDICE!$F$2,Nombres!$C$3:$D$636,73,FALSE)</f>
        <v>(Millones de euros constantes)</v>
      </c>
      <c r="B60" s="62"/>
      <c r="C60" s="68"/>
      <c r="D60" s="68"/>
      <c r="E60" s="68"/>
      <c r="F60" s="62"/>
      <c r="G60" s="62"/>
      <c r="H60" s="62"/>
      <c r="I60" s="62"/>
    </row>
    <row r="61" spans="1:12">
      <c r="A61" s="69"/>
      <c r="B61" s="62"/>
      <c r="C61" s="68"/>
      <c r="D61" s="68"/>
      <c r="E61" s="68"/>
      <c r="F61" s="62"/>
      <c r="G61" s="62"/>
      <c r="H61" s="62"/>
      <c r="I61" s="62"/>
    </row>
    <row r="62" spans="1:12">
      <c r="A62" s="70"/>
      <c r="B62" s="299">
        <f>+B$6</f>
        <v>2023</v>
      </c>
      <c r="C62" s="299"/>
      <c r="D62" s="299"/>
      <c r="E62" s="300"/>
      <c r="F62" s="299">
        <f>+F$6</f>
        <v>2024</v>
      </c>
      <c r="G62" s="299"/>
      <c r="H62" s="299"/>
      <c r="I62" s="299"/>
    </row>
    <row r="63" spans="1:12">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c r="A64" s="25" t="str">
        <f>HLOOKUP(INDICE!$F$2,Nombres!$C$3:$D$636,33,FALSE)</f>
        <v>Margen de intereses</v>
      </c>
      <c r="B64" s="25">
        <v>796.96091569160683</v>
      </c>
      <c r="C64" s="25">
        <v>980.40785186451399</v>
      </c>
      <c r="D64" s="25">
        <v>1265.5115059475884</v>
      </c>
      <c r="E64" s="73">
        <v>1361.0199508772275</v>
      </c>
      <c r="F64" s="74">
        <v>1555.3766422899998</v>
      </c>
      <c r="G64" s="74">
        <v>0</v>
      </c>
      <c r="H64" s="74">
        <v>0</v>
      </c>
      <c r="I64" s="74">
        <v>0</v>
      </c>
    </row>
    <row r="65" spans="1:9">
      <c r="A65" s="17" t="str">
        <f>HLOOKUP(INDICE!$F$2,Nombres!$C$3:$D$636,34,FALSE)</f>
        <v>Comisiones netas</v>
      </c>
      <c r="B65" s="75">
        <v>152.40268374982972</v>
      </c>
      <c r="C65" s="75">
        <v>179.43444050661554</v>
      </c>
      <c r="D65" s="75">
        <v>174.55938788951073</v>
      </c>
      <c r="E65" s="76">
        <v>194.78781902993501</v>
      </c>
      <c r="F65" s="75">
        <v>192.7768289</v>
      </c>
      <c r="G65" s="75">
        <v>0</v>
      </c>
      <c r="H65" s="75">
        <v>0</v>
      </c>
      <c r="I65" s="75">
        <v>0</v>
      </c>
    </row>
    <row r="66" spans="1:9">
      <c r="A66" s="17" t="str">
        <f>HLOOKUP(INDICE!$F$2,Nombres!$C$3:$D$636,35,FALSE)</f>
        <v>Resultados de operaciones financieras</v>
      </c>
      <c r="B66" s="75">
        <v>108.31701161394489</v>
      </c>
      <c r="C66" s="75">
        <v>109.60017459382343</v>
      </c>
      <c r="D66" s="75">
        <v>104.35592786655786</v>
      </c>
      <c r="E66" s="76">
        <v>309.03779714462485</v>
      </c>
      <c r="F66" s="75">
        <v>196.15807855999998</v>
      </c>
      <c r="G66" s="75">
        <v>0</v>
      </c>
      <c r="H66" s="75">
        <v>0</v>
      </c>
      <c r="I66" s="75">
        <v>0</v>
      </c>
    </row>
    <row r="67" spans="1:9">
      <c r="A67" s="17" t="str">
        <f>HLOOKUP(INDICE!$F$2,Nombres!$C$3:$D$636,36,FALSE)</f>
        <v>Otros ingresos y cargas de explotación</v>
      </c>
      <c r="B67" s="75">
        <v>-275.85487091095217</v>
      </c>
      <c r="C67" s="75">
        <v>-398.72757741083927</v>
      </c>
      <c r="D67" s="75">
        <v>-493.62072384390905</v>
      </c>
      <c r="E67" s="76">
        <v>-222.38277609315645</v>
      </c>
      <c r="F67" s="75">
        <v>-743.56200000999979</v>
      </c>
      <c r="G67" s="75">
        <v>0</v>
      </c>
      <c r="H67" s="75">
        <v>0</v>
      </c>
      <c r="I67" s="75">
        <v>0</v>
      </c>
    </row>
    <row r="68" spans="1:9">
      <c r="A68" s="25" t="str">
        <f>HLOOKUP(INDICE!$F$2,Nombres!$C$3:$D$636,37,FALSE)</f>
        <v>Margen bruto</v>
      </c>
      <c r="B68" s="25">
        <f>+SUM(B64:B67)</f>
        <v>781.82574014442923</v>
      </c>
      <c r="C68" s="25">
        <f t="shared" ref="C68:I68" si="9">+SUM(C64:C67)</f>
        <v>870.7148895541136</v>
      </c>
      <c r="D68" s="25">
        <f t="shared" si="9"/>
        <v>1050.806097859748</v>
      </c>
      <c r="E68" s="73">
        <f t="shared" si="9"/>
        <v>1642.4627909586309</v>
      </c>
      <c r="F68" s="74">
        <f t="shared" si="9"/>
        <v>1200.74954974</v>
      </c>
      <c r="G68" s="74">
        <f t="shared" si="9"/>
        <v>0</v>
      </c>
      <c r="H68" s="74">
        <f t="shared" si="9"/>
        <v>0</v>
      </c>
      <c r="I68" s="74">
        <f t="shared" si="9"/>
        <v>0</v>
      </c>
    </row>
    <row r="69" spans="1:9">
      <c r="A69" s="17" t="str">
        <f>HLOOKUP(INDICE!$F$2,Nombres!$C$3:$D$636,38,FALSE)</f>
        <v>Gastos de explotación</v>
      </c>
      <c r="B69" s="75">
        <v>-417.57597898481345</v>
      </c>
      <c r="C69" s="75">
        <v>-461.26134309530767</v>
      </c>
      <c r="D69" s="75">
        <v>-557.27858171844707</v>
      </c>
      <c r="E69" s="76">
        <v>-535.28677938988676</v>
      </c>
      <c r="F69" s="75">
        <v>-600.33259921000001</v>
      </c>
      <c r="G69" s="75">
        <v>0</v>
      </c>
      <c r="H69" s="75">
        <v>0</v>
      </c>
      <c r="I69" s="75">
        <v>0</v>
      </c>
    </row>
    <row r="70" spans="1:9">
      <c r="A70" s="17" t="str">
        <f>HLOOKUP(INDICE!$F$2,Nombres!$C$3:$D$636,39,FALSE)</f>
        <v xml:space="preserve">  Gastos de administración</v>
      </c>
      <c r="B70" s="75">
        <v>-376.48862625521951</v>
      </c>
      <c r="C70" s="75">
        <v>-416.53910875214478</v>
      </c>
      <c r="D70" s="75">
        <v>-510.78801700947508</v>
      </c>
      <c r="E70" s="76">
        <v>-500.68427956090102</v>
      </c>
      <c r="F70" s="75">
        <v>-551.70059919999994</v>
      </c>
      <c r="G70" s="75">
        <v>0</v>
      </c>
      <c r="H70" s="75">
        <v>0</v>
      </c>
      <c r="I70" s="75">
        <v>0</v>
      </c>
    </row>
    <row r="71" spans="1:9">
      <c r="A71" s="77" t="str">
        <f>HLOOKUP(INDICE!$F$2,Nombres!$C$3:$D$636,40,FALSE)</f>
        <v xml:space="preserve">  Gastos de personal</v>
      </c>
      <c r="B71" s="75">
        <v>-189.42864654972229</v>
      </c>
      <c r="C71" s="75">
        <v>-206.55402543555297</v>
      </c>
      <c r="D71" s="75">
        <v>-253.57881589936991</v>
      </c>
      <c r="E71" s="76">
        <v>-261.57286302607042</v>
      </c>
      <c r="F71" s="75">
        <v>-272.87282833999996</v>
      </c>
      <c r="G71" s="75">
        <v>0</v>
      </c>
      <c r="H71" s="75">
        <v>0</v>
      </c>
      <c r="I71" s="75">
        <v>0</v>
      </c>
    </row>
    <row r="72" spans="1:9">
      <c r="A72" s="77" t="str">
        <f>HLOOKUP(INDICE!$F$2,Nombres!$C$3:$D$636,41,FALSE)</f>
        <v xml:space="preserve">  Otros gastos de administración</v>
      </c>
      <c r="B72" s="75">
        <v>-187.0599797054972</v>
      </c>
      <c r="C72" s="75">
        <v>-209.98508331659184</v>
      </c>
      <c r="D72" s="75">
        <v>-257.20920111010514</v>
      </c>
      <c r="E72" s="76">
        <v>-239.11141653483065</v>
      </c>
      <c r="F72" s="75">
        <v>-278.82777085999999</v>
      </c>
      <c r="G72" s="75">
        <v>0</v>
      </c>
      <c r="H72" s="75">
        <v>0</v>
      </c>
      <c r="I72" s="75">
        <v>0</v>
      </c>
    </row>
    <row r="73" spans="1:9">
      <c r="A73" s="17" t="str">
        <f>HLOOKUP(INDICE!$F$2,Nombres!$C$3:$D$636,42,FALSE)</f>
        <v xml:space="preserve">  Amortización</v>
      </c>
      <c r="B73" s="75">
        <v>-41.08735272959396</v>
      </c>
      <c r="C73" s="75">
        <v>-44.722234343162782</v>
      </c>
      <c r="D73" s="75">
        <v>-46.490564708971959</v>
      </c>
      <c r="E73" s="76">
        <v>-34.602499828985728</v>
      </c>
      <c r="F73" s="75">
        <v>-48.632000009999999</v>
      </c>
      <c r="G73" s="75">
        <v>0</v>
      </c>
      <c r="H73" s="75">
        <v>0</v>
      </c>
      <c r="I73" s="75">
        <v>0</v>
      </c>
    </row>
    <row r="74" spans="1:9">
      <c r="A74" s="25" t="str">
        <f>HLOOKUP(INDICE!$F$2,Nombres!$C$3:$D$636,43,FALSE)</f>
        <v>Margen neto</v>
      </c>
      <c r="B74" s="25">
        <f>+B68+B69</f>
        <v>364.24976115961579</v>
      </c>
      <c r="C74" s="25">
        <f t="shared" ref="C74:I74" si="10">+C68+C69</f>
        <v>409.45354645880593</v>
      </c>
      <c r="D74" s="25">
        <f t="shared" si="10"/>
        <v>493.52751614130091</v>
      </c>
      <c r="E74" s="73">
        <f t="shared" si="10"/>
        <v>1107.1760115687441</v>
      </c>
      <c r="F74" s="74">
        <f t="shared" si="10"/>
        <v>600.41695053000001</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-201.92274866756568</v>
      </c>
      <c r="C75" s="75">
        <v>-268.17300112016301</v>
      </c>
      <c r="D75" s="75">
        <v>-334.43193167432588</v>
      </c>
      <c r="E75" s="76">
        <v>-347.18984627061485</v>
      </c>
      <c r="F75" s="75">
        <v>-353.8</v>
      </c>
      <c r="G75" s="75">
        <v>0</v>
      </c>
      <c r="H75" s="75">
        <v>0</v>
      </c>
      <c r="I75" s="75">
        <v>0</v>
      </c>
    </row>
    <row r="76" spans="1:9">
      <c r="A76" s="17" t="str">
        <f>HLOOKUP(INDICE!$F$2,Nombres!$C$3:$D$636,45,FALSE)</f>
        <v>Provisiones o reversión de provisiones y otros resultados</v>
      </c>
      <c r="B76" s="75">
        <v>-4.3325840868377554</v>
      </c>
      <c r="C76" s="75">
        <v>2.8294086178090598</v>
      </c>
      <c r="D76" s="75">
        <v>-5.5233104106846937</v>
      </c>
      <c r="E76" s="76">
        <v>-50.590484574440552</v>
      </c>
      <c r="F76" s="75">
        <v>-45.248412999999999</v>
      </c>
      <c r="G76" s="75">
        <v>0</v>
      </c>
      <c r="H76" s="75">
        <v>0</v>
      </c>
      <c r="I76" s="75">
        <v>0</v>
      </c>
    </row>
    <row r="77" spans="1:9">
      <c r="A77" s="25" t="str">
        <f>HLOOKUP(INDICE!$F$2,Nombres!$C$3:$D$636,46,FALSE)</f>
        <v>Resultado antes de impuestos</v>
      </c>
      <c r="B77" s="25">
        <f>+B74+B75+B76</f>
        <v>157.99442840521235</v>
      </c>
      <c r="C77" s="25">
        <f t="shared" ref="C77:I77" si="11">+C74+C75+C76</f>
        <v>144.10995395645199</v>
      </c>
      <c r="D77" s="25">
        <f t="shared" si="11"/>
        <v>153.57227405629033</v>
      </c>
      <c r="E77" s="73">
        <f t="shared" si="11"/>
        <v>709.39568072368866</v>
      </c>
      <c r="F77" s="74">
        <f t="shared" si="11"/>
        <v>201.36853753</v>
      </c>
      <c r="G77" s="74">
        <f t="shared" si="11"/>
        <v>0</v>
      </c>
      <c r="H77" s="74">
        <f t="shared" si="11"/>
        <v>0</v>
      </c>
      <c r="I77" s="74">
        <f t="shared" si="11"/>
        <v>0</v>
      </c>
    </row>
    <row r="78" spans="1:9">
      <c r="A78" s="17" t="str">
        <f>HLOOKUP(INDICE!$F$2,Nombres!$C$3:$D$636,47,FALSE)</f>
        <v>Impuesto sobre beneficios</v>
      </c>
      <c r="B78" s="75">
        <v>-37.058575492929222</v>
      </c>
      <c r="C78" s="75">
        <v>-24.097922778300436</v>
      </c>
      <c r="D78" s="75">
        <v>-7.1210849129396507</v>
      </c>
      <c r="E78" s="76">
        <v>-207.45300590159337</v>
      </c>
      <c r="F78" s="75">
        <v>-6.5580133699999905</v>
      </c>
      <c r="G78" s="75">
        <v>0</v>
      </c>
      <c r="H78" s="75">
        <v>0</v>
      </c>
      <c r="I78" s="75">
        <v>0</v>
      </c>
    </row>
    <row r="79" spans="1:9">
      <c r="A79" s="25" t="str">
        <f>HLOOKUP(INDICE!$F$2,Nombres!$C$3:$D$636,48,FALSE)</f>
        <v>Resultado del ejercicio</v>
      </c>
      <c r="B79" s="25">
        <f>+B77+B78</f>
        <v>120.93585291228312</v>
      </c>
      <c r="C79" s="25">
        <f t="shared" ref="C79:I79" si="12">+C77+C78</f>
        <v>120.01203117815155</v>
      </c>
      <c r="D79" s="25">
        <f t="shared" si="12"/>
        <v>146.45118914335069</v>
      </c>
      <c r="E79" s="73">
        <f t="shared" si="12"/>
        <v>501.94267482209528</v>
      </c>
      <c r="F79" s="74">
        <f t="shared" si="12"/>
        <v>194.81052416</v>
      </c>
      <c r="G79" s="74">
        <f t="shared" si="12"/>
        <v>0</v>
      </c>
      <c r="H79" s="74">
        <f t="shared" si="12"/>
        <v>0</v>
      </c>
      <c r="I79" s="74">
        <f t="shared" si="12"/>
        <v>0</v>
      </c>
    </row>
    <row r="80" spans="1:9">
      <c r="A80" s="17" t="str">
        <f>HLOOKUP(INDICE!$F$2,Nombres!$C$3:$D$636,49,FALSE)</f>
        <v>Minoritarios</v>
      </c>
      <c r="B80" s="75">
        <v>-43.640897169570394</v>
      </c>
      <c r="C80" s="75">
        <v>-35.775134880632478</v>
      </c>
      <c r="D80" s="75">
        <v>-55.704574734946483</v>
      </c>
      <c r="E80" s="76">
        <v>-156.26658755695934</v>
      </c>
      <c r="F80" s="75">
        <v>-75.324778910000006</v>
      </c>
      <c r="G80" s="75">
        <v>0</v>
      </c>
      <c r="H80" s="75">
        <v>0</v>
      </c>
      <c r="I80" s="75">
        <v>0</v>
      </c>
    </row>
    <row r="81" spans="1:9">
      <c r="A81" s="19" t="str">
        <f>HLOOKUP(INDICE!$F$2,Nombres!$C$3:$D$636,50,FALSE)</f>
        <v>Resultado atribuido</v>
      </c>
      <c r="B81" s="19">
        <f>+B79+B80</f>
        <v>77.29495574271273</v>
      </c>
      <c r="C81" s="19">
        <f t="shared" ref="C81:I81" si="13">+C79+C80</f>
        <v>84.236896297519067</v>
      </c>
      <c r="D81" s="19">
        <f t="shared" si="13"/>
        <v>90.746614408404213</v>
      </c>
      <c r="E81" s="19">
        <f t="shared" si="13"/>
        <v>345.67608726513595</v>
      </c>
      <c r="F81" s="94">
        <f t="shared" si="13"/>
        <v>119.48574524999999</v>
      </c>
      <c r="G81" s="94">
        <f t="shared" si="13"/>
        <v>0</v>
      </c>
      <c r="H81" s="94">
        <f t="shared" si="13"/>
        <v>0</v>
      </c>
      <c r="I81" s="94">
        <f t="shared" si="13"/>
        <v>0</v>
      </c>
    </row>
    <row r="82" spans="1:9">
      <c r="A82" s="91"/>
      <c r="B82" s="99">
        <v>-1.4210854715202004E-13</v>
      </c>
      <c r="C82" s="99">
        <v>0</v>
      </c>
      <c r="D82" s="99">
        <v>1.4210854715202004E-13</v>
      </c>
      <c r="E82" s="99">
        <v>0</v>
      </c>
      <c r="F82" s="99">
        <v>0</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6808.3536930092823</v>
      </c>
      <c r="C87" s="75">
        <v>7431.0286040399214</v>
      </c>
      <c r="D87" s="75">
        <v>6526.7451439840224</v>
      </c>
      <c r="E87" s="76">
        <v>6665.1148057434439</v>
      </c>
      <c r="F87" s="75">
        <v>7626.2019999999993</v>
      </c>
      <c r="G87" s="75">
        <v>0</v>
      </c>
      <c r="H87" s="75">
        <v>0</v>
      </c>
      <c r="I87" s="75">
        <v>0</v>
      </c>
    </row>
    <row r="88" spans="1:9">
      <c r="A88" s="17" t="str">
        <f>HLOOKUP(INDICE!$F$2,Nombres!$C$3:$D$636,53,FALSE)</f>
        <v>Activos financieros a valor razonable</v>
      </c>
      <c r="B88" s="83">
        <v>8931.2186329063043</v>
      </c>
      <c r="C88" s="83">
        <v>9629.2959590386199</v>
      </c>
      <c r="D88" s="83">
        <v>9639.7267302289729</v>
      </c>
      <c r="E88" s="95">
        <v>10657.886063132657</v>
      </c>
      <c r="F88" s="75">
        <v>9822.8300000000017</v>
      </c>
      <c r="G88" s="75">
        <v>0</v>
      </c>
      <c r="H88" s="75">
        <v>0</v>
      </c>
      <c r="I88" s="75">
        <v>0</v>
      </c>
    </row>
    <row r="89" spans="1:9">
      <c r="A89" s="17" t="str">
        <f>HLOOKUP(INDICE!$F$2,Nombres!$C$3:$D$636,54,FALSE)</f>
        <v>Activos financieros a coste amortizado</v>
      </c>
      <c r="B89" s="75">
        <v>41174.544573848521</v>
      </c>
      <c r="C89" s="75">
        <v>41594.430911386095</v>
      </c>
      <c r="D89" s="75">
        <v>42553.305983335995</v>
      </c>
      <c r="E89" s="76">
        <v>45062.632106976947</v>
      </c>
      <c r="F89" s="75">
        <v>47352.849000000002</v>
      </c>
      <c r="G89" s="75">
        <v>0</v>
      </c>
      <c r="H89" s="75">
        <v>0</v>
      </c>
      <c r="I89" s="75">
        <v>0</v>
      </c>
    </row>
    <row r="90" spans="1:9">
      <c r="A90" s="17" t="str">
        <f>HLOOKUP(INDICE!$F$2,Nombres!$C$3:$D$636,55,FALSE)</f>
        <v xml:space="preserve">    de los que préstamos y anticipos a la clientela</v>
      </c>
      <c r="B90" s="75">
        <v>39201.352674654139</v>
      </c>
      <c r="C90" s="75">
        <v>39674.296500191347</v>
      </c>
      <c r="D90" s="75">
        <v>40338.186161908721</v>
      </c>
      <c r="E90" s="76">
        <v>41792.176658601653</v>
      </c>
      <c r="F90" s="75">
        <v>42761.687000000005</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994.25901353326822</v>
      </c>
      <c r="C92" s="75">
        <v>1029.3006871247044</v>
      </c>
      <c r="D92" s="75">
        <v>1063.3206242130725</v>
      </c>
      <c r="E92" s="76">
        <v>947.31700327211399</v>
      </c>
      <c r="F92" s="75">
        <v>1132.1170000000002</v>
      </c>
      <c r="G92" s="75">
        <v>0</v>
      </c>
      <c r="H92" s="75">
        <v>0</v>
      </c>
      <c r="I92" s="75">
        <v>0</v>
      </c>
    </row>
    <row r="93" spans="1:9">
      <c r="A93" s="17" t="str">
        <f>HLOOKUP(INDICE!$F$2,Nombres!$C$3:$D$636,57,FALSE)</f>
        <v>Otros activos</v>
      </c>
      <c r="B93" s="83">
        <f>+B94-B92-B89-B88-B87</f>
        <v>1911.1758255279919</v>
      </c>
      <c r="C93" s="83">
        <f t="shared" ref="C93:I93" si="15">+C94-C92-C89-C88-C87</f>
        <v>1887.2682431599869</v>
      </c>
      <c r="D93" s="83">
        <f t="shared" si="15"/>
        <v>2104.073699323093</v>
      </c>
      <c r="E93" s="95">
        <f t="shared" si="15"/>
        <v>2241.506105329805</v>
      </c>
      <c r="F93" s="75">
        <f t="shared" si="15"/>
        <v>2784.6466906500045</v>
      </c>
      <c r="G93" s="75">
        <f t="shared" si="15"/>
        <v>0</v>
      </c>
      <c r="H93" s="75">
        <f t="shared" si="15"/>
        <v>0</v>
      </c>
      <c r="I93" s="75">
        <f t="shared" si="15"/>
        <v>0</v>
      </c>
    </row>
    <row r="94" spans="1:9">
      <c r="A94" s="19" t="str">
        <f>HLOOKUP(INDICE!$F$2,Nombres!$C$3:$D$636,58,FALSE)</f>
        <v>Total activo / pasivo</v>
      </c>
      <c r="B94" s="19">
        <v>59819.551738825365</v>
      </c>
      <c r="C94" s="19">
        <v>61571.324404749328</v>
      </c>
      <c r="D94" s="19">
        <v>61887.172181085152</v>
      </c>
      <c r="E94" s="19">
        <v>65574.456084454971</v>
      </c>
      <c r="F94" s="94">
        <v>68718.644690650006</v>
      </c>
      <c r="G94" s="94">
        <v>0</v>
      </c>
      <c r="H94" s="94">
        <v>0</v>
      </c>
      <c r="I94" s="94">
        <v>0</v>
      </c>
    </row>
    <row r="95" spans="1:9">
      <c r="A95" s="17" t="str">
        <f>HLOOKUP(INDICE!$F$2,Nombres!$C$3:$D$636,59,FALSE)</f>
        <v>Pasivos financieros mantenidos para negociar y designados a valor razonable con cambios en resultados</v>
      </c>
      <c r="B95" s="83">
        <v>2822.371852575051</v>
      </c>
      <c r="C95" s="83">
        <v>4248.9932479925428</v>
      </c>
      <c r="D95" s="83">
        <v>3286.9445370214717</v>
      </c>
      <c r="E95" s="95">
        <v>3345.0872461013305</v>
      </c>
      <c r="F95" s="75">
        <v>2586.6409999999996</v>
      </c>
      <c r="G95" s="75">
        <v>0</v>
      </c>
      <c r="H95" s="75">
        <v>0</v>
      </c>
      <c r="I95" s="75">
        <v>0</v>
      </c>
    </row>
    <row r="96" spans="1:9">
      <c r="A96" s="17" t="str">
        <f>HLOOKUP(INDICE!$F$2,Nombres!$C$3:$D$636,60,FALSE)</f>
        <v>Depósitos de bancos centrales y entidades de crédito</v>
      </c>
      <c r="B96" s="83">
        <v>5403.7290498585735</v>
      </c>
      <c r="C96" s="83">
        <v>5606.2160393925978</v>
      </c>
      <c r="D96" s="83">
        <v>5015.9870275312633</v>
      </c>
      <c r="E96" s="95">
        <v>5142.6655734878987</v>
      </c>
      <c r="F96" s="75">
        <v>5136.107</v>
      </c>
      <c r="G96" s="75">
        <v>0</v>
      </c>
      <c r="H96" s="75">
        <v>0</v>
      </c>
      <c r="I96" s="75">
        <v>0</v>
      </c>
    </row>
    <row r="97" spans="1:9">
      <c r="A97" s="17" t="str">
        <f>HLOOKUP(INDICE!$F$2,Nombres!$C$3:$D$636,61,FALSE)</f>
        <v>Depósitos de la clientela</v>
      </c>
      <c r="B97" s="83">
        <v>38895.842665429016</v>
      </c>
      <c r="C97" s="83">
        <v>39213.12874691817</v>
      </c>
      <c r="D97" s="83">
        <v>41025.361395504071</v>
      </c>
      <c r="E97" s="95">
        <v>43297.235352352429</v>
      </c>
      <c r="F97" s="75">
        <v>44638.062000000005</v>
      </c>
      <c r="G97" s="75">
        <v>0</v>
      </c>
      <c r="H97" s="75">
        <v>0</v>
      </c>
      <c r="I97" s="75">
        <v>0</v>
      </c>
    </row>
    <row r="98" spans="1:9">
      <c r="A98" s="17" t="str">
        <f>HLOOKUP(INDICE!$F$2,Nombres!$C$3:$D$636,62,FALSE)</f>
        <v>Valores representativos de deuda emitidos</v>
      </c>
      <c r="B98" s="75">
        <v>2843.6022666881477</v>
      </c>
      <c r="C98" s="75">
        <v>2905.1330623001268</v>
      </c>
      <c r="D98" s="75">
        <v>2884.3528303130938</v>
      </c>
      <c r="E98" s="76">
        <v>2964.5284345856626</v>
      </c>
      <c r="F98" s="75">
        <v>3057.03622825</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4351.9315329204073</v>
      </c>
      <c r="C100" s="83">
        <f t="shared" ref="C100:I100" si="16">+C94-C95-C96-C97-C98-C101</f>
        <v>3923.1288431154135</v>
      </c>
      <c r="D100" s="83">
        <f t="shared" si="16"/>
        <v>4022.220924998257</v>
      </c>
      <c r="E100" s="95">
        <f t="shared" si="16"/>
        <v>4476.4823690850972</v>
      </c>
      <c r="F100" s="75">
        <f t="shared" si="16"/>
        <v>7028.2336845999944</v>
      </c>
      <c r="G100" s="75">
        <f t="shared" si="16"/>
        <v>0</v>
      </c>
      <c r="H100" s="75">
        <f t="shared" si="16"/>
        <v>0</v>
      </c>
      <c r="I100" s="75">
        <f t="shared" si="16"/>
        <v>0</v>
      </c>
    </row>
    <row r="101" spans="1:9">
      <c r="A101" s="17" t="str">
        <f>HLOOKUP(INDICE!$F$2,Nombres!$C$3:$D$636,282,FALSE)</f>
        <v>Dotación de capital regulatorio</v>
      </c>
      <c r="B101" s="83">
        <v>5502.0743713541706</v>
      </c>
      <c r="C101" s="83">
        <v>5674.724465030482</v>
      </c>
      <c r="D101" s="83">
        <v>5652.3054657169923</v>
      </c>
      <c r="E101" s="95">
        <v>6348.4571088425582</v>
      </c>
      <c r="F101" s="75">
        <v>6272.5647778000002</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41080.748107958258</v>
      </c>
      <c r="C107" s="75">
        <v>41527.05774002902</v>
      </c>
      <c r="D107" s="75">
        <v>42311.297058262709</v>
      </c>
      <c r="E107" s="76">
        <v>43796.848441100694</v>
      </c>
      <c r="F107" s="75">
        <v>44810.100999999995</v>
      </c>
      <c r="G107" s="75">
        <v>0</v>
      </c>
      <c r="H107" s="75">
        <v>0</v>
      </c>
      <c r="I107" s="75">
        <v>0</v>
      </c>
    </row>
    <row r="108" spans="1:9">
      <c r="A108" s="17" t="str">
        <f>HLOOKUP(INDICE!$F$2,Nombres!$C$3:$D$636,67,FALSE)</f>
        <v>Depósitos de clientes en gestión (**)</v>
      </c>
      <c r="B108" s="75">
        <v>38895.842665429016</v>
      </c>
      <c r="C108" s="75">
        <v>39213.12874691817</v>
      </c>
      <c r="D108" s="75">
        <v>41025.361395504071</v>
      </c>
      <c r="E108" s="76">
        <v>43297.235352352429</v>
      </c>
      <c r="F108" s="75">
        <v>44638.061999999991</v>
      </c>
      <c r="G108" s="75">
        <v>0</v>
      </c>
      <c r="H108" s="75">
        <v>0</v>
      </c>
      <c r="I108" s="75">
        <v>0</v>
      </c>
    </row>
    <row r="109" spans="1:9">
      <c r="A109" s="17" t="str">
        <f>HLOOKUP(INDICE!$F$2,Nombres!$C$3:$D$636,68,FALSE)</f>
        <v>Fondos de inversión y carteras gestionadas</v>
      </c>
      <c r="B109" s="75">
        <v>4972.0647480530288</v>
      </c>
      <c r="C109" s="75">
        <v>4523.4121773731777</v>
      </c>
      <c r="D109" s="75">
        <v>4990.3907675956452</v>
      </c>
      <c r="E109" s="76">
        <v>5548.6067327039827</v>
      </c>
      <c r="F109" s="75">
        <v>6027.7061768800004</v>
      </c>
      <c r="G109" s="75">
        <v>0</v>
      </c>
      <c r="H109" s="75">
        <v>0</v>
      </c>
      <c r="I109" s="75">
        <v>0</v>
      </c>
    </row>
    <row r="110" spans="1:9">
      <c r="A110" s="17" t="str">
        <f>HLOOKUP(INDICE!$F$2,Nombres!$C$3:$D$636,69,FALSE)</f>
        <v>Fondos de pensiones</v>
      </c>
      <c r="B110" s="75">
        <v>11860.712437933455</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20" spans="1:9">
      <c r="F120" s="112"/>
      <c r="G120" s="112"/>
      <c r="H120" s="112"/>
      <c r="I120" s="112"/>
    </row>
    <row r="121" spans="1:9">
      <c r="F121" s="112"/>
      <c r="G121" s="112"/>
      <c r="H121" s="112"/>
      <c r="I121" s="112"/>
    </row>
    <row r="122" spans="1:9">
      <c r="F122" s="112"/>
      <c r="G122" s="112"/>
      <c r="H122" s="112"/>
      <c r="I122" s="112"/>
    </row>
    <row r="123" spans="1:9">
      <c r="F123" s="112"/>
      <c r="G123" s="112"/>
      <c r="H123" s="112"/>
      <c r="I123" s="112"/>
    </row>
    <row r="124" spans="1:9">
      <c r="F124" s="112"/>
      <c r="G124" s="112"/>
      <c r="H124" s="112"/>
      <c r="I124" s="112"/>
    </row>
    <row r="125" spans="1:9">
      <c r="F125" s="112"/>
      <c r="G125" s="112"/>
      <c r="H125" s="112"/>
      <c r="I125" s="112"/>
    </row>
    <row r="126" spans="1:9">
      <c r="F126" s="112"/>
      <c r="G126" s="112"/>
      <c r="H126" s="112"/>
      <c r="I126" s="112"/>
    </row>
    <row r="127" spans="1:9">
      <c r="F127" s="112"/>
      <c r="G127" s="112"/>
      <c r="H127" s="112"/>
      <c r="I127" s="112"/>
    </row>
    <row r="128" spans="1:9">
      <c r="F128" s="112"/>
      <c r="G128" s="112"/>
      <c r="H128" s="112"/>
      <c r="I128" s="112"/>
    </row>
    <row r="129" spans="6:9">
      <c r="F129" s="112"/>
      <c r="G129" s="112"/>
      <c r="H129" s="112"/>
      <c r="I129" s="112"/>
    </row>
    <row r="130" spans="6:9">
      <c r="F130" s="112"/>
      <c r="G130" s="112"/>
      <c r="H130" s="112"/>
      <c r="I130" s="112"/>
    </row>
    <row r="131" spans="6:9">
      <c r="F131" s="112"/>
      <c r="G131" s="112"/>
      <c r="H131" s="112"/>
      <c r="I131" s="112"/>
    </row>
    <row r="132" spans="6:9">
      <c r="F132" s="112"/>
      <c r="G132" s="112"/>
      <c r="H132" s="112"/>
      <c r="I132" s="112"/>
    </row>
    <row r="133" spans="6:9">
      <c r="F133" s="112"/>
      <c r="G133" s="112"/>
      <c r="H133" s="112"/>
      <c r="I133" s="112"/>
    </row>
    <row r="134" spans="6:9">
      <c r="F134" s="112"/>
      <c r="G134" s="112"/>
      <c r="H134" s="112"/>
      <c r="I134" s="112"/>
    </row>
    <row r="135" spans="6:9">
      <c r="F135" s="112"/>
      <c r="G135" s="112"/>
      <c r="H135" s="112"/>
      <c r="I135" s="112"/>
    </row>
    <row r="136" spans="6:9">
      <c r="F136" s="112"/>
      <c r="G136" s="112"/>
      <c r="H136" s="112"/>
      <c r="I136" s="112"/>
    </row>
    <row r="137" spans="6:9">
      <c r="F137" s="112"/>
      <c r="G137" s="112"/>
      <c r="H137" s="112"/>
      <c r="I137" s="112"/>
    </row>
    <row r="138" spans="6:9">
      <c r="F138" s="112"/>
      <c r="G138" s="112"/>
      <c r="H138" s="112"/>
      <c r="I138" s="112"/>
    </row>
    <row r="139" spans="6:9">
      <c r="F139" s="112"/>
      <c r="G139" s="112"/>
      <c r="H139" s="112"/>
      <c r="I139" s="112"/>
    </row>
    <row r="140" spans="6:9">
      <c r="F140" s="112"/>
      <c r="G140" s="112"/>
      <c r="H140" s="112"/>
      <c r="I140" s="112"/>
    </row>
    <row r="141" spans="6:9">
      <c r="F141" s="112"/>
      <c r="G141" s="112"/>
      <c r="H141" s="112"/>
      <c r="I141" s="112"/>
    </row>
    <row r="142" spans="6:9">
      <c r="F142" s="112"/>
      <c r="G142" s="112"/>
      <c r="H142" s="112"/>
      <c r="I142" s="112"/>
    </row>
    <row r="143" spans="6:9">
      <c r="F143" s="112"/>
      <c r="G143" s="112"/>
      <c r="H143" s="112"/>
      <c r="I143" s="112"/>
    </row>
    <row r="144" spans="6:9">
      <c r="F144" s="112"/>
      <c r="G144" s="112"/>
      <c r="H144" s="112"/>
      <c r="I144" s="112"/>
    </row>
    <row r="145" spans="6:9">
      <c r="F145" s="112"/>
      <c r="G145" s="112"/>
      <c r="H145" s="112"/>
      <c r="I145" s="112"/>
    </row>
    <row r="146" spans="6:9">
      <c r="F146" s="112"/>
      <c r="G146" s="112"/>
      <c r="H146" s="112"/>
      <c r="I146" s="112"/>
    </row>
    <row r="147" spans="6:9">
      <c r="F147" s="112"/>
      <c r="G147" s="112"/>
      <c r="H147" s="112"/>
      <c r="I147" s="112"/>
    </row>
    <row r="148" spans="6:9">
      <c r="F148" s="112"/>
      <c r="G148" s="112"/>
      <c r="H148" s="112"/>
      <c r="I148" s="112"/>
    </row>
    <row r="149" spans="6:9">
      <c r="F149" s="112"/>
      <c r="G149" s="112"/>
      <c r="H149" s="112"/>
      <c r="I149" s="112"/>
    </row>
    <row r="150" spans="6:9">
      <c r="F150" s="112"/>
      <c r="G150" s="112"/>
      <c r="H150" s="112"/>
      <c r="I150" s="112"/>
    </row>
    <row r="151" spans="6:9">
      <c r="F151" s="112"/>
      <c r="G151" s="112"/>
      <c r="H151" s="112"/>
      <c r="I151" s="112"/>
    </row>
    <row r="152" spans="6:9">
      <c r="F152" s="112"/>
      <c r="G152" s="112"/>
      <c r="H152" s="112"/>
      <c r="I152" s="112"/>
    </row>
    <row r="153" spans="6:9">
      <c r="F153" s="112"/>
      <c r="G153" s="112"/>
      <c r="H153" s="112"/>
      <c r="I153" s="112"/>
    </row>
    <row r="154" spans="6:9">
      <c r="F154" s="112"/>
      <c r="G154" s="112"/>
      <c r="H154" s="112"/>
      <c r="I154" s="112"/>
    </row>
    <row r="155" spans="6:9">
      <c r="F155" s="112"/>
      <c r="G155" s="112"/>
      <c r="H155" s="112"/>
      <c r="I155" s="112"/>
    </row>
    <row r="156" spans="6:9">
      <c r="F156" s="112"/>
      <c r="G156" s="112"/>
      <c r="H156" s="112"/>
      <c r="I156" s="112"/>
    </row>
    <row r="157" spans="6:9">
      <c r="F157" s="112"/>
      <c r="G157" s="112"/>
      <c r="H157" s="112"/>
      <c r="I157" s="112"/>
    </row>
    <row r="158" spans="6:9">
      <c r="F158" s="112"/>
      <c r="G158" s="112"/>
      <c r="H158" s="112"/>
      <c r="I158" s="112"/>
    </row>
    <row r="159" spans="6:9">
      <c r="F159" s="112"/>
      <c r="G159" s="112"/>
      <c r="H159" s="112"/>
      <c r="I159" s="112"/>
    </row>
    <row r="160" spans="6:9">
      <c r="F160" s="112"/>
      <c r="G160" s="112"/>
      <c r="H160" s="112"/>
      <c r="I160" s="112"/>
    </row>
    <row r="161" spans="6:9">
      <c r="F161" s="112"/>
      <c r="G161" s="112"/>
      <c r="H161" s="112"/>
      <c r="I161" s="112"/>
    </row>
    <row r="162" spans="6:9">
      <c r="F162" s="112"/>
      <c r="G162" s="112"/>
      <c r="H162" s="112"/>
      <c r="I162" s="112"/>
    </row>
    <row r="163" spans="6:9">
      <c r="F163" s="112"/>
      <c r="G163" s="112"/>
      <c r="H163" s="112"/>
      <c r="I163" s="112"/>
    </row>
    <row r="164" spans="6:9">
      <c r="F164" s="112"/>
      <c r="G164" s="112"/>
      <c r="H164" s="112"/>
      <c r="I164" s="112"/>
    </row>
    <row r="165" spans="6:9">
      <c r="F165" s="112"/>
      <c r="G165" s="112"/>
      <c r="H165" s="112"/>
      <c r="I165" s="112"/>
    </row>
    <row r="166" spans="6:9">
      <c r="F166" s="112"/>
      <c r="G166" s="112"/>
      <c r="H166" s="112"/>
      <c r="I166" s="112"/>
    </row>
    <row r="998" spans="1:1">
      <c r="A998" s="63" t="s">
        <v>550</v>
      </c>
    </row>
  </sheetData>
  <mergeCells count="4">
    <mergeCell ref="B6:E6"/>
    <mergeCell ref="F6:I6"/>
    <mergeCell ref="B62:E62"/>
    <mergeCell ref="F62:I62"/>
  </mergeCells>
  <conditionalFormatting sqref="C82:I82">
    <cfRule type="cellIs" dxfId="67" priority="10" operator="notBetween">
      <formula>0.5</formula>
      <formula>-0.5</formula>
    </cfRule>
  </conditionalFormatting>
  <conditionalFormatting sqref="C26">
    <cfRule type="cellIs" dxfId="66" priority="9" operator="notBetween">
      <formula>-0.4</formula>
      <formula>0.4</formula>
    </cfRule>
  </conditionalFormatting>
  <conditionalFormatting sqref="D26">
    <cfRule type="cellIs" dxfId="65" priority="8" operator="notBetween">
      <formula>-0.4</formula>
      <formula>0.4</formula>
    </cfRule>
  </conditionalFormatting>
  <conditionalFormatting sqref="E26">
    <cfRule type="cellIs" dxfId="64" priority="7" operator="notBetween">
      <formula>-0.4</formula>
      <formula>0.4</formula>
    </cfRule>
  </conditionalFormatting>
  <conditionalFormatting sqref="F26">
    <cfRule type="cellIs" dxfId="63" priority="6" operator="notBetween">
      <formula>-0.4</formula>
      <formula>0.4</formula>
    </cfRule>
  </conditionalFormatting>
  <conditionalFormatting sqref="G26">
    <cfRule type="cellIs" dxfId="62" priority="5" operator="notBetween">
      <formula>-0.4</formula>
      <formula>0.4</formula>
    </cfRule>
  </conditionalFormatting>
  <conditionalFormatting sqref="H26">
    <cfRule type="cellIs" dxfId="61" priority="4" operator="notBetween">
      <formula>-0.4</formula>
      <formula>0.4</formula>
    </cfRule>
  </conditionalFormatting>
  <conditionalFormatting sqref="I26">
    <cfRule type="cellIs" dxfId="60" priority="3" operator="notBetween">
      <formula>-0.4</formula>
      <formula>0.4</formula>
    </cfRule>
  </conditionalFormatting>
  <conditionalFormatting sqref="B26:I26">
    <cfRule type="cellIs" dxfId="59" priority="2" operator="notBetween">
      <formula>0.5</formula>
      <formula>-0.5</formula>
    </cfRule>
  </conditionalFormatting>
  <conditionalFormatting sqref="B82:I82">
    <cfRule type="cellIs" dxfId="58" priority="1" operator="notBetween">
      <formula>0.5</formula>
      <formula>-0.5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election activeCell="A41" sqref="A41"/>
    </sheetView>
  </sheetViews>
  <sheetFormatPr baseColWidth="10" defaultColWidth="11.453125" defaultRowHeight="14.5"/>
  <cols>
    <col min="1" max="1" width="62" style="63" customWidth="1"/>
    <col min="2" max="6" width="11.453125" style="63"/>
    <col min="7" max="9" width="0" style="63" hidden="1" customWidth="1"/>
    <col min="10" max="16384" width="11.453125" style="63"/>
  </cols>
  <sheetData>
    <row r="1" spans="1:9" ht="17">
      <c r="A1" s="61" t="str">
        <f>HLOOKUP(INDICE!$F$2,Nombres!$C$3:$D$636,14,FALSE)</f>
        <v>Argentina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299">
        <f>+España!B6</f>
        <v>2023</v>
      </c>
      <c r="C6" s="299"/>
      <c r="D6" s="299"/>
      <c r="E6" s="300"/>
      <c r="F6" s="299">
        <f>+España!F6</f>
        <v>2024</v>
      </c>
      <c r="G6" s="299"/>
      <c r="H6" s="299"/>
      <c r="I6" s="299"/>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593.14699999999993</v>
      </c>
      <c r="C8" s="25">
        <v>707.25600000000009</v>
      </c>
      <c r="D8" s="25">
        <v>733.47799999999972</v>
      </c>
      <c r="E8" s="73">
        <v>-154.04400000000032</v>
      </c>
      <c r="F8" s="74">
        <v>861.38800003000006</v>
      </c>
      <c r="G8" s="74">
        <v>0</v>
      </c>
      <c r="H8" s="74">
        <v>0</v>
      </c>
      <c r="I8" s="74">
        <v>0</v>
      </c>
    </row>
    <row r="9" spans="1:9">
      <c r="A9" s="17" t="str">
        <f>HLOOKUP(INDICE!$F$2,Nombres!$C$3:$D$636,34,FALSE)</f>
        <v>Comisiones netas</v>
      </c>
      <c r="B9" s="75">
        <v>49.227999999999973</v>
      </c>
      <c r="C9" s="75">
        <v>87.56</v>
      </c>
      <c r="D9" s="75">
        <v>43.24199999999999</v>
      </c>
      <c r="E9" s="76">
        <v>-18.577654289999984</v>
      </c>
      <c r="F9" s="75">
        <v>57.282000010000004</v>
      </c>
      <c r="G9" s="75">
        <v>0</v>
      </c>
      <c r="H9" s="75">
        <v>0</v>
      </c>
      <c r="I9" s="75">
        <v>0</v>
      </c>
    </row>
    <row r="10" spans="1:9">
      <c r="A10" s="17" t="str">
        <f>HLOOKUP(INDICE!$F$2,Nombres!$C$3:$D$636,35,FALSE)</f>
        <v>Resultados de operaciones financieras</v>
      </c>
      <c r="B10" s="75">
        <v>35.123937319999996</v>
      </c>
      <c r="C10" s="75">
        <v>58.558122999999995</v>
      </c>
      <c r="D10" s="75">
        <v>53.490849999999995</v>
      </c>
      <c r="E10" s="76">
        <v>153.99895200000003</v>
      </c>
      <c r="F10" s="75">
        <v>125.29120099999999</v>
      </c>
      <c r="G10" s="75">
        <v>0</v>
      </c>
      <c r="H10" s="75">
        <v>0</v>
      </c>
      <c r="I10" s="75">
        <v>0</v>
      </c>
    </row>
    <row r="11" spans="1:9">
      <c r="A11" s="17" t="str">
        <f>HLOOKUP(INDICE!$F$2,Nombres!$C$3:$D$636,36,FALSE)</f>
        <v>Otros ingresos y cargas de explotación</v>
      </c>
      <c r="B11" s="75">
        <v>-306.78899999999999</v>
      </c>
      <c r="C11" s="75">
        <v>-419.56300000000005</v>
      </c>
      <c r="D11" s="75">
        <v>-486.69200000000001</v>
      </c>
      <c r="E11" s="76">
        <v>-88.590000000000259</v>
      </c>
      <c r="F11" s="75">
        <v>-729.7400000099999</v>
      </c>
      <c r="G11" s="75">
        <v>0</v>
      </c>
      <c r="H11" s="75">
        <v>0</v>
      </c>
      <c r="I11" s="75">
        <v>0</v>
      </c>
    </row>
    <row r="12" spans="1:9">
      <c r="A12" s="25" t="str">
        <f>HLOOKUP(INDICE!$F$2,Nombres!$C$3:$D$636,37,FALSE)</f>
        <v>Margen bruto</v>
      </c>
      <c r="B12" s="25">
        <f>+SUM(B8:B11)</f>
        <v>370.70993731999988</v>
      </c>
      <c r="C12" s="25">
        <f t="shared" ref="C12:I12" si="0">+SUM(C8:C11)</f>
        <v>433.81112300000001</v>
      </c>
      <c r="D12" s="25">
        <f t="shared" si="0"/>
        <v>343.5188499999997</v>
      </c>
      <c r="E12" s="73">
        <f t="shared" si="0"/>
        <v>-107.21270229000055</v>
      </c>
      <c r="F12" s="74">
        <f t="shared" si="0"/>
        <v>314.2212010300002</v>
      </c>
      <c r="G12" s="74">
        <f t="shared" si="0"/>
        <v>0</v>
      </c>
      <c r="H12" s="74">
        <f t="shared" si="0"/>
        <v>0</v>
      </c>
      <c r="I12" s="74">
        <f t="shared" si="0"/>
        <v>0</v>
      </c>
    </row>
    <row r="13" spans="1:9">
      <c r="A13" s="17" t="str">
        <f>HLOOKUP(INDICE!$F$2,Nombres!$C$3:$D$636,38,FALSE)</f>
        <v>Gastos de explotación</v>
      </c>
      <c r="B13" s="75">
        <v>-201.91902577999997</v>
      </c>
      <c r="C13" s="75">
        <v>-221.69569443</v>
      </c>
      <c r="D13" s="75">
        <v>-240.89775360999994</v>
      </c>
      <c r="E13" s="76">
        <v>101.50262801999997</v>
      </c>
      <c r="F13" s="75">
        <v>-203.37388286999999</v>
      </c>
      <c r="G13" s="75">
        <v>0</v>
      </c>
      <c r="H13" s="75">
        <v>0</v>
      </c>
      <c r="I13" s="75">
        <v>0</v>
      </c>
    </row>
    <row r="14" spans="1:9">
      <c r="A14" s="17" t="str">
        <f>HLOOKUP(INDICE!$F$2,Nombres!$C$3:$D$636,39,FALSE)</f>
        <v xml:space="preserve">  Gastos de administración</v>
      </c>
      <c r="B14" s="75">
        <v>-191.25902578</v>
      </c>
      <c r="C14" s="75">
        <v>-208.87269443000002</v>
      </c>
      <c r="D14" s="75">
        <v>-228.75575360999991</v>
      </c>
      <c r="E14" s="76">
        <v>96.273628020000046</v>
      </c>
      <c r="F14" s="75">
        <v>-193.93088286</v>
      </c>
      <c r="G14" s="75">
        <v>0</v>
      </c>
      <c r="H14" s="75">
        <v>0</v>
      </c>
      <c r="I14" s="75">
        <v>0</v>
      </c>
    </row>
    <row r="15" spans="1:9">
      <c r="A15" s="77" t="str">
        <f>HLOOKUP(INDICE!$F$2,Nombres!$C$3:$D$636,40,FALSE)</f>
        <v xml:space="preserve">  Gastos de personal</v>
      </c>
      <c r="B15" s="75">
        <v>-99.52</v>
      </c>
      <c r="C15" s="75">
        <v>-106.15899999999999</v>
      </c>
      <c r="D15" s="75">
        <v>-116.12799999999999</v>
      </c>
      <c r="E15" s="76">
        <v>38.197000000000003</v>
      </c>
      <c r="F15" s="75">
        <v>-100.38899999999998</v>
      </c>
      <c r="G15" s="75">
        <v>0</v>
      </c>
      <c r="H15" s="75">
        <v>0</v>
      </c>
      <c r="I15" s="75">
        <v>0</v>
      </c>
    </row>
    <row r="16" spans="1:9">
      <c r="A16" s="77" t="str">
        <f>HLOOKUP(INDICE!$F$2,Nombres!$C$3:$D$636,41,FALSE)</f>
        <v xml:space="preserve">  Otros gastos de administración</v>
      </c>
      <c r="B16" s="75">
        <v>-91.73902578000002</v>
      </c>
      <c r="C16" s="75">
        <v>-102.71369443000002</v>
      </c>
      <c r="D16" s="75">
        <v>-112.62775360999994</v>
      </c>
      <c r="E16" s="76">
        <v>58.076628019999973</v>
      </c>
      <c r="F16" s="75">
        <v>-93.541882859999987</v>
      </c>
      <c r="G16" s="75">
        <v>0</v>
      </c>
      <c r="H16" s="75">
        <v>0</v>
      </c>
      <c r="I16" s="75">
        <v>0</v>
      </c>
    </row>
    <row r="17" spans="1:9">
      <c r="A17" s="17" t="str">
        <f>HLOOKUP(INDICE!$F$2,Nombres!$C$3:$D$636,42,FALSE)</f>
        <v xml:space="preserve">  Amortización</v>
      </c>
      <c r="B17" s="75">
        <v>-10.66</v>
      </c>
      <c r="C17" s="75">
        <v>-12.823</v>
      </c>
      <c r="D17" s="75">
        <v>-12.141999999999999</v>
      </c>
      <c r="E17" s="76">
        <v>5.2289999999999974</v>
      </c>
      <c r="F17" s="75">
        <v>-9.4430000099999987</v>
      </c>
      <c r="G17" s="75">
        <v>0</v>
      </c>
      <c r="H17" s="75">
        <v>0</v>
      </c>
      <c r="I17" s="75">
        <v>0</v>
      </c>
    </row>
    <row r="18" spans="1:9">
      <c r="A18" s="25" t="str">
        <f>HLOOKUP(INDICE!$F$2,Nombres!$C$3:$D$636,43,FALSE)</f>
        <v>Margen neto</v>
      </c>
      <c r="B18" s="25">
        <f>+B12+B13</f>
        <v>168.79091153999991</v>
      </c>
      <c r="C18" s="25">
        <f t="shared" ref="C18:I18" si="1">+C12+C13</f>
        <v>212.11542857000001</v>
      </c>
      <c r="D18" s="25">
        <f t="shared" si="1"/>
        <v>102.62109638999976</v>
      </c>
      <c r="E18" s="73">
        <f t="shared" si="1"/>
        <v>-5.7100742700005753</v>
      </c>
      <c r="F18" s="74">
        <f t="shared" si="1"/>
        <v>110.84731816000021</v>
      </c>
      <c r="G18" s="74">
        <f t="shared" si="1"/>
        <v>0</v>
      </c>
      <c r="H18" s="74">
        <f t="shared" si="1"/>
        <v>0</v>
      </c>
      <c r="I18" s="74">
        <f t="shared" si="1"/>
        <v>0</v>
      </c>
    </row>
    <row r="19" spans="1:9">
      <c r="A19" s="17" t="str">
        <f>HLOOKUP(INDICE!$F$2,Nombres!$C$3:$D$636,44,FALSE)</f>
        <v>Deterioro de activos financieros no valorados a valor razonable con cambios en resultados</v>
      </c>
      <c r="B19" s="75">
        <v>-47.275999999999996</v>
      </c>
      <c r="C19" s="75">
        <v>-91.805000000000007</v>
      </c>
      <c r="D19" s="75">
        <v>-39.837999999999987</v>
      </c>
      <c r="E19" s="76">
        <v>33.86099999999999</v>
      </c>
      <c r="F19" s="75">
        <v>-44.312999999999981</v>
      </c>
      <c r="G19" s="75">
        <v>0</v>
      </c>
      <c r="H19" s="75">
        <v>0</v>
      </c>
      <c r="I19" s="75">
        <v>0</v>
      </c>
    </row>
    <row r="20" spans="1:9">
      <c r="A20" s="17" t="str">
        <f>HLOOKUP(INDICE!$F$2,Nombres!$C$3:$D$636,45,FALSE)</f>
        <v>Provisiones o reversión de provisiones y otros resultados</v>
      </c>
      <c r="B20" s="75">
        <v>-6.4529999999999994</v>
      </c>
      <c r="C20" s="75">
        <v>-10.459999999999999</v>
      </c>
      <c r="D20" s="75">
        <v>-0.88600000000000168</v>
      </c>
      <c r="E20" s="76">
        <v>-8.7360000000000024</v>
      </c>
      <c r="F20" s="75">
        <v>-33.424000000000014</v>
      </c>
      <c r="G20" s="75">
        <v>0</v>
      </c>
      <c r="H20" s="75">
        <v>0</v>
      </c>
      <c r="I20" s="75">
        <v>0</v>
      </c>
    </row>
    <row r="21" spans="1:9">
      <c r="A21" s="25" t="str">
        <f>HLOOKUP(INDICE!$F$2,Nombres!$C$3:$D$636,46,FALSE)</f>
        <v>Resultado antes de impuestos</v>
      </c>
      <c r="B21" s="25">
        <f>+B18+B19+B20</f>
        <v>115.06191153999991</v>
      </c>
      <c r="C21" s="25">
        <f t="shared" ref="C21:I21" si="2">+C18+C19+C20</f>
        <v>109.85042857000001</v>
      </c>
      <c r="D21" s="25">
        <f t="shared" si="2"/>
        <v>61.897096389999774</v>
      </c>
      <c r="E21" s="73">
        <f t="shared" si="2"/>
        <v>19.41492572999941</v>
      </c>
      <c r="F21" s="74">
        <f t="shared" si="2"/>
        <v>33.110318160000212</v>
      </c>
      <c r="G21" s="74">
        <f t="shared" si="2"/>
        <v>0</v>
      </c>
      <c r="H21" s="74">
        <f t="shared" si="2"/>
        <v>0</v>
      </c>
      <c r="I21" s="74">
        <f t="shared" si="2"/>
        <v>0</v>
      </c>
    </row>
    <row r="22" spans="1:9">
      <c r="A22" s="17" t="str">
        <f>HLOOKUP(INDICE!$F$2,Nombres!$C$3:$D$636,47,FALSE)</f>
        <v>Impuesto sobre beneficios</v>
      </c>
      <c r="B22" s="75">
        <v>-39.505112480000008</v>
      </c>
      <c r="C22" s="75">
        <v>-41.04021101999998</v>
      </c>
      <c r="D22" s="75">
        <v>-6.3177665699999963</v>
      </c>
      <c r="E22" s="76">
        <v>-31.875384210000078</v>
      </c>
      <c r="F22" s="75">
        <v>24.30120457000001</v>
      </c>
      <c r="G22" s="75">
        <v>0</v>
      </c>
      <c r="H22" s="75">
        <v>0</v>
      </c>
      <c r="I22" s="75">
        <v>0</v>
      </c>
    </row>
    <row r="23" spans="1:9">
      <c r="A23" s="25" t="str">
        <f>HLOOKUP(INDICE!$F$2,Nombres!$C$3:$D$636,48,FALSE)</f>
        <v>Resultado del ejercicio</v>
      </c>
      <c r="B23" s="25">
        <f>+B21+B22</f>
        <v>75.556799059999904</v>
      </c>
      <c r="C23" s="25">
        <f t="shared" ref="C23:I23" si="3">+C21+C22</f>
        <v>68.810217550000033</v>
      </c>
      <c r="D23" s="25">
        <f t="shared" si="3"/>
        <v>55.579329819999778</v>
      </c>
      <c r="E23" s="73">
        <f t="shared" si="3"/>
        <v>-12.460458480000668</v>
      </c>
      <c r="F23" s="74">
        <f t="shared" si="3"/>
        <v>57.411522730000222</v>
      </c>
      <c r="G23" s="74">
        <f t="shared" si="3"/>
        <v>0</v>
      </c>
      <c r="H23" s="74">
        <f t="shared" si="3"/>
        <v>0</v>
      </c>
      <c r="I23" s="74">
        <f t="shared" si="3"/>
        <v>0</v>
      </c>
    </row>
    <row r="24" spans="1:9">
      <c r="A24" s="17" t="str">
        <f>HLOOKUP(INDICE!$F$2,Nombres!$C$3:$D$636,49,FALSE)</f>
        <v>Minoritarios</v>
      </c>
      <c r="B24" s="75">
        <v>-24.330355140000002</v>
      </c>
      <c r="C24" s="75">
        <v>-21.481021989999991</v>
      </c>
      <c r="D24" s="75">
        <v>-19.076828009999996</v>
      </c>
      <c r="E24" s="76">
        <v>6.3530070099999705</v>
      </c>
      <c r="F24" s="75">
        <v>-23.169001049999999</v>
      </c>
      <c r="G24" s="75">
        <v>0</v>
      </c>
      <c r="H24" s="75">
        <v>0</v>
      </c>
      <c r="I24" s="75">
        <v>0</v>
      </c>
    </row>
    <row r="25" spans="1:9">
      <c r="A25" s="19" t="str">
        <f>HLOOKUP(INDICE!$F$2,Nombres!$C$3:$D$636,50,FALSE)</f>
        <v>Resultado atribuido</v>
      </c>
      <c r="B25" s="19">
        <f>+B23+B24</f>
        <v>51.226443919999902</v>
      </c>
      <c r="C25" s="19">
        <f t="shared" ref="C25:I25" si="4">+C23+C24</f>
        <v>47.329195560000045</v>
      </c>
      <c r="D25" s="19">
        <f t="shared" si="4"/>
        <v>36.502501809999785</v>
      </c>
      <c r="E25" s="19">
        <f t="shared" si="4"/>
        <v>-6.1074514700006972</v>
      </c>
      <c r="F25" s="94">
        <f t="shared" si="4"/>
        <v>34.242521680000223</v>
      </c>
      <c r="G25" s="94">
        <f t="shared" si="4"/>
        <v>0</v>
      </c>
      <c r="H25" s="94">
        <f t="shared" si="4"/>
        <v>0</v>
      </c>
      <c r="I25" s="94">
        <f t="shared" si="4"/>
        <v>0</v>
      </c>
    </row>
    <row r="26" spans="1:9">
      <c r="A26" s="91"/>
      <c r="B26" s="99">
        <v>0</v>
      </c>
      <c r="C26" s="99">
        <v>0</v>
      </c>
      <c r="D26" s="99">
        <v>-1.5631940186722204E-13</v>
      </c>
      <c r="E26" s="99">
        <v>-2.9842794901924208E-13</v>
      </c>
      <c r="F26" s="99">
        <v>-5.6843418860808015E-14</v>
      </c>
      <c r="G26" s="99">
        <v>0</v>
      </c>
      <c r="H26" s="99">
        <v>0</v>
      </c>
      <c r="I26" s="99">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2"/>
      <c r="D29" s="82"/>
      <c r="E29" s="82"/>
      <c r="F29" s="62"/>
      <c r="G29" s="83"/>
      <c r="H29" s="83"/>
      <c r="I29" s="83"/>
    </row>
    <row r="30" spans="1:9">
      <c r="A30" s="62"/>
      <c r="B30" s="84">
        <f>+España!B32</f>
        <v>45016</v>
      </c>
      <c r="C30" s="84">
        <f>+España!C32</f>
        <v>45107</v>
      </c>
      <c r="D30" s="84">
        <f>+España!D32</f>
        <v>45199</v>
      </c>
      <c r="E30" s="98">
        <f>+España!E32</f>
        <v>45291</v>
      </c>
      <c r="F30" s="100">
        <f>+España!F32</f>
        <v>45382</v>
      </c>
      <c r="G30" s="100">
        <f>+España!G32</f>
        <v>45473</v>
      </c>
      <c r="H30" s="100">
        <f>+España!H32</f>
        <v>45565</v>
      </c>
      <c r="I30" s="100">
        <f>+España!I32</f>
        <v>45657</v>
      </c>
    </row>
    <row r="31" spans="1:9">
      <c r="A31" s="17" t="str">
        <f>HLOOKUP(INDICE!$F$2,Nombres!$C$3:$D$636,52,FALSE)</f>
        <v>Efectivo, saldos en efectivo en bancos centrales y otros depósitos a la vista</v>
      </c>
      <c r="B31" s="75">
        <v>1651.0720000000001</v>
      </c>
      <c r="C31" s="75">
        <v>1348.6690000000001</v>
      </c>
      <c r="D31" s="75">
        <v>1291.1990000000001</v>
      </c>
      <c r="E31" s="76">
        <v>1283.7169999999999</v>
      </c>
      <c r="F31" s="75">
        <v>1382.0059999999999</v>
      </c>
      <c r="G31" s="75">
        <v>0</v>
      </c>
      <c r="H31" s="75">
        <v>0</v>
      </c>
      <c r="I31" s="75">
        <v>0</v>
      </c>
    </row>
    <row r="32" spans="1:9">
      <c r="A32" s="17" t="str">
        <f>HLOOKUP(INDICE!$F$2,Nombres!$C$3:$D$636,53,FALSE)</f>
        <v>Activos financieros a valor razonable</v>
      </c>
      <c r="B32" s="83">
        <v>3174.3609999999999</v>
      </c>
      <c r="C32" s="83">
        <v>3951.5320000000002</v>
      </c>
      <c r="D32" s="83">
        <v>3418.8240000000001</v>
      </c>
      <c r="E32" s="95">
        <v>1273.306</v>
      </c>
      <c r="F32" s="75">
        <v>1232.8699999999999</v>
      </c>
      <c r="G32" s="75">
        <v>0</v>
      </c>
      <c r="H32" s="75">
        <v>0</v>
      </c>
      <c r="I32" s="75">
        <v>0</v>
      </c>
    </row>
    <row r="33" spans="1:9">
      <c r="A33" s="17" t="str">
        <f>HLOOKUP(INDICE!$F$2,Nombres!$C$3:$D$636,54,FALSE)</f>
        <v>Activos financieros a coste amortizado</v>
      </c>
      <c r="B33" s="75">
        <v>4780.3849999999993</v>
      </c>
      <c r="C33" s="75">
        <v>4826.1310000000003</v>
      </c>
      <c r="D33" s="75">
        <v>4891.5560000000005</v>
      </c>
      <c r="E33" s="76">
        <v>3795.8789999999999</v>
      </c>
      <c r="F33" s="75">
        <v>5367.7419999999984</v>
      </c>
      <c r="G33" s="75">
        <v>0</v>
      </c>
      <c r="H33" s="75">
        <v>0</v>
      </c>
      <c r="I33" s="75">
        <v>0</v>
      </c>
    </row>
    <row r="34" spans="1:9">
      <c r="A34" s="17" t="str">
        <f>HLOOKUP(INDICE!$F$2,Nombres!$C$3:$D$636,55,FALSE)</f>
        <v xml:space="preserve">    de los que préstamos y anticipos a la clientela</v>
      </c>
      <c r="B34" s="75">
        <v>3806.3489999999997</v>
      </c>
      <c r="C34" s="75">
        <v>3819.7050000000004</v>
      </c>
      <c r="D34" s="75">
        <v>3721.6860000000006</v>
      </c>
      <c r="E34" s="76">
        <v>2246.2620000000002</v>
      </c>
      <c r="F34" s="75">
        <v>2838.7129999999997</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606.59400000000005</v>
      </c>
      <c r="C36" s="75">
        <v>619.92899999999997</v>
      </c>
      <c r="D36" s="75">
        <v>626.32100000000003</v>
      </c>
      <c r="E36" s="76">
        <v>407.97900000000004</v>
      </c>
      <c r="F36" s="75">
        <v>609.05300000000011</v>
      </c>
      <c r="G36" s="75">
        <v>0</v>
      </c>
      <c r="H36" s="75">
        <v>0</v>
      </c>
      <c r="I36" s="75">
        <v>0</v>
      </c>
    </row>
    <row r="37" spans="1:9">
      <c r="A37" s="17" t="str">
        <f>HLOOKUP(INDICE!$F$2,Nombres!$C$3:$D$636,57,FALSE)</f>
        <v>Otros activos</v>
      </c>
      <c r="B37" s="83">
        <f>+B38-B36-B33-B32-B31</f>
        <v>311.84337700000106</v>
      </c>
      <c r="C37" s="83">
        <f t="shared" ref="C37:I37" si="5">+C38-C36-C33-C32-C31</f>
        <v>267.96760515000074</v>
      </c>
      <c r="D37" s="83">
        <f t="shared" si="5"/>
        <v>329.11270783000236</v>
      </c>
      <c r="E37" s="95">
        <f t="shared" si="5"/>
        <v>198.19365704000052</v>
      </c>
      <c r="F37" s="75">
        <f t="shared" si="5"/>
        <v>319.36331800000016</v>
      </c>
      <c r="G37" s="75">
        <f t="shared" si="5"/>
        <v>0</v>
      </c>
      <c r="H37" s="75">
        <f t="shared" si="5"/>
        <v>0</v>
      </c>
      <c r="I37" s="75">
        <f t="shared" si="5"/>
        <v>0</v>
      </c>
    </row>
    <row r="38" spans="1:9">
      <c r="A38" s="19" t="str">
        <f>HLOOKUP(INDICE!$F$2,Nombres!$C$3:$D$636,58,FALSE)</f>
        <v>Total activo / pasivo</v>
      </c>
      <c r="B38" s="19">
        <v>10524.255377000001</v>
      </c>
      <c r="C38" s="19">
        <v>11014.228605150001</v>
      </c>
      <c r="D38" s="19">
        <v>10557.012707830003</v>
      </c>
      <c r="E38" s="19">
        <v>6959.0746570400006</v>
      </c>
      <c r="F38" s="94">
        <v>8911.0343179999982</v>
      </c>
      <c r="G38" s="94">
        <v>0</v>
      </c>
      <c r="H38" s="94">
        <v>0</v>
      </c>
      <c r="I38" s="94">
        <v>0</v>
      </c>
    </row>
    <row r="39" spans="1:9">
      <c r="A39" s="17" t="str">
        <f>HLOOKUP(INDICE!$F$2,Nombres!$C$3:$D$636,59,FALSE)</f>
        <v>Pasivos financieros mantenidos para negociar y designados a valor razonable con cambios en resultados</v>
      </c>
      <c r="B39" s="83">
        <v>2.2959999999999998</v>
      </c>
      <c r="C39" s="83">
        <v>162.553</v>
      </c>
      <c r="D39" s="83">
        <v>64.603000000000009</v>
      </c>
      <c r="E39" s="95">
        <v>13.974</v>
      </c>
      <c r="F39" s="75">
        <v>10.719999999999999</v>
      </c>
      <c r="G39" s="75">
        <v>0</v>
      </c>
      <c r="H39" s="75">
        <v>0</v>
      </c>
      <c r="I39" s="75">
        <v>0</v>
      </c>
    </row>
    <row r="40" spans="1:9">
      <c r="A40" s="17" t="str">
        <f>HLOOKUP(INDICE!$F$2,Nombres!$C$3:$D$636,60,FALSE)</f>
        <v>Depósitos de bancos centrales y entidades de crédito</v>
      </c>
      <c r="B40" s="83">
        <v>124.57600000000001</v>
      </c>
      <c r="C40" s="83">
        <v>118.277</v>
      </c>
      <c r="D40" s="83">
        <v>80.444999999999965</v>
      </c>
      <c r="E40" s="95">
        <v>45.649000000000001</v>
      </c>
      <c r="F40" s="75">
        <v>46.577999999999996</v>
      </c>
      <c r="G40" s="75">
        <v>0</v>
      </c>
      <c r="H40" s="75">
        <v>0</v>
      </c>
      <c r="I40" s="75">
        <v>0</v>
      </c>
    </row>
    <row r="41" spans="1:9" ht="15.75" customHeight="1">
      <c r="A41" s="17" t="str">
        <f>HLOOKUP(INDICE!$F$2,Nombres!$C$3:$D$636,61,FALSE)</f>
        <v>Depósitos de la clientela</v>
      </c>
      <c r="B41" s="83">
        <v>6900.0919999999996</v>
      </c>
      <c r="C41" s="83">
        <v>7197.0750000000007</v>
      </c>
      <c r="D41" s="83">
        <v>6974.1100000000006</v>
      </c>
      <c r="E41" s="95">
        <v>4059.9069999999997</v>
      </c>
      <c r="F41" s="75">
        <v>5128.6020000000008</v>
      </c>
      <c r="G41" s="75">
        <v>0</v>
      </c>
      <c r="H41" s="75">
        <v>0</v>
      </c>
      <c r="I41" s="75">
        <v>0</v>
      </c>
    </row>
    <row r="42" spans="1:9">
      <c r="A42" s="17" t="str">
        <f>HLOOKUP(INDICE!$F$2,Nombres!$C$3:$D$636,62,FALSE)</f>
        <v>Valores representativos de deuda emitidos</v>
      </c>
      <c r="B42" s="75">
        <v>326.28112549000002</v>
      </c>
      <c r="C42" s="75">
        <v>320.51789386999997</v>
      </c>
      <c r="D42" s="75">
        <v>223.61018881000001</v>
      </c>
      <c r="E42" s="76">
        <v>291.98419351000001</v>
      </c>
      <c r="F42" s="75">
        <v>235.25488761</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3">
        <f>+B38-B39-B40-B41-B42-B45</f>
        <v>2087.7465750500023</v>
      </c>
      <c r="C44" s="83">
        <f t="shared" ref="C44:I44" si="6">+C38-C39-C40-C41-C42-C45</f>
        <v>2142.0483225200005</v>
      </c>
      <c r="D44" s="83">
        <f t="shared" si="6"/>
        <v>2436.2004879000033</v>
      </c>
      <c r="E44" s="95">
        <f t="shared" si="6"/>
        <v>1569.9580452200007</v>
      </c>
      <c r="F44" s="75">
        <f t="shared" si="6"/>
        <v>2727.2791189799987</v>
      </c>
      <c r="G44" s="75">
        <f t="shared" si="6"/>
        <v>0</v>
      </c>
      <c r="H44" s="75">
        <f t="shared" si="6"/>
        <v>0</v>
      </c>
      <c r="I44" s="75">
        <f t="shared" si="6"/>
        <v>0</v>
      </c>
    </row>
    <row r="45" spans="1:9">
      <c r="A45" s="17" t="str">
        <f>HLOOKUP(INDICE!$F$2,Nombres!$C$3:$D$636,282,FALSE)</f>
        <v>Dotación de capital regulatorio</v>
      </c>
      <c r="B45" s="83">
        <v>1083.2636764599999</v>
      </c>
      <c r="C45" s="83">
        <v>1073.7573887600001</v>
      </c>
      <c r="D45" s="83">
        <v>778.04403112</v>
      </c>
      <c r="E45" s="95">
        <v>977.60241830999996</v>
      </c>
      <c r="F45" s="75">
        <v>762.60031141000002</v>
      </c>
      <c r="G45" s="75">
        <v>0</v>
      </c>
      <c r="H45" s="75">
        <v>0</v>
      </c>
      <c r="I45" s="75">
        <v>0</v>
      </c>
    </row>
    <row r="46" spans="1:9">
      <c r="A46" s="91"/>
      <c r="B46" s="83"/>
      <c r="C46" s="83"/>
      <c r="D46" s="83"/>
      <c r="E46" s="83"/>
      <c r="F46" s="75"/>
      <c r="G46" s="75"/>
      <c r="H46" s="75"/>
      <c r="I46" s="75"/>
    </row>
    <row r="47" spans="1:9">
      <c r="A47" s="17"/>
      <c r="B47" s="83"/>
      <c r="C47" s="83"/>
      <c r="D47" s="83"/>
      <c r="E47" s="83"/>
      <c r="F47" s="75"/>
      <c r="G47" s="75"/>
      <c r="H47" s="75"/>
      <c r="I47" s="75"/>
    </row>
    <row r="48" spans="1:9" ht="17">
      <c r="A48" s="65" t="str">
        <f>HLOOKUP(INDICE!$F$2,Nombres!$C$3:$D$636,65,FALSE)</f>
        <v>Indicadores relevantes y de gestión</v>
      </c>
      <c r="B48" s="66"/>
      <c r="C48" s="66"/>
      <c r="D48" s="66"/>
      <c r="E48" s="66"/>
      <c r="F48" s="104"/>
      <c r="G48" s="104"/>
      <c r="H48" s="104"/>
      <c r="I48" s="104"/>
    </row>
    <row r="49" spans="1:9">
      <c r="A49" s="67" t="str">
        <f>HLOOKUP(INDICE!$F$2,Nombres!$C$3:$D$636,32,FALSE)</f>
        <v>(Millones de euros)</v>
      </c>
      <c r="B49" s="62"/>
      <c r="C49" s="62"/>
      <c r="D49" s="62"/>
      <c r="E49" s="62"/>
      <c r="F49" s="105"/>
      <c r="G49" s="75"/>
      <c r="H49" s="75"/>
      <c r="I49" s="75"/>
    </row>
    <row r="50" spans="1:9">
      <c r="A50" s="62"/>
      <c r="B50" s="84">
        <f t="shared" ref="B50:I50" si="7">+B$30</f>
        <v>45016</v>
      </c>
      <c r="C50" s="84">
        <f t="shared" si="7"/>
        <v>45107</v>
      </c>
      <c r="D50" s="84">
        <f t="shared" si="7"/>
        <v>45199</v>
      </c>
      <c r="E50" s="98">
        <f t="shared" si="7"/>
        <v>45291</v>
      </c>
      <c r="F50" s="84">
        <f t="shared" si="7"/>
        <v>45382</v>
      </c>
      <c r="G50" s="84">
        <f t="shared" si="7"/>
        <v>45473</v>
      </c>
      <c r="H50" s="84">
        <f t="shared" si="7"/>
        <v>45565</v>
      </c>
      <c r="I50" s="84">
        <f t="shared" si="7"/>
        <v>45657</v>
      </c>
    </row>
    <row r="51" spans="1:9">
      <c r="A51" s="17" t="str">
        <f>HLOOKUP(INDICE!$F$2,Nombres!$C$3:$D$636,66,FALSE)</f>
        <v>Préstamos y anticipos a la clientela bruto (*)</v>
      </c>
      <c r="B51" s="75">
        <v>3925.1840000000002</v>
      </c>
      <c r="C51" s="75">
        <v>3944.527</v>
      </c>
      <c r="D51" s="75">
        <v>3826.5640000000008</v>
      </c>
      <c r="E51" s="76">
        <v>2297.2189999999996</v>
      </c>
      <c r="F51" s="75">
        <v>2904.8829999999998</v>
      </c>
      <c r="G51" s="75">
        <v>0</v>
      </c>
      <c r="H51" s="75">
        <v>0</v>
      </c>
      <c r="I51" s="75">
        <v>0</v>
      </c>
    </row>
    <row r="52" spans="1:9">
      <c r="A52" s="17" t="str">
        <f>HLOOKUP(INDICE!$F$2,Nombres!$C$3:$D$636,67,FALSE)</f>
        <v>Depósitos de clientes en gestión (**)</v>
      </c>
      <c r="B52" s="75">
        <v>6900.0919999999996</v>
      </c>
      <c r="C52" s="75">
        <v>7197.0749999999998</v>
      </c>
      <c r="D52" s="75">
        <v>6974.1100000000006</v>
      </c>
      <c r="E52" s="76">
        <v>4059.9070000000002</v>
      </c>
      <c r="F52" s="75">
        <v>5128.6019999999999</v>
      </c>
      <c r="G52" s="75">
        <v>0</v>
      </c>
      <c r="H52" s="75">
        <v>0</v>
      </c>
      <c r="I52" s="75">
        <v>0</v>
      </c>
    </row>
    <row r="53" spans="1:9">
      <c r="A53" s="17" t="str">
        <f>HLOOKUP(INDICE!$F$2,Nombres!$C$3:$D$636,68,FALSE)</f>
        <v>Fondos de inversión y carteras gestionadas</v>
      </c>
      <c r="B53" s="75">
        <v>2312.6319717900001</v>
      </c>
      <c r="C53" s="75">
        <v>2266.1268572899999</v>
      </c>
      <c r="D53" s="75">
        <v>2398.5756238600002</v>
      </c>
      <c r="E53" s="76">
        <v>1443.78053249</v>
      </c>
      <c r="F53" s="75">
        <v>1603.4831504100002</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1" t="str">
        <f>HLOOKUP(INDICE!$F$2,Nombres!$C$3:$D$636,71,FALSE)</f>
        <v>(*) No incluye las adquisiciones temporales de activos.</v>
      </c>
      <c r="B56" s="83"/>
      <c r="C56" s="83"/>
      <c r="D56" s="83"/>
      <c r="E56" s="83"/>
      <c r="F56" s="83"/>
      <c r="G56" s="83"/>
      <c r="H56" s="83"/>
      <c r="I56" s="83"/>
    </row>
    <row r="57" spans="1:9">
      <c r="A57" s="91" t="str">
        <f>HLOOKUP(INDICE!$F$2,Nombres!$C$3:$D$636,72,FALSE)</f>
        <v>(**) No incluye las cesiones temporales de activos.</v>
      </c>
      <c r="B57" s="62"/>
      <c r="C57" s="62"/>
      <c r="D57" s="62"/>
      <c r="E57" s="62"/>
      <c r="F57" s="62"/>
      <c r="G57" s="62"/>
      <c r="H57" s="62"/>
      <c r="I57" s="62"/>
    </row>
    <row r="58" spans="1:9">
      <c r="A58" s="91"/>
      <c r="B58" s="62"/>
      <c r="C58" s="62"/>
      <c r="D58" s="62"/>
      <c r="E58" s="62"/>
      <c r="F58" s="62"/>
      <c r="G58" s="62"/>
      <c r="H58" s="62"/>
      <c r="I58" s="62"/>
    </row>
    <row r="59" spans="1:9" ht="17">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c r="A62" s="70"/>
      <c r="B62" s="299">
        <f>+B$6</f>
        <v>2023</v>
      </c>
      <c r="C62" s="299"/>
      <c r="D62" s="299"/>
      <c r="E62" s="300"/>
      <c r="F62" s="299">
        <f>+F$6</f>
        <v>2024</v>
      </c>
      <c r="G62" s="299"/>
      <c r="H62" s="299"/>
      <c r="I62" s="299"/>
    </row>
    <row r="63" spans="1:9">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169.90369628162193</v>
      </c>
      <c r="C64" s="25">
        <v>359.69508024366252</v>
      </c>
      <c r="D64" s="25">
        <v>610.82944184722453</v>
      </c>
      <c r="E64" s="73">
        <v>699.63735267467075</v>
      </c>
      <c r="F64" s="74">
        <v>861.38800002999994</v>
      </c>
      <c r="G64" s="74">
        <v>0</v>
      </c>
      <c r="H64" s="74">
        <v>0</v>
      </c>
      <c r="I64" s="74">
        <v>0</v>
      </c>
    </row>
    <row r="65" spans="1:9">
      <c r="A65" s="17" t="str">
        <f>HLOOKUP(INDICE!$F$2,Nombres!$C$3:$D$636,34,FALSE)</f>
        <v>Comisiones netas</v>
      </c>
      <c r="B65" s="75">
        <v>13.912767173708211</v>
      </c>
      <c r="C65" s="75">
        <v>37.885392879545684</v>
      </c>
      <c r="D65" s="75">
        <v>46.892976522449956</v>
      </c>
      <c r="E65" s="76">
        <v>59.508041661715239</v>
      </c>
      <c r="F65" s="75">
        <v>57.282000010000019</v>
      </c>
      <c r="G65" s="75">
        <v>0</v>
      </c>
      <c r="H65" s="75">
        <v>0</v>
      </c>
      <c r="I65" s="75">
        <v>0</v>
      </c>
    </row>
    <row r="66" spans="1:9">
      <c r="A66" s="17" t="str">
        <f>HLOOKUP(INDICE!$F$2,Nombres!$C$3:$D$636,35,FALSE)</f>
        <v>Resultados de operaciones financieras</v>
      </c>
      <c r="B66" s="75">
        <v>9.9589552864637199</v>
      </c>
      <c r="C66" s="75">
        <v>24.966249567376366</v>
      </c>
      <c r="D66" s="75">
        <v>44.23373048339927</v>
      </c>
      <c r="E66" s="76">
        <v>213.68244683532188</v>
      </c>
      <c r="F66" s="75">
        <v>125.29120099999997</v>
      </c>
      <c r="G66" s="75">
        <v>0</v>
      </c>
      <c r="H66" s="75">
        <v>0</v>
      </c>
      <c r="I66" s="75">
        <v>0</v>
      </c>
    </row>
    <row r="67" spans="1:9">
      <c r="A67" s="17" t="str">
        <f>HLOOKUP(INDICE!$F$2,Nombres!$C$3:$D$636,36,FALSE)</f>
        <v>Otros ingresos y cargas de explotación</v>
      </c>
      <c r="B67" s="75">
        <v>-256.8008183969298</v>
      </c>
      <c r="C67" s="75">
        <v>-377.16065329642146</v>
      </c>
      <c r="D67" s="75">
        <v>-461.79434736973121</v>
      </c>
      <c r="E67" s="76">
        <v>-200.65844837256151</v>
      </c>
      <c r="F67" s="75">
        <v>-729.74000000999979</v>
      </c>
      <c r="G67" s="75">
        <v>0</v>
      </c>
      <c r="H67" s="75">
        <v>0</v>
      </c>
      <c r="I67" s="75">
        <v>0</v>
      </c>
    </row>
    <row r="68" spans="1:9">
      <c r="A68" s="25" t="str">
        <f>HLOOKUP(INDICE!$F$2,Nombres!$C$3:$D$636,37,FALSE)</f>
        <v>Margen bruto</v>
      </c>
      <c r="B68" s="25">
        <f>+SUM(B64:B67)</f>
        <v>-63.025399655135942</v>
      </c>
      <c r="C68" s="25">
        <f t="shared" ref="C68:I68" si="9">+SUM(C64:C67)</f>
        <v>45.386069394163144</v>
      </c>
      <c r="D68" s="25">
        <f t="shared" si="9"/>
        <v>240.16180148334263</v>
      </c>
      <c r="E68" s="73">
        <f t="shared" si="9"/>
        <v>772.16939279914641</v>
      </c>
      <c r="F68" s="74">
        <f t="shared" si="9"/>
        <v>314.22120103000009</v>
      </c>
      <c r="G68" s="74">
        <f t="shared" si="9"/>
        <v>0</v>
      </c>
      <c r="H68" s="74">
        <f t="shared" si="9"/>
        <v>0</v>
      </c>
      <c r="I68" s="74">
        <f t="shared" si="9"/>
        <v>0</v>
      </c>
    </row>
    <row r="69" spans="1:9">
      <c r="A69" s="17" t="str">
        <f>HLOOKUP(INDICE!$F$2,Nombres!$C$3:$D$636,38,FALSE)</f>
        <v>Gastos de explotación</v>
      </c>
      <c r="B69" s="75">
        <v>-62.804176634688645</v>
      </c>
      <c r="C69" s="75">
        <v>-120.17637396610411</v>
      </c>
      <c r="D69" s="75">
        <v>-200.06891377645945</v>
      </c>
      <c r="E69" s="76">
        <v>-168.89596840858377</v>
      </c>
      <c r="F69" s="75">
        <v>-203.37388286999999</v>
      </c>
      <c r="G69" s="75">
        <v>0</v>
      </c>
      <c r="H69" s="75">
        <v>0</v>
      </c>
      <c r="I69" s="75">
        <v>0</v>
      </c>
    </row>
    <row r="70" spans="1:9">
      <c r="A70" s="17" t="str">
        <f>HLOOKUP(INDICE!$F$2,Nombres!$C$3:$D$636,39,FALSE)</f>
        <v xml:space="preserve">  Gastos de administración</v>
      </c>
      <c r="B70" s="75">
        <v>-55.207865258976739</v>
      </c>
      <c r="C70" s="75">
        <v>-109.17356763078195</v>
      </c>
      <c r="D70" s="75">
        <v>-188.16076749984319</v>
      </c>
      <c r="E70" s="76">
        <v>-169.19406245711139</v>
      </c>
      <c r="F70" s="75">
        <v>-193.93088286</v>
      </c>
      <c r="G70" s="75">
        <v>0</v>
      </c>
      <c r="H70" s="75">
        <v>0</v>
      </c>
      <c r="I70" s="75">
        <v>0</v>
      </c>
    </row>
    <row r="71" spans="1:9">
      <c r="A71" s="77" t="str">
        <f>HLOOKUP(INDICE!$F$2,Nombres!$C$3:$D$636,40,FALSE)</f>
        <v xml:space="preserve">  Gastos de personal</v>
      </c>
      <c r="B71" s="75">
        <v>-28.916569080838233</v>
      </c>
      <c r="C71" s="75">
        <v>-55.787434579314933</v>
      </c>
      <c r="D71" s="75">
        <v>-96.154639333703955</v>
      </c>
      <c r="E71" s="76">
        <v>-96.799943352409855</v>
      </c>
      <c r="F71" s="75">
        <v>-100.38899999999998</v>
      </c>
      <c r="G71" s="75">
        <v>0</v>
      </c>
      <c r="H71" s="75">
        <v>0</v>
      </c>
      <c r="I71" s="75">
        <v>0</v>
      </c>
    </row>
    <row r="72" spans="1:9">
      <c r="A72" s="77" t="str">
        <f>HLOOKUP(INDICE!$F$2,Nombres!$C$3:$D$636,41,FALSE)</f>
        <v xml:space="preserve">  Otros gastos de administración</v>
      </c>
      <c r="B72" s="75">
        <v>-26.291296178138502</v>
      </c>
      <c r="C72" s="75">
        <v>-53.386133051467013</v>
      </c>
      <c r="D72" s="75">
        <v>-92.006128166139263</v>
      </c>
      <c r="E72" s="76">
        <v>-72.394119104701502</v>
      </c>
      <c r="F72" s="75">
        <v>-93.541882860000001</v>
      </c>
      <c r="G72" s="75">
        <v>0</v>
      </c>
      <c r="H72" s="75">
        <v>0</v>
      </c>
      <c r="I72" s="75">
        <v>0</v>
      </c>
    </row>
    <row r="73" spans="1:9">
      <c r="A73" s="17" t="str">
        <f>HLOOKUP(INDICE!$F$2,Nombres!$C$3:$D$636,42,FALSE)</f>
        <v xml:space="preserve">  Amortización</v>
      </c>
      <c r="B73" s="75">
        <v>-7.5963113757119087</v>
      </c>
      <c r="C73" s="75">
        <v>-11.002806335322159</v>
      </c>
      <c r="D73" s="75">
        <v>-11.908146276616236</v>
      </c>
      <c r="E73" s="76">
        <v>0.29809404852760402</v>
      </c>
      <c r="F73" s="75">
        <v>-9.4430000100000022</v>
      </c>
      <c r="G73" s="75">
        <v>0</v>
      </c>
      <c r="H73" s="75">
        <v>0</v>
      </c>
      <c r="I73" s="75">
        <v>0</v>
      </c>
    </row>
    <row r="74" spans="1:9">
      <c r="A74" s="25" t="str">
        <f>HLOOKUP(INDICE!$F$2,Nombres!$C$3:$D$636,43,FALSE)</f>
        <v>Margen neto</v>
      </c>
      <c r="B74" s="25">
        <f>+B68+B69</f>
        <v>-125.82957628982459</v>
      </c>
      <c r="C74" s="25">
        <f t="shared" ref="C74:I74" si="10">+C68+C69</f>
        <v>-74.790304571940965</v>
      </c>
      <c r="D74" s="25">
        <f t="shared" si="10"/>
        <v>40.092887706883175</v>
      </c>
      <c r="E74" s="73">
        <f t="shared" si="10"/>
        <v>603.2734243905627</v>
      </c>
      <c r="F74" s="74">
        <f t="shared" si="10"/>
        <v>110.8473181600001</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-12.847250386419224</v>
      </c>
      <c r="C75" s="75">
        <v>-42.292335560967537</v>
      </c>
      <c r="D75" s="75">
        <v>-49.086611281276603</v>
      </c>
      <c r="E75" s="76">
        <v>-38.025712033943975</v>
      </c>
      <c r="F75" s="75">
        <v>-44.312999999999995</v>
      </c>
      <c r="G75" s="75">
        <v>0</v>
      </c>
      <c r="H75" s="75">
        <v>0</v>
      </c>
      <c r="I75" s="75">
        <v>0</v>
      </c>
    </row>
    <row r="76" spans="1:9">
      <c r="A76" s="17" t="str">
        <f>HLOOKUP(INDICE!$F$2,Nombres!$C$3:$D$636,45,FALSE)</f>
        <v>Provisiones o reversión de provisiones y otros resultados</v>
      </c>
      <c r="B76" s="75">
        <v>-1.7461167476584154</v>
      </c>
      <c r="C76" s="75">
        <v>-4.652636887564781</v>
      </c>
      <c r="D76" s="75">
        <v>-4.077943520567592</v>
      </c>
      <c r="E76" s="76">
        <v>-15.364416407305791</v>
      </c>
      <c r="F76" s="75">
        <v>-33.423999999999999</v>
      </c>
      <c r="G76" s="75">
        <v>0</v>
      </c>
      <c r="H76" s="75">
        <v>0</v>
      </c>
      <c r="I76" s="75">
        <v>0</v>
      </c>
    </row>
    <row r="77" spans="1:9">
      <c r="A77" s="25" t="str">
        <f>HLOOKUP(INDICE!$F$2,Nombres!$C$3:$D$636,46,FALSE)</f>
        <v>Resultado antes de impuestos</v>
      </c>
      <c r="B77" s="25">
        <f>+B74+B75+B76</f>
        <v>-140.42294342390224</v>
      </c>
      <c r="C77" s="25">
        <f t="shared" ref="C77:I77" si="11">+C74+C75+C76</f>
        <v>-121.73527702047328</v>
      </c>
      <c r="D77" s="25">
        <f t="shared" si="11"/>
        <v>-13.07166709496102</v>
      </c>
      <c r="E77" s="73">
        <f t="shared" si="11"/>
        <v>549.88329594931292</v>
      </c>
      <c r="F77" s="74">
        <f t="shared" si="11"/>
        <v>33.110318160000112</v>
      </c>
      <c r="G77" s="74">
        <f t="shared" si="11"/>
        <v>0</v>
      </c>
      <c r="H77" s="74">
        <f t="shared" si="11"/>
        <v>0</v>
      </c>
      <c r="I77" s="74">
        <f t="shared" si="11"/>
        <v>0</v>
      </c>
    </row>
    <row r="78" spans="1:9">
      <c r="A78" s="17" t="str">
        <f>HLOOKUP(INDICE!$F$2,Nombres!$C$3:$D$636,47,FALSE)</f>
        <v>Impuesto sobre beneficios</v>
      </c>
      <c r="B78" s="75">
        <v>50.275516370075493</v>
      </c>
      <c r="C78" s="75">
        <v>38.484507073260552</v>
      </c>
      <c r="D78" s="75">
        <v>19.081803399338305</v>
      </c>
      <c r="E78" s="76">
        <v>-215.58729898562726</v>
      </c>
      <c r="F78" s="75">
        <v>24.301204570000003</v>
      </c>
      <c r="G78" s="75">
        <v>0</v>
      </c>
      <c r="H78" s="75">
        <v>0</v>
      </c>
      <c r="I78" s="75">
        <v>0</v>
      </c>
    </row>
    <row r="79" spans="1:9">
      <c r="A79" s="25" t="str">
        <f>HLOOKUP(INDICE!$F$2,Nombres!$C$3:$D$636,48,FALSE)</f>
        <v>Resultado del ejercicio</v>
      </c>
      <c r="B79" s="25">
        <f>+B77+B78</f>
        <v>-90.147427053826746</v>
      </c>
      <c r="C79" s="25">
        <f t="shared" ref="C79:I79" si="12">+C77+C78</f>
        <v>-83.250769947212717</v>
      </c>
      <c r="D79" s="25">
        <f t="shared" si="12"/>
        <v>6.0101363043772853</v>
      </c>
      <c r="E79" s="73">
        <f t="shared" si="12"/>
        <v>334.29599696368564</v>
      </c>
      <c r="F79" s="74">
        <f t="shared" si="12"/>
        <v>57.411522730000115</v>
      </c>
      <c r="G79" s="74">
        <f t="shared" si="12"/>
        <v>0</v>
      </c>
      <c r="H79" s="74">
        <f t="shared" si="12"/>
        <v>0</v>
      </c>
      <c r="I79" s="74">
        <f t="shared" si="12"/>
        <v>0</v>
      </c>
    </row>
    <row r="80" spans="1:9">
      <c r="A80" s="17" t="str">
        <f>HLOOKUP(INDICE!$F$2,Nombres!$C$3:$D$636,49,FALSE)</f>
        <v>Minoritarios</v>
      </c>
      <c r="B80" s="75">
        <v>30.244541627215529</v>
      </c>
      <c r="C80" s="75">
        <v>28.675873202512246</v>
      </c>
      <c r="D80" s="75">
        <v>-1.842356171412721</v>
      </c>
      <c r="E80" s="76">
        <v>-108.88164738799094</v>
      </c>
      <c r="F80" s="75">
        <v>-23.169001050000013</v>
      </c>
      <c r="G80" s="75">
        <v>0</v>
      </c>
      <c r="H80" s="75">
        <v>0</v>
      </c>
      <c r="I80" s="75">
        <v>0</v>
      </c>
    </row>
    <row r="81" spans="1:9">
      <c r="A81" s="19" t="str">
        <f>HLOOKUP(INDICE!$F$2,Nombres!$C$3:$D$636,50,FALSE)</f>
        <v>Resultado atribuido</v>
      </c>
      <c r="B81" s="19">
        <f>+B79+B80</f>
        <v>-59.902885426611221</v>
      </c>
      <c r="C81" s="19">
        <f t="shared" ref="C81:I81" si="13">+C79+C80</f>
        <v>-54.574896744700467</v>
      </c>
      <c r="D81" s="19">
        <f t="shared" si="13"/>
        <v>4.1677801329645643</v>
      </c>
      <c r="E81" s="19">
        <f t="shared" si="13"/>
        <v>225.4143495756947</v>
      </c>
      <c r="F81" s="94">
        <f t="shared" si="13"/>
        <v>34.242521680000102</v>
      </c>
      <c r="G81" s="94">
        <f t="shared" si="13"/>
        <v>0</v>
      </c>
      <c r="H81" s="94">
        <f t="shared" si="13"/>
        <v>0</v>
      </c>
      <c r="I81" s="94">
        <f t="shared" si="13"/>
        <v>0</v>
      </c>
    </row>
    <row r="82" spans="1:9">
      <c r="A82" s="91"/>
      <c r="B82" s="99">
        <v>0</v>
      </c>
      <c r="C82" s="99">
        <v>0</v>
      </c>
      <c r="D82" s="99">
        <v>-5.1514348342607263E-14</v>
      </c>
      <c r="E82" s="99">
        <v>0</v>
      </c>
      <c r="F82" s="99">
        <v>6.3948846218409017E-14</v>
      </c>
      <c r="G82" s="99">
        <v>0</v>
      </c>
      <c r="H82" s="99">
        <v>0</v>
      </c>
      <c r="I82" s="99">
        <v>0</v>
      </c>
    </row>
    <row r="83" spans="1:9">
      <c r="A83" s="25"/>
      <c r="B83" s="25"/>
      <c r="C83" s="25"/>
      <c r="D83" s="25"/>
      <c r="E83" s="25"/>
      <c r="F83" s="74"/>
      <c r="G83" s="74"/>
      <c r="H83" s="74"/>
      <c r="I83" s="74"/>
    </row>
    <row r="84" spans="1:9" ht="17">
      <c r="A84" s="65" t="str">
        <f>HLOOKUP(INDICE!$F$2,Nombres!$C$3:$D$636,51,FALSE)</f>
        <v>Balances</v>
      </c>
      <c r="B84" s="66"/>
      <c r="C84" s="66"/>
      <c r="D84" s="66"/>
      <c r="E84" s="66"/>
      <c r="F84" s="104"/>
      <c r="G84" s="104"/>
      <c r="H84" s="104"/>
      <c r="I84" s="104"/>
    </row>
    <row r="85" spans="1:9">
      <c r="A85" s="67" t="str">
        <f>HLOOKUP(INDICE!$F$2,Nombres!$C$3:$D$636,73,FALSE)</f>
        <v>(Millones de euros constantes)</v>
      </c>
      <c r="B85" s="62"/>
      <c r="C85" s="82"/>
      <c r="D85" s="82"/>
      <c r="E85" s="82"/>
      <c r="F85" s="105"/>
      <c r="G85" s="75"/>
      <c r="H85" s="75"/>
      <c r="I85" s="75"/>
    </row>
    <row r="86" spans="1:9">
      <c r="A86" s="62"/>
      <c r="B86" s="84">
        <f t="shared" ref="B86:I86" si="14">+B$30</f>
        <v>45016</v>
      </c>
      <c r="C86" s="84">
        <f t="shared" si="14"/>
        <v>45107</v>
      </c>
      <c r="D86" s="84">
        <f t="shared" si="14"/>
        <v>45199</v>
      </c>
      <c r="E86" s="98">
        <f t="shared" si="14"/>
        <v>45291</v>
      </c>
      <c r="F86" s="84">
        <f t="shared" si="14"/>
        <v>45382</v>
      </c>
      <c r="G86" s="84">
        <f t="shared" si="14"/>
        <v>45473</v>
      </c>
      <c r="H86" s="84">
        <f t="shared" si="14"/>
        <v>45565</v>
      </c>
      <c r="I86" s="84">
        <f t="shared" si="14"/>
        <v>45657</v>
      </c>
    </row>
    <row r="87" spans="1:9">
      <c r="A87" s="17" t="str">
        <f>HLOOKUP(INDICE!$F$2,Nombres!$C$3:$D$636,52,FALSE)</f>
        <v>Efectivo, saldos en efectivo en bancos centrales y otros depósitos a la vista</v>
      </c>
      <c r="B87" s="75">
        <v>404.06221194147827</v>
      </c>
      <c r="C87" s="75">
        <v>405.10450893500695</v>
      </c>
      <c r="D87" s="75">
        <v>516.52864192566142</v>
      </c>
      <c r="E87" s="76">
        <v>1236.4361331350331</v>
      </c>
      <c r="F87" s="75">
        <v>1382.0059999999999</v>
      </c>
      <c r="G87" s="75">
        <v>0</v>
      </c>
      <c r="H87" s="75">
        <v>0</v>
      </c>
      <c r="I87" s="75">
        <v>0</v>
      </c>
    </row>
    <row r="88" spans="1:9">
      <c r="A88" s="17" t="str">
        <f>HLOOKUP(INDICE!$F$2,Nombres!$C$3:$D$636,53,FALSE)</f>
        <v>Activos financieros a valor razonable</v>
      </c>
      <c r="B88" s="83">
        <v>776.85244929401188</v>
      </c>
      <c r="C88" s="83">
        <v>1186.935734713978</v>
      </c>
      <c r="D88" s="83">
        <v>1367.6594527279351</v>
      </c>
      <c r="E88" s="95">
        <v>1226.4085829958135</v>
      </c>
      <c r="F88" s="75">
        <v>1232.8699999999999</v>
      </c>
      <c r="G88" s="75">
        <v>0</v>
      </c>
      <c r="H88" s="75">
        <v>0</v>
      </c>
      <c r="I88" s="75">
        <v>0</v>
      </c>
    </row>
    <row r="89" spans="1:9">
      <c r="A89" s="17" t="str">
        <f>HLOOKUP(INDICE!$F$2,Nombres!$C$3:$D$636,54,FALSE)</f>
        <v>Activos financieros a coste amortizado</v>
      </c>
      <c r="B89" s="75">
        <v>1169.8901907559834</v>
      </c>
      <c r="C89" s="75">
        <v>1449.6421500093902</v>
      </c>
      <c r="D89" s="75">
        <v>1956.8081895845028</v>
      </c>
      <c r="E89" s="76">
        <v>3656.0721347528133</v>
      </c>
      <c r="F89" s="75">
        <v>5367.7419999999984</v>
      </c>
      <c r="G89" s="75">
        <v>0</v>
      </c>
      <c r="H89" s="75">
        <v>0</v>
      </c>
      <c r="I89" s="75">
        <v>0</v>
      </c>
    </row>
    <row r="90" spans="1:9">
      <c r="A90" s="17" t="str">
        <f>HLOOKUP(INDICE!$F$2,Nombres!$C$3:$D$636,55,FALSE)</f>
        <v xml:space="preserve">    de los que préstamos y anticipos a la clientela</v>
      </c>
      <c r="B90" s="75">
        <v>931.51709698985474</v>
      </c>
      <c r="C90" s="75">
        <v>1147.3383894058445</v>
      </c>
      <c r="D90" s="75">
        <v>1488.8157559398255</v>
      </c>
      <c r="E90" s="76">
        <v>2163.5294237656481</v>
      </c>
      <c r="F90" s="75">
        <v>2838.7129999999997</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507.15581271810919</v>
      </c>
      <c r="C92" s="75">
        <v>541.90623856976617</v>
      </c>
      <c r="D92" s="75">
        <v>571.97838084502257</v>
      </c>
      <c r="E92" s="76">
        <v>406.34071683167377</v>
      </c>
      <c r="F92" s="75">
        <v>609.05300000000011</v>
      </c>
      <c r="G92" s="75">
        <v>0</v>
      </c>
      <c r="H92" s="75">
        <v>0</v>
      </c>
      <c r="I92" s="75">
        <v>0</v>
      </c>
    </row>
    <row r="93" spans="1:9">
      <c r="A93" s="17" t="str">
        <f>HLOOKUP(INDICE!$F$2,Nombres!$C$3:$D$636,57,FALSE)</f>
        <v>Otros activos</v>
      </c>
      <c r="B93" s="83">
        <f>+B94-B92-B89-B88-B87</f>
        <v>100.89601248266638</v>
      </c>
      <c r="C93" s="83">
        <f t="shared" ref="C93:I93" si="15">+C94-C92-C89-C88-C87</f>
        <v>106.36592379122919</v>
      </c>
      <c r="D93" s="83">
        <f t="shared" si="15"/>
        <v>155.85116640717149</v>
      </c>
      <c r="E93" s="95">
        <f t="shared" si="15"/>
        <v>191.97265213055857</v>
      </c>
      <c r="F93" s="75">
        <f t="shared" si="15"/>
        <v>319.36331800000016</v>
      </c>
      <c r="G93" s="75">
        <f t="shared" si="15"/>
        <v>0</v>
      </c>
      <c r="H93" s="75">
        <f t="shared" si="15"/>
        <v>0</v>
      </c>
      <c r="I93" s="75">
        <f t="shared" si="15"/>
        <v>0</v>
      </c>
    </row>
    <row r="94" spans="1:9">
      <c r="A94" s="19" t="str">
        <f>HLOOKUP(INDICE!$F$2,Nombres!$C$3:$D$636,58,FALSE)</f>
        <v>Total activo / pasivo</v>
      </c>
      <c r="B94" s="19">
        <v>2958.8566771922492</v>
      </c>
      <c r="C94" s="19">
        <v>3689.9545560193706</v>
      </c>
      <c r="D94" s="19">
        <v>4568.8258314902932</v>
      </c>
      <c r="E94" s="19">
        <v>6717.230219845892</v>
      </c>
      <c r="F94" s="94">
        <v>8911.0343179999982</v>
      </c>
      <c r="G94" s="94">
        <v>0</v>
      </c>
      <c r="H94" s="94">
        <v>0</v>
      </c>
      <c r="I94" s="94">
        <v>0</v>
      </c>
    </row>
    <row r="95" spans="1:9">
      <c r="A95" s="17" t="str">
        <f>HLOOKUP(INDICE!$F$2,Nombres!$C$3:$D$636,59,FALSE)</f>
        <v>Pasivos financieros mantenidos para negociar y designados a valor razonable con cambios en resultados</v>
      </c>
      <c r="B95" s="83">
        <v>0.5618936294829262</v>
      </c>
      <c r="C95" s="83">
        <v>48.8266233159598</v>
      </c>
      <c r="D95" s="83">
        <v>25.843653731395008</v>
      </c>
      <c r="E95" s="95">
        <v>13.459320492311745</v>
      </c>
      <c r="F95" s="75">
        <v>10.719999999999999</v>
      </c>
      <c r="G95" s="75">
        <v>0</v>
      </c>
      <c r="H95" s="75">
        <v>0</v>
      </c>
      <c r="I95" s="75">
        <v>0</v>
      </c>
    </row>
    <row r="96" spans="1:9">
      <c r="A96" s="17" t="str">
        <f>HLOOKUP(INDICE!$F$2,Nombres!$C$3:$D$636,60,FALSE)</f>
        <v>Depósitos de bancos centrales y entidades de crédito</v>
      </c>
      <c r="B96" s="83">
        <v>30.487134488878489</v>
      </c>
      <c r="C96" s="83">
        <v>35.527283568693164</v>
      </c>
      <c r="D96" s="83">
        <v>32.181055437395649</v>
      </c>
      <c r="E96" s="95">
        <v>43.967691509484666</v>
      </c>
      <c r="F96" s="75">
        <v>46.577999999999996</v>
      </c>
      <c r="G96" s="75">
        <v>0</v>
      </c>
      <c r="H96" s="75">
        <v>0</v>
      </c>
      <c r="I96" s="75">
        <v>0</v>
      </c>
    </row>
    <row r="97" spans="1:9">
      <c r="A97" s="17" t="str">
        <f>HLOOKUP(INDICE!$F$2,Nombres!$C$3:$D$636,61,FALSE)</f>
        <v>Depósitos de la clientela</v>
      </c>
      <c r="B97" s="83">
        <v>1688.6401296368044</v>
      </c>
      <c r="C97" s="83">
        <v>2161.8110401020676</v>
      </c>
      <c r="D97" s="83">
        <v>2789.9088885138335</v>
      </c>
      <c r="E97" s="95">
        <v>3910.3756606540646</v>
      </c>
      <c r="F97" s="75">
        <v>5128.6020000000008</v>
      </c>
      <c r="G97" s="75">
        <v>0</v>
      </c>
      <c r="H97" s="75">
        <v>0</v>
      </c>
      <c r="I97" s="75">
        <v>0</v>
      </c>
    </row>
    <row r="98" spans="1:9">
      <c r="A98" s="17" t="str">
        <f>HLOOKUP(INDICE!$F$2,Nombres!$C$3:$D$636,62,FALSE)</f>
        <v>Valores representativos de deuda emitidos</v>
      </c>
      <c r="B98" s="75">
        <v>79.849863167835451</v>
      </c>
      <c r="C98" s="75">
        <v>96.275100859505955</v>
      </c>
      <c r="D98" s="75">
        <v>89.452568617827325</v>
      </c>
      <c r="E98" s="76">
        <v>281.23005861888225</v>
      </c>
      <c r="F98" s="75">
        <v>235.25488761</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3">
        <f>+B94-B95-B96-B97-B98-B101</f>
        <v>844.63389290772193</v>
      </c>
      <c r="C100" s="83">
        <f t="shared" ref="C100:I100" si="16">+C94-C95-C96-C97-C98-C101</f>
        <v>979.872635646905</v>
      </c>
      <c r="D100" s="83">
        <f t="shared" si="16"/>
        <v>1287.7183326320398</v>
      </c>
      <c r="E100" s="95">
        <f t="shared" si="16"/>
        <v>1524.0793647838868</v>
      </c>
      <c r="F100" s="75">
        <f t="shared" si="16"/>
        <v>2727.2791189799987</v>
      </c>
      <c r="G100" s="75">
        <f t="shared" si="16"/>
        <v>0</v>
      </c>
      <c r="H100" s="75">
        <f t="shared" si="16"/>
        <v>0</v>
      </c>
      <c r="I100" s="75">
        <f t="shared" si="16"/>
        <v>0</v>
      </c>
    </row>
    <row r="101" spans="1:9">
      <c r="A101" s="17" t="str">
        <f>HLOOKUP(INDICE!$F$2,Nombres!$C$3:$D$636,282,FALSE)</f>
        <v>Dotación de capital regulatorio</v>
      </c>
      <c r="B101" s="83">
        <v>314.68376336152642</v>
      </c>
      <c r="C101" s="83">
        <v>367.6418725262389</v>
      </c>
      <c r="D101" s="83">
        <v>343.72133255780176</v>
      </c>
      <c r="E101" s="95">
        <v>944.11812378726199</v>
      </c>
      <c r="F101" s="75">
        <v>762.60031141000002</v>
      </c>
      <c r="G101" s="75">
        <v>0</v>
      </c>
      <c r="H101" s="75">
        <v>0</v>
      </c>
      <c r="I101" s="75">
        <v>0</v>
      </c>
    </row>
    <row r="102" spans="1:9">
      <c r="A102" s="91"/>
      <c r="B102" s="83"/>
      <c r="C102" s="83"/>
      <c r="D102" s="83"/>
      <c r="E102" s="83"/>
      <c r="F102" s="75"/>
      <c r="G102" s="75"/>
      <c r="H102" s="75"/>
      <c r="I102" s="75"/>
    </row>
    <row r="103" spans="1:9">
      <c r="A103" s="17"/>
      <c r="B103" s="83"/>
      <c r="C103" s="83"/>
      <c r="D103" s="83"/>
      <c r="E103" s="83"/>
      <c r="F103" s="75"/>
      <c r="G103" s="75"/>
      <c r="H103" s="75"/>
      <c r="I103" s="75"/>
    </row>
    <row r="104" spans="1:9" ht="17">
      <c r="A104" s="65" t="str">
        <f>HLOOKUP(INDICE!$F$2,Nombres!$C$3:$D$636,65,FALSE)</f>
        <v>Indicadores relevantes y de gestión</v>
      </c>
      <c r="B104" s="66"/>
      <c r="C104" s="66"/>
      <c r="D104" s="66"/>
      <c r="E104" s="66"/>
      <c r="F104" s="104"/>
      <c r="G104" s="104"/>
      <c r="H104" s="104"/>
      <c r="I104" s="104"/>
    </row>
    <row r="105" spans="1:9">
      <c r="A105" s="67" t="str">
        <f>HLOOKUP(INDICE!$F$2,Nombres!$C$3:$D$636,73,FALSE)</f>
        <v>(Millones de euros constantes)</v>
      </c>
      <c r="B105" s="62"/>
      <c r="C105" s="62"/>
      <c r="D105" s="62"/>
      <c r="E105" s="62"/>
      <c r="F105" s="105"/>
      <c r="G105" s="75"/>
      <c r="H105" s="75"/>
      <c r="I105" s="75"/>
    </row>
    <row r="106" spans="1:9">
      <c r="A106" s="62"/>
      <c r="B106" s="84">
        <f t="shared" ref="B106:I106" si="17">+B$30</f>
        <v>45016</v>
      </c>
      <c r="C106" s="84">
        <f t="shared" si="17"/>
        <v>45107</v>
      </c>
      <c r="D106" s="84">
        <f t="shared" si="17"/>
        <v>45199</v>
      </c>
      <c r="E106" s="98">
        <f t="shared" si="17"/>
        <v>45291</v>
      </c>
      <c r="F106" s="84">
        <f t="shared" si="17"/>
        <v>45382</v>
      </c>
      <c r="G106" s="84">
        <f t="shared" si="17"/>
        <v>45473</v>
      </c>
      <c r="H106" s="84">
        <f t="shared" si="17"/>
        <v>45565</v>
      </c>
      <c r="I106" s="84">
        <f t="shared" si="17"/>
        <v>45657</v>
      </c>
    </row>
    <row r="107" spans="1:9">
      <c r="A107" s="17" t="str">
        <f>HLOOKUP(INDICE!$F$2,Nombres!$C$3:$D$636,66,FALSE)</f>
        <v>Préstamos y anticipos a la clientela bruto (*)</v>
      </c>
      <c r="B107" s="75">
        <v>960.59925267783547</v>
      </c>
      <c r="C107" s="75">
        <v>1184.8316179254336</v>
      </c>
      <c r="D107" s="75">
        <v>1530.7709393839573</v>
      </c>
      <c r="E107" s="76">
        <v>2212.6096151444031</v>
      </c>
      <c r="F107" s="75">
        <v>2904.8829999999998</v>
      </c>
      <c r="G107" s="75">
        <v>0</v>
      </c>
      <c r="H107" s="75">
        <v>0</v>
      </c>
      <c r="I107" s="75">
        <v>0</v>
      </c>
    </row>
    <row r="108" spans="1:9">
      <c r="A108" s="17" t="str">
        <f>HLOOKUP(INDICE!$F$2,Nombres!$C$3:$D$636,67,FALSE)</f>
        <v>Depósitos de clientes en gestión (**)</v>
      </c>
      <c r="B108" s="75">
        <v>1688.6401296368047</v>
      </c>
      <c r="C108" s="75">
        <v>2161.8110401020672</v>
      </c>
      <c r="D108" s="75">
        <v>2789.908888513834</v>
      </c>
      <c r="E108" s="76">
        <v>3910.3756606540646</v>
      </c>
      <c r="F108" s="75">
        <v>5128.6019999999999</v>
      </c>
      <c r="G108" s="75">
        <v>0</v>
      </c>
      <c r="H108" s="75">
        <v>0</v>
      </c>
      <c r="I108" s="75">
        <v>0</v>
      </c>
    </row>
    <row r="109" spans="1:9">
      <c r="A109" s="17" t="str">
        <f>HLOOKUP(INDICE!$F$2,Nombres!$C$3:$D$636,68,FALSE)</f>
        <v>Fondos de inversión y carteras gestionadas</v>
      </c>
      <c r="B109" s="75">
        <v>565.96392521225584</v>
      </c>
      <c r="C109" s="75">
        <v>680.68459177670434</v>
      </c>
      <c r="D109" s="75">
        <v>959.52135151003199</v>
      </c>
      <c r="E109" s="76">
        <v>1390.6043299945195</v>
      </c>
      <c r="F109" s="75">
        <v>1603.4831504100002</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1" t="str">
        <f>HLOOKUP(INDICE!$F$2,Nombres!$C$3:$D$636,71,FALSE)</f>
        <v>(*) No incluye las adquisiciones temporales de activos.</v>
      </c>
      <c r="B112" s="83"/>
      <c r="C112" s="83"/>
      <c r="D112" s="83"/>
      <c r="E112" s="83"/>
      <c r="F112" s="83"/>
      <c r="G112" s="83"/>
      <c r="H112" s="83"/>
      <c r="I112" s="83"/>
    </row>
    <row r="113" spans="1:9">
      <c r="A113" s="91" t="str">
        <f>HLOOKUP(INDICE!$F$2,Nombres!$C$3:$D$636,72,FALSE)</f>
        <v>(**) No incluye las cesiones temporales de activos.</v>
      </c>
      <c r="B113" s="62"/>
      <c r="C113" s="62"/>
      <c r="D113" s="62"/>
      <c r="E113" s="62"/>
      <c r="F113" s="62"/>
      <c r="G113" s="62"/>
      <c r="H113" s="62"/>
      <c r="I113" s="62"/>
    </row>
    <row r="114" spans="1:9">
      <c r="A114" s="91"/>
      <c r="B114" s="83"/>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HLOOKUP(INDICE!$F$2,Nombres!$C$3:$D$636,78,FALSE)</f>
        <v>(Millones de pesos argentinos)</v>
      </c>
      <c r="B116" s="62"/>
      <c r="C116" s="68"/>
      <c r="D116" s="68"/>
      <c r="E116" s="68"/>
      <c r="F116" s="62"/>
      <c r="G116" s="62"/>
      <c r="H116" s="62"/>
      <c r="I116" s="62"/>
    </row>
    <row r="117" spans="1:9">
      <c r="A117" s="69"/>
      <c r="B117" s="62"/>
      <c r="C117" s="68"/>
      <c r="D117" s="68"/>
      <c r="E117" s="68"/>
      <c r="F117" s="62"/>
      <c r="G117" s="62"/>
      <c r="H117" s="62"/>
      <c r="I117" s="62"/>
    </row>
    <row r="118" spans="1:9">
      <c r="A118" s="70"/>
      <c r="B118" s="299">
        <f>+B$6</f>
        <v>2023</v>
      </c>
      <c r="C118" s="299"/>
      <c r="D118" s="299"/>
      <c r="E118" s="300"/>
      <c r="F118" s="299">
        <f>+F$6</f>
        <v>2024</v>
      </c>
      <c r="G118" s="299"/>
      <c r="H118" s="299"/>
      <c r="I118" s="299"/>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134555.78309684078</v>
      </c>
      <c r="C120" s="25">
        <v>227518.32543815114</v>
      </c>
      <c r="D120" s="25">
        <v>392122.49476917041</v>
      </c>
      <c r="E120" s="73">
        <v>924145.13270307507</v>
      </c>
      <c r="F120" s="74">
        <v>798466.35819246352</v>
      </c>
      <c r="G120" s="74">
        <v>0</v>
      </c>
      <c r="H120" s="74">
        <v>0</v>
      </c>
      <c r="I120" s="74">
        <v>0</v>
      </c>
    </row>
    <row r="121" spans="1:9">
      <c r="A121" s="17" t="str">
        <f>HLOOKUP(INDICE!$F$2,Nombres!$C$3:$D$636,34,FALSE)</f>
        <v>Comisiones netas</v>
      </c>
      <c r="B121" s="75">
        <v>11167.403848103886</v>
      </c>
      <c r="C121" s="75">
        <v>26918.784170752173</v>
      </c>
      <c r="D121" s="75">
        <v>28671.903773558704</v>
      </c>
      <c r="E121" s="76">
        <v>77388.560380811978</v>
      </c>
      <c r="F121" s="75">
        <v>53097.732887354388</v>
      </c>
      <c r="G121" s="75">
        <v>0</v>
      </c>
      <c r="H121" s="75">
        <v>0</v>
      </c>
      <c r="I121" s="75">
        <v>0</v>
      </c>
    </row>
    <row r="122" spans="1:9">
      <c r="A122" s="17" t="str">
        <f>HLOOKUP(INDICE!$F$2,Nombres!$C$3:$D$636,35,FALSE)</f>
        <v>Resultados de operaciones financieras</v>
      </c>
      <c r="B122" s="75">
        <v>7967.8880472074397</v>
      </c>
      <c r="C122" s="75">
        <v>18116.21701567333</v>
      </c>
      <c r="D122" s="75">
        <v>28490.036227456323</v>
      </c>
      <c r="E122" s="76">
        <v>214315.82429853128</v>
      </c>
      <c r="F122" s="75">
        <v>116139.07898942841</v>
      </c>
      <c r="G122" s="75">
        <v>0</v>
      </c>
      <c r="H122" s="75">
        <v>0</v>
      </c>
      <c r="I122" s="75">
        <v>0</v>
      </c>
    </row>
    <row r="123" spans="1:9">
      <c r="A123" s="17" t="str">
        <f>HLOOKUP(INDICE!$F$2,Nombres!$C$3:$D$636,36,FALSE)</f>
        <v>Otros ingresos y cargas de explotación</v>
      </c>
      <c r="B123" s="75">
        <v>-69595.284373851144</v>
      </c>
      <c r="C123" s="75">
        <v>-132644.52350309811</v>
      </c>
      <c r="D123" s="75">
        <v>-247576.90433900361</v>
      </c>
      <c r="E123" s="76">
        <v>-712298.23030621512</v>
      </c>
      <c r="F123" s="75">
        <v>-676434.82404567965</v>
      </c>
      <c r="G123" s="75">
        <v>0</v>
      </c>
      <c r="H123" s="75">
        <v>0</v>
      </c>
      <c r="I123" s="75">
        <v>0</v>
      </c>
    </row>
    <row r="124" spans="1:9">
      <c r="A124" s="25" t="str">
        <f>HLOOKUP(INDICE!$F$2,Nombres!$C$3:$D$636,37,FALSE)</f>
        <v>Margen bruto</v>
      </c>
      <c r="B124" s="25">
        <f>+SUM(B120:B123)</f>
        <v>84095.790618300962</v>
      </c>
      <c r="C124" s="25">
        <f t="shared" ref="C124:I124" si="19">+SUM(C120:C123)</f>
        <v>139908.80312147853</v>
      </c>
      <c r="D124" s="25">
        <f t="shared" si="19"/>
        <v>201707.53043118177</v>
      </c>
      <c r="E124" s="73">
        <f t="shared" si="19"/>
        <v>503551.28707620315</v>
      </c>
      <c r="F124" s="74">
        <f t="shared" si="19"/>
        <v>291268.34602356667</v>
      </c>
      <c r="G124" s="74">
        <f t="shared" si="19"/>
        <v>0</v>
      </c>
      <c r="H124" s="74">
        <f t="shared" si="19"/>
        <v>0</v>
      </c>
      <c r="I124" s="74">
        <f t="shared" si="19"/>
        <v>0</v>
      </c>
    </row>
    <row r="125" spans="1:9">
      <c r="A125" s="17" t="str">
        <f>HLOOKUP(INDICE!$F$2,Nombres!$C$3:$D$636,38,FALSE)</f>
        <v>Gastos de explotación</v>
      </c>
      <c r="B125" s="75">
        <v>-45805.462450251085</v>
      </c>
      <c r="C125" s="75">
        <v>-72142.529197211901</v>
      </c>
      <c r="D125" s="75">
        <v>-128464.1881252426</v>
      </c>
      <c r="E125" s="76">
        <v>-256249.97763197316</v>
      </c>
      <c r="F125" s="75">
        <v>-188518.07037132396</v>
      </c>
      <c r="G125" s="75">
        <v>0</v>
      </c>
      <c r="H125" s="75">
        <v>0</v>
      </c>
      <c r="I125" s="75">
        <v>0</v>
      </c>
    </row>
    <row r="126" spans="1:9">
      <c r="A126" s="17" t="str">
        <f>HLOOKUP(INDICE!$F$2,Nombres!$C$3:$D$636,39,FALSE)</f>
        <v xml:space="preserve">  Gastos de administración</v>
      </c>
      <c r="B126" s="75">
        <v>-43387.23451044473</v>
      </c>
      <c r="C126" s="75">
        <v>-68022.333055616386</v>
      </c>
      <c r="D126" s="75">
        <v>-121792.27492894197</v>
      </c>
      <c r="E126" s="76">
        <v>-242322.38996848339</v>
      </c>
      <c r="F126" s="75">
        <v>-179764.85134791813</v>
      </c>
      <c r="G126" s="75">
        <v>0</v>
      </c>
      <c r="H126" s="75">
        <v>0</v>
      </c>
      <c r="I126" s="75">
        <v>0</v>
      </c>
    </row>
    <row r="127" spans="1:9">
      <c r="A127" s="77" t="str">
        <f>HLOOKUP(INDICE!$F$2,Nombres!$C$3:$D$636,40,FALSE)</f>
        <v xml:space="preserve">  Gastos de personal</v>
      </c>
      <c r="B127" s="75">
        <v>-22576.176788886391</v>
      </c>
      <c r="C127" s="75">
        <v>-34691.486058222246</v>
      </c>
      <c r="D127" s="75">
        <v>-62063.677737469618</v>
      </c>
      <c r="E127" s="76">
        <v>-133879.1770023256</v>
      </c>
      <c r="F127" s="75">
        <v>-93055.90422642474</v>
      </c>
      <c r="G127" s="75">
        <v>0</v>
      </c>
      <c r="H127" s="75">
        <v>0</v>
      </c>
      <c r="I127" s="75">
        <v>0</v>
      </c>
    </row>
    <row r="128" spans="1:9">
      <c r="A128" s="77" t="str">
        <f>HLOOKUP(INDICE!$F$2,Nombres!$C$3:$D$636,41,FALSE)</f>
        <v xml:space="preserve">  Otros gastos de administración</v>
      </c>
      <c r="B128" s="75">
        <v>-20811.05772155834</v>
      </c>
      <c r="C128" s="75">
        <v>-33330.846997394139</v>
      </c>
      <c r="D128" s="75">
        <v>-59728.597191472334</v>
      </c>
      <c r="E128" s="76">
        <v>-108443.21296615776</v>
      </c>
      <c r="F128" s="75">
        <v>-86708.947121493402</v>
      </c>
      <c r="G128" s="75">
        <v>0</v>
      </c>
      <c r="H128" s="75">
        <v>0</v>
      </c>
      <c r="I128" s="75">
        <v>0</v>
      </c>
    </row>
    <row r="129" spans="1:9">
      <c r="A129" s="17" t="str">
        <f>HLOOKUP(INDICE!$F$2,Nombres!$C$3:$D$636,42,FALSE)</f>
        <v xml:space="preserve">  Amortización</v>
      </c>
      <c r="B129" s="75">
        <v>-2418.2279398063592</v>
      </c>
      <c r="C129" s="75">
        <v>-4120.1961415954956</v>
      </c>
      <c r="D129" s="75">
        <v>-6671.9131963006203</v>
      </c>
      <c r="E129" s="76">
        <v>-13927.587663489761</v>
      </c>
      <c r="F129" s="75">
        <v>-8753.2190234058289</v>
      </c>
      <c r="G129" s="75">
        <v>0</v>
      </c>
      <c r="H129" s="75">
        <v>0</v>
      </c>
      <c r="I129" s="75">
        <v>0</v>
      </c>
    </row>
    <row r="130" spans="1:9">
      <c r="A130" s="25" t="str">
        <f>HLOOKUP(INDICE!$F$2,Nombres!$C$3:$D$636,43,FALSE)</f>
        <v>Margen neto</v>
      </c>
      <c r="B130" s="25">
        <f>+B124+B125</f>
        <v>38290.328168049877</v>
      </c>
      <c r="C130" s="25">
        <f t="shared" ref="C130:I130" si="20">+C124+C125</f>
        <v>67766.273924266628</v>
      </c>
      <c r="D130" s="25">
        <f t="shared" si="20"/>
        <v>73243.342305939179</v>
      </c>
      <c r="E130" s="73">
        <f t="shared" si="20"/>
        <v>247301.30944422999</v>
      </c>
      <c r="F130" s="74">
        <f t="shared" si="20"/>
        <v>102750.27565224271</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-10724.591377325087</v>
      </c>
      <c r="C131" s="75">
        <v>-28000.041747294905</v>
      </c>
      <c r="D131" s="75">
        <v>-27621.48155297296</v>
      </c>
      <c r="E131" s="76">
        <v>-63163.462770737853</v>
      </c>
      <c r="F131" s="75">
        <v>-41076.076900711836</v>
      </c>
      <c r="G131" s="75">
        <v>0</v>
      </c>
      <c r="H131" s="75">
        <v>0</v>
      </c>
      <c r="I131" s="75">
        <v>0</v>
      </c>
    </row>
    <row r="132" spans="1:9">
      <c r="A132" s="17" t="str">
        <f>HLOOKUP(INDICE!$F$2,Nombres!$C$3:$D$636,45,FALSE)</f>
        <v>Provisiones o reversión de provisiones y otros resultados</v>
      </c>
      <c r="B132" s="75">
        <v>-1463.8672509915982</v>
      </c>
      <c r="C132" s="75">
        <v>-3245.2570725083619</v>
      </c>
      <c r="D132" s="75">
        <v>-1891.0382928039371</v>
      </c>
      <c r="E132" s="76">
        <v>-17090.613746195642</v>
      </c>
      <c r="F132" s="75">
        <v>-30982.48356756238</v>
      </c>
      <c r="G132" s="75">
        <v>0</v>
      </c>
      <c r="H132" s="75">
        <v>0</v>
      </c>
      <c r="I132" s="75">
        <v>0</v>
      </c>
    </row>
    <row r="133" spans="1:9">
      <c r="A133" s="25" t="str">
        <f>HLOOKUP(INDICE!$F$2,Nombres!$C$3:$D$636,46,FALSE)</f>
        <v>Resultado antes de impuestos</v>
      </c>
      <c r="B133" s="25">
        <f>+B130+B131+B132</f>
        <v>26101.86953973319</v>
      </c>
      <c r="C133" s="25">
        <f t="shared" ref="C133:I133" si="21">+C130+C131+C132</f>
        <v>36520.975104463359</v>
      </c>
      <c r="D133" s="25">
        <f t="shared" si="21"/>
        <v>43730.822460162279</v>
      </c>
      <c r="E133" s="73">
        <f t="shared" si="21"/>
        <v>167047.23292729649</v>
      </c>
      <c r="F133" s="74">
        <f t="shared" si="21"/>
        <v>30691.715183968492</v>
      </c>
      <c r="G133" s="74">
        <f t="shared" si="21"/>
        <v>0</v>
      </c>
      <c r="H133" s="74">
        <f t="shared" si="21"/>
        <v>0</v>
      </c>
      <c r="I133" s="74">
        <f t="shared" si="21"/>
        <v>0</v>
      </c>
    </row>
    <row r="134" spans="1:9">
      <c r="A134" s="17" t="str">
        <f>HLOOKUP(INDICE!$F$2,Nombres!$C$3:$D$636,47,FALSE)</f>
        <v>Impuesto sobre beneficios</v>
      </c>
      <c r="B134" s="75">
        <v>-8961.7604844586203</v>
      </c>
      <c r="C134" s="75">
        <v>-13464.653637106023</v>
      </c>
      <c r="D134" s="75">
        <v>-9783.8516134009406</v>
      </c>
      <c r="E134" s="76">
        <v>-73800.913454477981</v>
      </c>
      <c r="F134" s="75">
        <v>22526.07920242929</v>
      </c>
      <c r="G134" s="75">
        <v>0</v>
      </c>
      <c r="H134" s="75">
        <v>0</v>
      </c>
      <c r="I134" s="75">
        <v>0</v>
      </c>
    </row>
    <row r="135" spans="1:9">
      <c r="A135" s="25" t="str">
        <f>HLOOKUP(INDICE!$F$2,Nombres!$C$3:$D$636,48,FALSE)</f>
        <v>Resultado del ejercicio</v>
      </c>
      <c r="B135" s="25">
        <f>+B133+B134</f>
        <v>17140.10905527457</v>
      </c>
      <c r="C135" s="25">
        <f t="shared" ref="C135:I135" si="22">+C133+C134</f>
        <v>23056.321467357338</v>
      </c>
      <c r="D135" s="25">
        <f t="shared" si="22"/>
        <v>33946.970846761338</v>
      </c>
      <c r="E135" s="73">
        <f t="shared" si="22"/>
        <v>93246.319472818504</v>
      </c>
      <c r="F135" s="74">
        <f t="shared" si="22"/>
        <v>53217.794386397785</v>
      </c>
      <c r="G135" s="74">
        <f t="shared" si="22"/>
        <v>0</v>
      </c>
      <c r="H135" s="74">
        <f t="shared" si="22"/>
        <v>0</v>
      </c>
      <c r="I135" s="74">
        <f t="shared" si="22"/>
        <v>0</v>
      </c>
    </row>
    <row r="136" spans="1:9">
      <c r="A136" s="17" t="str">
        <f>HLOOKUP(INDICE!$F$2,Nombres!$C$3:$D$636,49,FALSE)</f>
        <v>Minoritarios</v>
      </c>
      <c r="B136" s="75">
        <v>-5519.3569029042492</v>
      </c>
      <c r="C136" s="75">
        <v>-7236.007038200979</v>
      </c>
      <c r="D136" s="75">
        <v>-11306.252206098903</v>
      </c>
      <c r="E136" s="76">
        <v>-28199.333098412295</v>
      </c>
      <c r="F136" s="75">
        <v>-21476.579532924305</v>
      </c>
      <c r="G136" s="75">
        <v>0</v>
      </c>
      <c r="H136" s="75">
        <v>0</v>
      </c>
      <c r="I136" s="75">
        <v>0</v>
      </c>
    </row>
    <row r="137" spans="1:9">
      <c r="A137" s="19" t="str">
        <f>HLOOKUP(INDICE!$F$2,Nombres!$C$3:$D$636,50,FALSE)</f>
        <v>Resultado atribuido</v>
      </c>
      <c r="B137" s="19">
        <f>+B135+B136</f>
        <v>11620.752152370322</v>
      </c>
      <c r="C137" s="19">
        <f t="shared" ref="C137:I137" si="23">+C135+C136</f>
        <v>15820.314429156359</v>
      </c>
      <c r="D137" s="19">
        <f t="shared" si="23"/>
        <v>22640.718640662435</v>
      </c>
      <c r="E137" s="19">
        <f t="shared" si="23"/>
        <v>65046.98637440621</v>
      </c>
      <c r="F137" s="94">
        <f t="shared" si="23"/>
        <v>31741.214853473481</v>
      </c>
      <c r="G137" s="94">
        <f t="shared" si="23"/>
        <v>0</v>
      </c>
      <c r="H137" s="94">
        <f t="shared" si="23"/>
        <v>0</v>
      </c>
      <c r="I137" s="94">
        <f t="shared" si="23"/>
        <v>0</v>
      </c>
    </row>
    <row r="138" spans="1:9">
      <c r="A138" s="91"/>
      <c r="B138" s="99">
        <v>0</v>
      </c>
      <c r="C138" s="99">
        <v>-3.4560798667371273E-11</v>
      </c>
      <c r="D138" s="99">
        <v>-5.4569682106375694E-11</v>
      </c>
      <c r="E138" s="99">
        <v>-9.4587448984384537E-11</v>
      </c>
      <c r="F138" s="99">
        <v>-1.0186340659856796E-10</v>
      </c>
      <c r="G138" s="99">
        <v>0</v>
      </c>
      <c r="H138" s="99">
        <v>0</v>
      </c>
      <c r="I138" s="99">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4"/>
      <c r="G140" s="104"/>
      <c r="H140" s="104"/>
      <c r="I140" s="104"/>
    </row>
    <row r="141" spans="1:9">
      <c r="A141" s="67" t="str">
        <f>HLOOKUP(INDICE!$F$2,Nombres!$C$3:$D$636,78,FALSE)</f>
        <v>(Millones de pesos argentinos)</v>
      </c>
      <c r="B141" s="62"/>
      <c r="C141" s="82"/>
      <c r="D141" s="82"/>
      <c r="E141" s="82"/>
      <c r="F141" s="105"/>
      <c r="G141" s="75"/>
      <c r="H141" s="75"/>
      <c r="I141" s="75"/>
    </row>
    <row r="142" spans="1:9">
      <c r="A142" s="62"/>
      <c r="B142" s="84">
        <f t="shared" ref="B142:I142" si="24">+B$30</f>
        <v>45016</v>
      </c>
      <c r="C142" s="84">
        <f t="shared" si="24"/>
        <v>45107</v>
      </c>
      <c r="D142" s="84">
        <f t="shared" si="24"/>
        <v>45199</v>
      </c>
      <c r="E142" s="98">
        <f t="shared" si="24"/>
        <v>45291</v>
      </c>
      <c r="F142" s="84">
        <f t="shared" si="24"/>
        <v>45382</v>
      </c>
      <c r="G142" s="84">
        <f t="shared" si="24"/>
        <v>45473</v>
      </c>
      <c r="H142" s="84">
        <f t="shared" si="24"/>
        <v>45565</v>
      </c>
      <c r="I142" s="84">
        <f t="shared" si="24"/>
        <v>45657</v>
      </c>
    </row>
    <row r="143" spans="1:9">
      <c r="A143" s="17" t="str">
        <f>HLOOKUP(INDICE!$F$2,Nombres!$C$3:$D$636,52,FALSE)</f>
        <v>Efectivo, saldos en efectivo en bancos centrales y otros depósitos a la vista</v>
      </c>
      <c r="B143" s="75">
        <v>374546.75807054091</v>
      </c>
      <c r="C143" s="75">
        <v>375512.91859814152</v>
      </c>
      <c r="D143" s="75">
        <v>478797.87460020097</v>
      </c>
      <c r="E143" s="76">
        <v>1146118.4232047794</v>
      </c>
      <c r="F143" s="75">
        <v>1281054.8762946571</v>
      </c>
      <c r="G143" s="75">
        <v>0</v>
      </c>
      <c r="H143" s="75">
        <v>0</v>
      </c>
      <c r="I143" s="75">
        <v>0</v>
      </c>
    </row>
    <row r="144" spans="1:9">
      <c r="A144" s="17" t="str">
        <f>HLOOKUP(INDICE!$F$2,Nombres!$C$3:$D$636,53,FALSE)</f>
        <v>Activos financieros a valor razonable</v>
      </c>
      <c r="B144" s="83">
        <v>720105.85940259427</v>
      </c>
      <c r="C144" s="83">
        <v>1100233.8707673652</v>
      </c>
      <c r="D144" s="83">
        <v>1267756.2984730913</v>
      </c>
      <c r="E144" s="95">
        <v>1136823.3535718424</v>
      </c>
      <c r="F144" s="75">
        <v>1142812.7847038247</v>
      </c>
      <c r="G144" s="75">
        <v>0</v>
      </c>
      <c r="H144" s="75">
        <v>0</v>
      </c>
      <c r="I144" s="75">
        <v>0</v>
      </c>
    </row>
    <row r="145" spans="1:9">
      <c r="A145" s="17" t="str">
        <f>HLOOKUP(INDICE!$F$2,Nombres!$C$3:$D$636,54,FALSE)</f>
        <v>Activos financieros a coste amortizado</v>
      </c>
      <c r="B145" s="75">
        <v>1084433.4493462685</v>
      </c>
      <c r="C145" s="75">
        <v>1343750.4215986039</v>
      </c>
      <c r="D145" s="75">
        <v>1813869.6020426443</v>
      </c>
      <c r="E145" s="76">
        <v>3389007.7440402629</v>
      </c>
      <c r="F145" s="75">
        <v>4975645.5932837008</v>
      </c>
      <c r="G145" s="75">
        <v>0</v>
      </c>
      <c r="H145" s="75">
        <v>0</v>
      </c>
      <c r="I145" s="75">
        <v>0</v>
      </c>
    </row>
    <row r="146" spans="1:9">
      <c r="A146" s="17" t="str">
        <f>HLOOKUP(INDICE!$F$2,Nombres!$C$3:$D$636,55,FALSE)</f>
        <v xml:space="preserve">    de los que préstamos y anticipos a la clientela</v>
      </c>
      <c r="B146" s="75">
        <v>863472.74863545934</v>
      </c>
      <c r="C146" s="75">
        <v>1063528.985046675</v>
      </c>
      <c r="D146" s="75">
        <v>1380062.5207495694</v>
      </c>
      <c r="E146" s="76">
        <v>2005490.5104044063</v>
      </c>
      <c r="F146" s="75">
        <v>2631354.083159578</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137606.24380102241</v>
      </c>
      <c r="C148" s="75">
        <v>172608.21455347998</v>
      </c>
      <c r="D148" s="75">
        <v>232250.15169425664</v>
      </c>
      <c r="E148" s="76">
        <v>364248.69981519505</v>
      </c>
      <c r="F148" s="75">
        <v>564563.62387130712</v>
      </c>
      <c r="G148" s="75">
        <v>0</v>
      </c>
      <c r="H148" s="75">
        <v>0</v>
      </c>
      <c r="I148" s="75">
        <v>0</v>
      </c>
    </row>
    <row r="149" spans="1:9">
      <c r="A149" s="17" t="str">
        <f>HLOOKUP(INDICE!$F$2,Nombres!$C$3:$D$636,57,FALSE)</f>
        <v>Otros activos</v>
      </c>
      <c r="B149" s="83">
        <f>+B150-B148-B145-B144-B143</f>
        <v>70741.873086770123</v>
      </c>
      <c r="C149" s="83">
        <f t="shared" ref="C149:H149" si="25">+C150-C148-C145-C144-C143</f>
        <v>74610.818147099577</v>
      </c>
      <c r="D149" s="83">
        <f t="shared" si="25"/>
        <v>122040.41748245008</v>
      </c>
      <c r="E149" s="95">
        <f t="shared" si="25"/>
        <v>176949.7495911282</v>
      </c>
      <c r="F149" s="75">
        <f t="shared" si="25"/>
        <v>296034.84777456848</v>
      </c>
      <c r="G149" s="75">
        <f t="shared" si="25"/>
        <v>0</v>
      </c>
      <c r="H149" s="75">
        <f t="shared" si="25"/>
        <v>0</v>
      </c>
      <c r="I149" s="75">
        <f>+I150-I148-I145-I144-I143</f>
        <v>0</v>
      </c>
    </row>
    <row r="150" spans="1:9">
      <c r="A150" s="19" t="str">
        <f>HLOOKUP(INDICE!$F$2,Nombres!$C$3:$D$636,58,FALSE)</f>
        <v>Total activo / pasivo</v>
      </c>
      <c r="B150" s="19">
        <v>2387434.1837071963</v>
      </c>
      <c r="C150" s="19">
        <v>3066716.2436646903</v>
      </c>
      <c r="D150" s="19">
        <v>3914714.3442926435</v>
      </c>
      <c r="E150" s="19">
        <v>6213147.970223208</v>
      </c>
      <c r="F150" s="94">
        <v>8260111.7259280579</v>
      </c>
      <c r="G150" s="94">
        <v>0</v>
      </c>
      <c r="H150" s="94">
        <v>0</v>
      </c>
      <c r="I150" s="94">
        <v>0</v>
      </c>
    </row>
    <row r="151" spans="1:9">
      <c r="A151" s="17" t="str">
        <f>HLOOKUP(INDICE!$F$2,Nombres!$C$3:$D$636,59,FALSE)</f>
        <v>Pasivos financieros mantenidos para negociar y designados a valor razonable con cambios en resultados</v>
      </c>
      <c r="B151" s="83">
        <v>520.84909472752349</v>
      </c>
      <c r="C151" s="83">
        <v>45259.994451480459</v>
      </c>
      <c r="D151" s="83">
        <v>23955.857379688787</v>
      </c>
      <c r="E151" s="95">
        <v>12476.160123970929</v>
      </c>
      <c r="F151" s="75">
        <v>9936.9382433062692</v>
      </c>
      <c r="G151" s="75">
        <v>0</v>
      </c>
      <c r="H151" s="75">
        <v>0</v>
      </c>
      <c r="I151" s="75">
        <v>0</v>
      </c>
    </row>
    <row r="152" spans="1:9">
      <c r="A152" s="17" t="str">
        <f>HLOOKUP(INDICE!$F$2,Nombres!$C$3:$D$636,60,FALSE)</f>
        <v>Depósitos de bancos centrales y entidades de crédito</v>
      </c>
      <c r="B152" s="83">
        <v>28260.146700686393</v>
      </c>
      <c r="C152" s="83">
        <v>32932.128990161713</v>
      </c>
      <c r="D152" s="83">
        <v>29830.3321348709</v>
      </c>
      <c r="E152" s="95">
        <v>40755.992092396511</v>
      </c>
      <c r="F152" s="75">
        <v>43175.625885888003</v>
      </c>
      <c r="G152" s="75">
        <v>0</v>
      </c>
      <c r="H152" s="75">
        <v>0</v>
      </c>
      <c r="I152" s="75">
        <v>0</v>
      </c>
    </row>
    <row r="153" spans="1:9">
      <c r="A153" s="17" t="str">
        <f>HLOOKUP(INDICE!$F$2,Nombres!$C$3:$D$636,61,FALSE)</f>
        <v>Depósitos de la clientela</v>
      </c>
      <c r="B153" s="83">
        <v>1565290.3622546289</v>
      </c>
      <c r="C153" s="83">
        <v>2003897.6491783527</v>
      </c>
      <c r="D153" s="83">
        <v>2586114.9561206345</v>
      </c>
      <c r="E153" s="95">
        <v>3624735.2097059134</v>
      </c>
      <c r="F153" s="75">
        <v>4753974.0063896477</v>
      </c>
      <c r="G153" s="75">
        <v>0</v>
      </c>
      <c r="H153" s="75">
        <v>0</v>
      </c>
      <c r="I153" s="75">
        <v>0</v>
      </c>
    </row>
    <row r="154" spans="1:9">
      <c r="A154" s="17" t="str">
        <f>HLOOKUP(INDICE!$F$2,Nombres!$C$3:$D$636,62,FALSE)</f>
        <v>Valores representativos de deuda emitidos</v>
      </c>
      <c r="B154" s="75">
        <v>74017.085730898965</v>
      </c>
      <c r="C154" s="75">
        <v>89242.512276958296</v>
      </c>
      <c r="D154" s="75">
        <v>82918.34422205844</v>
      </c>
      <c r="E154" s="76">
        <v>260687.10118071226</v>
      </c>
      <c r="F154" s="75">
        <v>218070.26955378053</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3">
        <f>+B150-B151-B152-B153-B154-B157</f>
        <v>473606.66970177717</v>
      </c>
      <c r="C156" s="83">
        <f t="shared" ref="C156:I156" si="26">+C150-C151-C152-C153-C154-C157</f>
        <v>596415.29342465685</v>
      </c>
      <c r="D156" s="83">
        <f t="shared" si="26"/>
        <v>903383.30164946965</v>
      </c>
      <c r="E156" s="95">
        <f t="shared" si="26"/>
        <v>1401677.9705224787</v>
      </c>
      <c r="F156" s="75">
        <f t="shared" si="26"/>
        <v>2528060.0911905756</v>
      </c>
      <c r="G156" s="75">
        <f t="shared" si="26"/>
        <v>0</v>
      </c>
      <c r="H156" s="75">
        <f t="shared" si="26"/>
        <v>0</v>
      </c>
      <c r="I156" s="75">
        <f t="shared" si="26"/>
        <v>0</v>
      </c>
    </row>
    <row r="157" spans="1:9">
      <c r="A157" s="17" t="str">
        <f>HLOOKUP(INDICE!$F$2,Nombres!$C$3:$D$636,282,FALSE)</f>
        <v>Dotación de capital regulatorio</v>
      </c>
      <c r="B157" s="83">
        <v>245739.07022447733</v>
      </c>
      <c r="C157" s="83">
        <v>298968.66534308036</v>
      </c>
      <c r="D157" s="83">
        <v>288511.55278592114</v>
      </c>
      <c r="E157" s="95">
        <v>872815.5365977363</v>
      </c>
      <c r="F157" s="75">
        <v>706894.79466486</v>
      </c>
      <c r="G157" s="75">
        <v>0</v>
      </c>
      <c r="H157" s="75">
        <v>0</v>
      </c>
      <c r="I157" s="75">
        <v>0</v>
      </c>
    </row>
    <row r="158" spans="1:9">
      <c r="A158" s="91"/>
      <c r="B158" s="83"/>
      <c r="C158" s="83"/>
      <c r="D158" s="83"/>
      <c r="E158" s="83"/>
      <c r="F158" s="75"/>
      <c r="G158" s="75"/>
      <c r="H158" s="75"/>
      <c r="I158" s="75"/>
    </row>
    <row r="159" spans="1:9">
      <c r="A159" s="17"/>
      <c r="B159" s="83"/>
      <c r="C159" s="83"/>
      <c r="D159" s="83"/>
      <c r="E159" s="83"/>
      <c r="F159" s="75"/>
      <c r="G159" s="75"/>
      <c r="H159" s="75"/>
      <c r="I159" s="75"/>
    </row>
    <row r="160" spans="1:9" ht="17">
      <c r="A160" s="65" t="str">
        <f>HLOOKUP(INDICE!$F$2,Nombres!$C$3:$D$636,65,FALSE)</f>
        <v>Indicadores relevantes y de gestión</v>
      </c>
      <c r="B160" s="66"/>
      <c r="C160" s="66"/>
      <c r="D160" s="66"/>
      <c r="E160" s="66"/>
      <c r="F160" s="104"/>
      <c r="G160" s="104"/>
      <c r="H160" s="104"/>
      <c r="I160" s="104"/>
    </row>
    <row r="161" spans="1:15">
      <c r="A161" s="67" t="str">
        <f>HLOOKUP(INDICE!$F$2,Nombres!$C$3:$D$636,78,FALSE)</f>
        <v>(Millones de pesos argentinos)</v>
      </c>
      <c r="B161" s="62"/>
      <c r="C161" s="62"/>
      <c r="D161" s="62"/>
      <c r="E161" s="62"/>
      <c r="F161" s="105"/>
      <c r="G161" s="75"/>
      <c r="H161" s="75"/>
      <c r="I161" s="75"/>
    </row>
    <row r="162" spans="1:15" ht="15.75" customHeight="1">
      <c r="A162" s="62"/>
      <c r="B162" s="84">
        <f t="shared" ref="B162:I162" si="27">+B$30</f>
        <v>45016</v>
      </c>
      <c r="C162" s="84">
        <f t="shared" si="27"/>
        <v>45107</v>
      </c>
      <c r="D162" s="84">
        <f t="shared" si="27"/>
        <v>45199</v>
      </c>
      <c r="E162" s="98">
        <f t="shared" si="27"/>
        <v>45291</v>
      </c>
      <c r="F162" s="84">
        <f t="shared" si="27"/>
        <v>45382</v>
      </c>
      <c r="G162" s="84">
        <f t="shared" si="27"/>
        <v>45473</v>
      </c>
      <c r="H162" s="84">
        <f t="shared" si="27"/>
        <v>45565</v>
      </c>
      <c r="I162" s="84">
        <f t="shared" si="27"/>
        <v>45657</v>
      </c>
    </row>
    <row r="163" spans="1:15" ht="15.75" customHeight="1">
      <c r="A163" s="17" t="str">
        <f>HLOOKUP(INDICE!$F$2,Nombres!$C$3:$D$636,66,FALSE)</f>
        <v>Préstamos y anticipos a la clientela bruto (*)</v>
      </c>
      <c r="B163" s="75">
        <v>890430.54574867582</v>
      </c>
      <c r="C163" s="75">
        <v>1098283.4529889629</v>
      </c>
      <c r="D163" s="75">
        <v>1418953.0120621559</v>
      </c>
      <c r="E163" s="75">
        <v>2050985.5505816774</v>
      </c>
      <c r="F163" s="75">
        <v>2692690.5760289412</v>
      </c>
      <c r="G163" s="75">
        <v>0</v>
      </c>
      <c r="H163" s="75">
        <v>0</v>
      </c>
      <c r="I163" s="75">
        <v>0</v>
      </c>
    </row>
    <row r="164" spans="1:15" ht="15.75" customHeight="1">
      <c r="A164" s="17" t="str">
        <f>HLOOKUP(INDICE!$F$2,Nombres!$C$3:$D$636,67,FALSE)</f>
        <v>Depósitos de clientes en gestión (**)</v>
      </c>
      <c r="B164" s="75">
        <v>1565290.3622546287</v>
      </c>
      <c r="C164" s="75">
        <v>2003897.6491783524</v>
      </c>
      <c r="D164" s="75">
        <v>2586114.9561206345</v>
      </c>
      <c r="E164" s="75">
        <v>3624735.2097059134</v>
      </c>
      <c r="F164" s="75">
        <v>4753974.0063896477</v>
      </c>
      <c r="G164" s="75">
        <v>0</v>
      </c>
      <c r="H164" s="75">
        <v>0</v>
      </c>
      <c r="I164" s="75">
        <v>0</v>
      </c>
    </row>
    <row r="165" spans="1:15" ht="15.75" customHeight="1">
      <c r="A165" s="17" t="str">
        <f>HLOOKUP(INDICE!$F$2,Nombres!$C$3:$D$636,68,FALSE)</f>
        <v>Fondos de inversión y carteras gestionadas</v>
      </c>
      <c r="B165" s="75">
        <v>524622.06835572701</v>
      </c>
      <c r="C165" s="75">
        <v>630962.75668425835</v>
      </c>
      <c r="D165" s="75">
        <v>889431.3818179993</v>
      </c>
      <c r="E165" s="75">
        <v>1289025.1257490518</v>
      </c>
      <c r="F165" s="75">
        <v>1486353.8283401444</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1" t="str">
        <f>HLOOKUP(INDICE!$F$2,Nombres!$C$3:$D$636,71,FALSE)</f>
        <v>(*) No incluye las adquisiciones temporales de activos.</v>
      </c>
      <c r="B168" s="83"/>
      <c r="C168" s="83"/>
      <c r="D168" s="83"/>
      <c r="E168" s="83"/>
      <c r="F168" s="83"/>
      <c r="G168" s="83"/>
      <c r="H168" s="83"/>
      <c r="I168" s="83"/>
    </row>
    <row r="169" spans="1:15">
      <c r="A169" s="91"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7"/>
      <c r="B172" s="108"/>
      <c r="C172" s="109"/>
      <c r="D172" s="109"/>
      <c r="E172" s="109"/>
      <c r="F172" s="108"/>
      <c r="G172" s="108"/>
      <c r="H172" s="108"/>
      <c r="I172" s="108"/>
    </row>
    <row r="173" spans="1:15">
      <c r="A173" s="107"/>
      <c r="B173" s="108"/>
      <c r="C173" s="109"/>
      <c r="D173" s="109"/>
      <c r="E173" s="109"/>
      <c r="F173" s="108"/>
      <c r="G173" s="108"/>
      <c r="H173" s="108"/>
      <c r="I173" s="108"/>
      <c r="J173" s="108"/>
      <c r="K173" s="108"/>
      <c r="L173" s="108"/>
      <c r="M173" s="108"/>
      <c r="N173" s="108"/>
      <c r="O173" s="108"/>
    </row>
    <row r="174" spans="1:15">
      <c r="A174" s="108"/>
      <c r="B174" s="108"/>
      <c r="C174" s="108"/>
      <c r="D174" s="108"/>
      <c r="E174" s="108"/>
      <c r="F174" s="108"/>
      <c r="G174" s="108"/>
      <c r="H174" s="108"/>
      <c r="I174" s="108"/>
      <c r="J174" s="108"/>
      <c r="K174" s="108"/>
      <c r="L174" s="108"/>
      <c r="M174" s="108"/>
      <c r="N174" s="108"/>
      <c r="O174" s="108"/>
    </row>
    <row r="175" spans="1:15">
      <c r="A175" s="108"/>
      <c r="B175" s="108"/>
      <c r="C175" s="108"/>
      <c r="D175" s="108"/>
      <c r="E175" s="108"/>
      <c r="F175" s="108"/>
      <c r="G175" s="108"/>
      <c r="H175" s="108"/>
      <c r="I175" s="108"/>
      <c r="J175" s="108"/>
      <c r="K175" s="108"/>
      <c r="L175" s="108"/>
      <c r="M175" s="108"/>
      <c r="N175" s="108"/>
      <c r="O175" s="108"/>
    </row>
    <row r="176" spans="1:15">
      <c r="A176" s="108"/>
      <c r="B176" s="108"/>
      <c r="C176" s="108"/>
      <c r="D176" s="108"/>
      <c r="E176" s="108"/>
      <c r="F176" s="108"/>
      <c r="G176" s="108"/>
      <c r="H176" s="108"/>
      <c r="I176" s="108"/>
      <c r="J176" s="108"/>
      <c r="K176" s="108"/>
      <c r="L176" s="108"/>
      <c r="M176" s="108"/>
      <c r="N176" s="108"/>
      <c r="O176" s="108"/>
    </row>
    <row r="177" spans="1:15">
      <c r="A177" s="108"/>
      <c r="B177" s="108"/>
      <c r="C177" s="108"/>
      <c r="D177" s="108"/>
      <c r="E177" s="108"/>
      <c r="F177" s="108"/>
      <c r="G177" s="108"/>
      <c r="H177" s="108"/>
      <c r="I177" s="108"/>
      <c r="J177" s="108"/>
      <c r="K177" s="108"/>
      <c r="L177" s="108"/>
      <c r="M177" s="108"/>
      <c r="N177" s="108"/>
      <c r="O177" s="108"/>
    </row>
    <row r="178" spans="1:15">
      <c r="A178" s="108"/>
      <c r="B178" s="108"/>
      <c r="C178" s="108"/>
      <c r="D178" s="108"/>
      <c r="E178" s="108"/>
      <c r="F178" s="108"/>
      <c r="G178" s="108"/>
      <c r="H178" s="108"/>
      <c r="I178" s="108"/>
      <c r="J178" s="108"/>
      <c r="K178" s="108"/>
      <c r="L178" s="108"/>
      <c r="M178" s="108"/>
      <c r="N178" s="108"/>
      <c r="O178" s="108"/>
    </row>
    <row r="179" spans="1:15">
      <c r="A179" s="108"/>
      <c r="B179" s="108"/>
      <c r="C179" s="108"/>
      <c r="D179" s="108"/>
      <c r="E179" s="108"/>
      <c r="F179" s="108"/>
      <c r="G179" s="108"/>
      <c r="H179" s="108"/>
      <c r="I179" s="108"/>
      <c r="J179" s="108"/>
      <c r="K179" s="108"/>
      <c r="L179" s="108"/>
      <c r="M179" s="108"/>
      <c r="N179" s="108"/>
      <c r="O179" s="108"/>
    </row>
    <row r="180" spans="1:15">
      <c r="A180" s="108"/>
      <c r="B180" s="108"/>
      <c r="C180" s="108"/>
      <c r="D180" s="108"/>
      <c r="E180" s="108"/>
      <c r="F180" s="108"/>
      <c r="G180" s="108"/>
      <c r="H180" s="108"/>
      <c r="I180" s="108"/>
      <c r="J180" s="108"/>
      <c r="K180" s="108"/>
      <c r="L180" s="108"/>
      <c r="M180" s="108"/>
      <c r="N180" s="108"/>
      <c r="O180" s="108"/>
    </row>
    <row r="1006" spans="1:1">
      <c r="A1006" s="63" t="s">
        <v>550</v>
      </c>
    </row>
  </sheetData>
  <mergeCells count="6">
    <mergeCell ref="B6:E6"/>
    <mergeCell ref="F6:I6"/>
    <mergeCell ref="B62:E62"/>
    <mergeCell ref="F62:I62"/>
    <mergeCell ref="B118:E118"/>
    <mergeCell ref="F118:I118"/>
  </mergeCells>
  <conditionalFormatting sqref="B26:I26">
    <cfRule type="cellIs" dxfId="57" priority="3" operator="notBetween">
      <formula>0.5</formula>
      <formula>-0.5</formula>
    </cfRule>
  </conditionalFormatting>
  <conditionalFormatting sqref="B82:I82">
    <cfRule type="cellIs" dxfId="56" priority="2" operator="notBetween">
      <formula>0.5</formula>
      <formula>-0.5</formula>
    </cfRule>
  </conditionalFormatting>
  <conditionalFormatting sqref="B138:I138">
    <cfRule type="cellIs" dxfId="55" priority="1" operator="notBetween">
      <formula>0.5</formula>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Nombres</vt:lpstr>
      <vt:lpstr>INDICE</vt:lpstr>
      <vt:lpstr>Cuenta de Resultados</vt:lpstr>
      <vt:lpstr>Balance</vt:lpstr>
      <vt:lpstr>España</vt:lpstr>
      <vt:lpstr>Mexico</vt:lpstr>
      <vt:lpstr>Turquia</vt:lpstr>
      <vt:lpstr>AdS</vt:lpstr>
      <vt:lpstr>Argentina</vt:lpstr>
      <vt:lpstr>Chile</vt:lpstr>
      <vt:lpstr>Colombia</vt:lpstr>
      <vt:lpstr>Peru</vt:lpstr>
      <vt:lpstr>Resto de Negocios</vt:lpstr>
      <vt:lpstr>Centro Corporativo</vt:lpstr>
      <vt:lpstr>Corporate &amp; Investment Banking</vt:lpstr>
      <vt:lpstr>Eficiencia</vt:lpstr>
      <vt:lpstr>Mora,cobertura,coste de riesgo</vt:lpstr>
      <vt:lpstr>Empleados, oficinas y cajeros</vt:lpstr>
      <vt:lpstr>Tipos de Cambio</vt:lpstr>
      <vt:lpstr>Diferenciales</vt:lpstr>
      <vt:lpstr>APRs</vt:lpstr>
      <vt:lpstr>Inversion</vt:lpstr>
      <vt:lpstr>Recursos</vt:lpstr>
      <vt:lpstr>ALCO</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LERCHUNDI LIZASO ,ION</dc:creator>
  <cp:lastModifiedBy>GONZALEZ SOBRADO, SONIA</cp:lastModifiedBy>
  <dcterms:created xsi:type="dcterms:W3CDTF">2024-04-25T08:40:40Z</dcterms:created>
  <dcterms:modified xsi:type="dcterms:W3CDTF">2024-04-26T16:21:13Z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